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'Шахт.,7'!$A$1:$U$137</definedName>
  </definedNames>
  <calcPr calcId="124519"/>
</workbook>
</file>

<file path=xl/calcChain.xml><?xml version="1.0" encoding="utf-8"?>
<calcChain xmlns="http://schemas.openxmlformats.org/spreadsheetml/2006/main">
  <c r="U89" i="1"/>
  <c r="T63"/>
  <c r="T97"/>
  <c r="T124"/>
  <c r="U124" s="1"/>
  <c r="H124"/>
  <c r="S104"/>
  <c r="K104"/>
  <c r="U123"/>
  <c r="T123"/>
  <c r="H123"/>
  <c r="S122"/>
  <c r="U122"/>
  <c r="H122"/>
  <c r="T98"/>
  <c r="S98"/>
  <c r="U121"/>
  <c r="S121"/>
  <c r="H121"/>
  <c r="S120"/>
  <c r="U120" s="1"/>
  <c r="H120"/>
  <c r="S95"/>
  <c r="S111"/>
  <c r="S116"/>
  <c r="T62"/>
  <c r="S62"/>
  <c r="S63"/>
  <c r="R119"/>
  <c r="U119" s="1"/>
  <c r="H119"/>
  <c r="K37"/>
  <c r="O116"/>
  <c r="Q118"/>
  <c r="P118"/>
  <c r="U118" s="1"/>
  <c r="H118"/>
  <c r="O111"/>
  <c r="P106"/>
  <c r="P117"/>
  <c r="Q116"/>
  <c r="N116"/>
  <c r="U116" s="1"/>
  <c r="N117"/>
  <c r="U117" s="1"/>
  <c r="H117"/>
  <c r="H116"/>
  <c r="P115"/>
  <c r="U115" s="1"/>
  <c r="H115"/>
  <c r="N114"/>
  <c r="U114" s="1"/>
  <c r="H114"/>
  <c r="R113"/>
  <c r="U113" s="1"/>
  <c r="H113"/>
  <c r="H112"/>
  <c r="N112"/>
  <c r="U112" s="1"/>
  <c r="N111"/>
  <c r="U111" s="1"/>
  <c r="H111"/>
  <c r="O62"/>
  <c r="R110"/>
  <c r="U110" s="1"/>
  <c r="H110"/>
  <c r="P75"/>
  <c r="R97"/>
  <c r="N77"/>
  <c r="O109"/>
  <c r="U109" s="1"/>
  <c r="H109"/>
  <c r="N108"/>
  <c r="H108"/>
  <c r="N97"/>
  <c r="Q51"/>
  <c r="Q99"/>
  <c r="O99"/>
  <c r="N99"/>
  <c r="Q97"/>
  <c r="P97"/>
  <c r="N103"/>
  <c r="N98"/>
  <c r="T56"/>
  <c r="S56"/>
  <c r="T41"/>
  <c r="S41"/>
  <c r="T36"/>
  <c r="S36"/>
  <c r="T34"/>
  <c r="S34"/>
  <c r="U108" l="1"/>
  <c r="N106"/>
  <c r="Q106"/>
  <c r="R106"/>
  <c r="R105"/>
  <c r="O106"/>
  <c r="R62"/>
  <c r="P62"/>
  <c r="R63"/>
  <c r="Q63"/>
  <c r="N107"/>
  <c r="U107" s="1"/>
  <c r="H107"/>
  <c r="Q69"/>
  <c r="P52"/>
  <c r="N20"/>
  <c r="M106"/>
  <c r="U106" s="1"/>
  <c r="H106"/>
  <c r="M99"/>
  <c r="M97"/>
  <c r="L52"/>
  <c r="F27"/>
  <c r="R27" s="1"/>
  <c r="L105"/>
  <c r="U105" s="1"/>
  <c r="H105"/>
  <c r="L62"/>
  <c r="L99"/>
  <c r="L97"/>
  <c r="L95"/>
  <c r="I95"/>
  <c r="L78"/>
  <c r="L56"/>
  <c r="L41"/>
  <c r="L36"/>
  <c r="L34"/>
  <c r="F83"/>
  <c r="N83" s="1"/>
  <c r="U83" s="1"/>
  <c r="U104"/>
  <c r="H104"/>
  <c r="K103"/>
  <c r="U103" s="1"/>
  <c r="H103"/>
  <c r="K98"/>
  <c r="K56"/>
  <c r="K41"/>
  <c r="K36"/>
  <c r="K34"/>
  <c r="J102"/>
  <c r="U102" s="1"/>
  <c r="H102"/>
  <c r="J101"/>
  <c r="U101" s="1"/>
  <c r="H101"/>
  <c r="J100"/>
  <c r="U100" s="1"/>
  <c r="H100"/>
  <c r="J96"/>
  <c r="U96" s="1"/>
  <c r="H96"/>
  <c r="J99"/>
  <c r="H99"/>
  <c r="J98"/>
  <c r="H98"/>
  <c r="J97"/>
  <c r="H97"/>
  <c r="H125" s="1"/>
  <c r="U97" l="1"/>
  <c r="U125" s="1"/>
  <c r="U98"/>
  <c r="U99"/>
  <c r="H83"/>
  <c r="U95"/>
  <c r="N27"/>
  <c r="O27"/>
  <c r="Q27"/>
  <c r="M27"/>
  <c r="P27"/>
  <c r="J62"/>
  <c r="F60"/>
  <c r="J56"/>
  <c r="J52"/>
  <c r="J41"/>
  <c r="J36"/>
  <c r="J34"/>
  <c r="I51"/>
  <c r="U51" s="1"/>
  <c r="I78"/>
  <c r="U78" s="1"/>
  <c r="U81"/>
  <c r="U77"/>
  <c r="U76"/>
  <c r="U75"/>
  <c r="U71"/>
  <c r="U69"/>
  <c r="U63"/>
  <c r="U62"/>
  <c r="U59"/>
  <c r="U57"/>
  <c r="U52"/>
  <c r="U37"/>
  <c r="U30"/>
  <c r="U29"/>
  <c r="U20"/>
  <c r="I56"/>
  <c r="U56" s="1"/>
  <c r="I41"/>
  <c r="U41" s="1"/>
  <c r="I36"/>
  <c r="I34"/>
  <c r="U34" s="1"/>
  <c r="H95"/>
  <c r="H60"/>
  <c r="U27" l="1"/>
  <c r="U36"/>
  <c r="T60"/>
  <c r="S60"/>
  <c r="Q60"/>
  <c r="O60"/>
  <c r="M60"/>
  <c r="R60"/>
  <c r="P60"/>
  <c r="N60"/>
  <c r="J60"/>
  <c r="K60"/>
  <c r="L60"/>
  <c r="I60"/>
  <c r="H77"/>
  <c r="H76"/>
  <c r="H75"/>
  <c r="H56"/>
  <c r="F52"/>
  <c r="U60" l="1"/>
  <c r="H37"/>
  <c r="H36"/>
  <c r="F39"/>
  <c r="F35"/>
  <c r="F14"/>
  <c r="N14" s="1"/>
  <c r="U14" s="1"/>
  <c r="F15"/>
  <c r="N15" s="1"/>
  <c r="U15" s="1"/>
  <c r="F16"/>
  <c r="N16" s="1"/>
  <c r="U16" s="1"/>
  <c r="F17"/>
  <c r="N17" s="1"/>
  <c r="U17" s="1"/>
  <c r="F18"/>
  <c r="N18" s="1"/>
  <c r="U18" s="1"/>
  <c r="F19"/>
  <c r="N19" s="1"/>
  <c r="U19" s="1"/>
  <c r="S39" l="1"/>
  <c r="T39"/>
  <c r="S35"/>
  <c r="T35"/>
  <c r="I35"/>
  <c r="L35"/>
  <c r="K35"/>
  <c r="J35"/>
  <c r="I39"/>
  <c r="L39"/>
  <c r="K39"/>
  <c r="J39"/>
  <c r="H59"/>
  <c r="H20"/>
  <c r="U39" l="1"/>
  <c r="U35"/>
  <c r="F128"/>
  <c r="H127"/>
  <c r="E87"/>
  <c r="H91" s="1"/>
  <c r="F85"/>
  <c r="H85" s="1"/>
  <c r="F84"/>
  <c r="H81"/>
  <c r="H79"/>
  <c r="F78"/>
  <c r="H78" s="1"/>
  <c r="H74"/>
  <c r="H73"/>
  <c r="H71"/>
  <c r="H69"/>
  <c r="F68"/>
  <c r="F67"/>
  <c r="F66"/>
  <c r="F65"/>
  <c r="F64"/>
  <c r="H63"/>
  <c r="H62"/>
  <c r="H57"/>
  <c r="F55"/>
  <c r="H52"/>
  <c r="H51"/>
  <c r="F50"/>
  <c r="Q50" s="1"/>
  <c r="F49"/>
  <c r="Q49" s="1"/>
  <c r="F48"/>
  <c r="F47"/>
  <c r="R47" s="1"/>
  <c r="F46"/>
  <c r="R46" s="1"/>
  <c r="F45"/>
  <c r="R45" s="1"/>
  <c r="F44"/>
  <c r="R44" s="1"/>
  <c r="H41"/>
  <c r="F40"/>
  <c r="H39"/>
  <c r="F38"/>
  <c r="H35"/>
  <c r="H34"/>
  <c r="F31"/>
  <c r="H30"/>
  <c r="H29"/>
  <c r="F28"/>
  <c r="H27"/>
  <c r="F26"/>
  <c r="F25"/>
  <c r="F24"/>
  <c r="F21"/>
  <c r="H18"/>
  <c r="H17"/>
  <c r="H14"/>
  <c r="E13"/>
  <c r="F13" s="1"/>
  <c r="F12"/>
  <c r="F11"/>
  <c r="S12" l="1"/>
  <c r="T12"/>
  <c r="R12"/>
  <c r="P12"/>
  <c r="N12"/>
  <c r="Q12"/>
  <c r="O12"/>
  <c r="M12"/>
  <c r="H26"/>
  <c r="M26"/>
  <c r="U26" s="1"/>
  <c r="S28"/>
  <c r="T28"/>
  <c r="Q28"/>
  <c r="O28"/>
  <c r="M28"/>
  <c r="R28"/>
  <c r="P28"/>
  <c r="N28"/>
  <c r="S40"/>
  <c r="T40"/>
  <c r="T11"/>
  <c r="S11"/>
  <c r="Q11"/>
  <c r="O11"/>
  <c r="M11"/>
  <c r="R11"/>
  <c r="P11"/>
  <c r="N11"/>
  <c r="S13"/>
  <c r="T13"/>
  <c r="Q13"/>
  <c r="O13"/>
  <c r="M13"/>
  <c r="R13"/>
  <c r="P13"/>
  <c r="N13"/>
  <c r="H21"/>
  <c r="N21"/>
  <c r="U21" s="1"/>
  <c r="H25"/>
  <c r="Q25"/>
  <c r="O25"/>
  <c r="M25"/>
  <c r="R25"/>
  <c r="P25"/>
  <c r="N25"/>
  <c r="S31"/>
  <c r="T31"/>
  <c r="R31"/>
  <c r="P31"/>
  <c r="N31"/>
  <c r="Q31"/>
  <c r="O31"/>
  <c r="M31"/>
  <c r="T55"/>
  <c r="S55"/>
  <c r="H64"/>
  <c r="M64"/>
  <c r="U64" s="1"/>
  <c r="H66"/>
  <c r="M66"/>
  <c r="U66" s="1"/>
  <c r="H68"/>
  <c r="M68"/>
  <c r="U68" s="1"/>
  <c r="T84"/>
  <c r="S84"/>
  <c r="R84"/>
  <c r="P84"/>
  <c r="N84"/>
  <c r="M84"/>
  <c r="Q84"/>
  <c r="O84"/>
  <c r="H24"/>
  <c r="R24"/>
  <c r="P24"/>
  <c r="N24"/>
  <c r="Q24"/>
  <c r="O24"/>
  <c r="M24"/>
  <c r="U24" s="1"/>
  <c r="S38"/>
  <c r="T38"/>
  <c r="T48"/>
  <c r="M48"/>
  <c r="Q48"/>
  <c r="H65"/>
  <c r="M65"/>
  <c r="U65" s="1"/>
  <c r="H67"/>
  <c r="M67"/>
  <c r="U67" s="1"/>
  <c r="I11"/>
  <c r="L11"/>
  <c r="K11"/>
  <c r="J11"/>
  <c r="I12"/>
  <c r="L12"/>
  <c r="K12"/>
  <c r="J12"/>
  <c r="I28"/>
  <c r="L28"/>
  <c r="K28"/>
  <c r="J28"/>
  <c r="K38"/>
  <c r="L38"/>
  <c r="J38"/>
  <c r="K40"/>
  <c r="L40"/>
  <c r="J40"/>
  <c r="H44"/>
  <c r="L44"/>
  <c r="U44" s="1"/>
  <c r="H46"/>
  <c r="L46"/>
  <c r="U46" s="1"/>
  <c r="I48"/>
  <c r="J48"/>
  <c r="H50"/>
  <c r="I50"/>
  <c r="U50" s="1"/>
  <c r="I13"/>
  <c r="L13"/>
  <c r="K13"/>
  <c r="J13"/>
  <c r="L31"/>
  <c r="K31"/>
  <c r="J31"/>
  <c r="H45"/>
  <c r="L45"/>
  <c r="U45" s="1"/>
  <c r="H47"/>
  <c r="L47"/>
  <c r="U47" s="1"/>
  <c r="H49"/>
  <c r="I49"/>
  <c r="U49" s="1"/>
  <c r="K55"/>
  <c r="L55"/>
  <c r="J55"/>
  <c r="I84"/>
  <c r="L84"/>
  <c r="K84"/>
  <c r="J84"/>
  <c r="H31"/>
  <c r="I31"/>
  <c r="H55"/>
  <c r="H82" s="1"/>
  <c r="I55"/>
  <c r="H38"/>
  <c r="I38"/>
  <c r="U38" s="1"/>
  <c r="H40"/>
  <c r="I40"/>
  <c r="U40" s="1"/>
  <c r="H84"/>
  <c r="H86" s="1"/>
  <c r="H28"/>
  <c r="H48"/>
  <c r="H53" s="1"/>
  <c r="H11"/>
  <c r="H12"/>
  <c r="H16"/>
  <c r="H13"/>
  <c r="H15"/>
  <c r="F87"/>
  <c r="H19"/>
  <c r="H42"/>
  <c r="H32" l="1"/>
  <c r="U55"/>
  <c r="U82" s="1"/>
  <c r="U31"/>
  <c r="T87"/>
  <c r="T128" s="1"/>
  <c r="S87"/>
  <c r="Q87"/>
  <c r="Q128" s="1"/>
  <c r="O87"/>
  <c r="R87"/>
  <c r="R128" s="1"/>
  <c r="P87"/>
  <c r="P128" s="1"/>
  <c r="N87"/>
  <c r="M87"/>
  <c r="M128" s="1"/>
  <c r="U11"/>
  <c r="U25"/>
  <c r="N128"/>
  <c r="O128"/>
  <c r="S128"/>
  <c r="I87"/>
  <c r="K87"/>
  <c r="L87"/>
  <c r="L128" s="1"/>
  <c r="J87"/>
  <c r="J128" s="1"/>
  <c r="U84"/>
  <c r="U86" s="1"/>
  <c r="U13"/>
  <c r="U48"/>
  <c r="U53" s="1"/>
  <c r="U28"/>
  <c r="U32" s="1"/>
  <c r="U12"/>
  <c r="K128"/>
  <c r="U42"/>
  <c r="H87"/>
  <c r="H88" s="1"/>
  <c r="H22"/>
  <c r="U22" l="1"/>
  <c r="U87"/>
  <c r="U88" s="1"/>
  <c r="I128"/>
  <c r="H89"/>
  <c r="H92" s="1"/>
  <c r="G128" s="1"/>
  <c r="H128" s="1"/>
  <c r="C134" l="1"/>
  <c r="U128" l="1"/>
  <c r="C133" l="1"/>
  <c r="C137"/>
</calcChain>
</file>

<file path=xl/sharedStrings.xml><?xml version="1.0" encoding="utf-8"?>
<sst xmlns="http://schemas.openxmlformats.org/spreadsheetml/2006/main" count="377" uniqueCount="271">
  <si>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</si>
  <si>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</si>
  <si>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</si>
  <si>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</si>
  <si>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</si>
  <si>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</si>
  <si>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</si>
  <si>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</si>
  <si>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</si>
  <si>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</si>
  <si>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</si>
  <si>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</si>
  <si>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</si>
  <si>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</si>
  <si>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</si>
  <si>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</si>
  <si>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</si>
  <si>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</si>
  <si>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</si>
  <si>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</si>
  <si>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</si>
  <si>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</si>
  <si>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</si>
  <si>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</si>
  <si>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</si>
  <si>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</si>
  <si>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</si>
  <si>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</si>
  <si>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</si>
  <si>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</si>
  <si>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</si>
  <si>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</si>
  <si>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</si>
  <si>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</si>
  <si>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</si>
  <si>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</si>
  <si>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</si>
  <si>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</si>
  <si>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</si>
  <si>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</si>
  <si>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</si>
  <si>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</si>
  <si>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</si>
  <si>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</si>
  <si>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</si>
  <si>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</si>
  <si>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</si>
  <si>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</si>
  <si>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</si>
  <si>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</si>
  <si>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</si>
  <si>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</si>
  <si>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</si>
  <si>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</si>
  <si>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</si>
  <si>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</si>
  <si>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</si>
  <si>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</si>
  <si>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</si>
  <si>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</si>
  <si>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</si>
  <si>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</si>
  <si>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</si>
  <si>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</si>
  <si>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</si>
  <si>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</si>
  <si>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</si>
  <si>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</si>
  <si>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</si>
  <si>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</si>
  <si>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</si>
  <si>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</si>
  <si>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</si>
  <si>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</si>
  <si>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</si>
  <si>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</si>
  <si>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</si>
  <si>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</si>
  <si>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</si>
  <si>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</si>
  <si>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</si>
  <si>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</si>
  <si>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</si>
  <si>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</si>
  <si>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</si>
  <si>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</si>
  <si>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</si>
  <si>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</si>
  <si>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</si>
  <si>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</si>
  <si>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</si>
  <si>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</si>
  <si>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</si>
  <si>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</si>
  <si>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</si>
  <si>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</si>
  <si>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</si>
  <si>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</si>
  <si>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</si>
  <si>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</si>
  <si>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</si>
  <si>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</si>
  <si>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</si>
  <si>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</si>
  <si>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</si>
  <si>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</si>
  <si>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</si>
  <si>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м2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</si>
  <si>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</si>
  <si>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</si>
  <si>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</si>
  <si>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</si>
  <si>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</si>
  <si>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</si>
  <si>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</si>
  <si>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</si>
  <si>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</si>
  <si>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</si>
  <si>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</si>
  <si>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</si>
  <si>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</si>
  <si>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</si>
  <si>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</si>
  <si>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</si>
  <si>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</si>
  <si>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</si>
  <si>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</si>
  <si>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</si>
  <si>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</si>
  <si>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</si>
  <si>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Смена магнитных пускателей</t>
  </si>
  <si>
    <t>ТЭР 33-025</t>
  </si>
  <si>
    <t>Смена выключателей</t>
  </si>
  <si>
    <t>ТЭР 33-028</t>
  </si>
  <si>
    <t>Смена патронов</t>
  </si>
  <si>
    <t>ТЭР 33-049</t>
  </si>
  <si>
    <t>Замена ламп ДРЛ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</si>
  <si>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</si>
  <si>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</si>
  <si>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</si>
  <si>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</si>
  <si>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</si>
  <si>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</si>
  <si>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</si>
  <si>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Ремонт рулонной кровли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</si>
  <si>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</si>
  <si>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</si>
  <si>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</si>
  <si>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</si>
  <si>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</si>
  <si>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</si>
  <si>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</si>
  <si>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</si>
  <si>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</si>
  <si>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</si>
  <si>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</si>
  <si>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</si>
  <si>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ТЭР 51-022</t>
  </si>
  <si>
    <t>Влажная протирка шкафов для щитов и слаботочн. устройств</t>
  </si>
  <si>
    <t>3 раза в год</t>
  </si>
  <si>
    <t xml:space="preserve"> Очистка края кровли от слежавшегося снега со сбрасыванием сосулек (10% от S кровли) и козырьки</t>
  </si>
  <si>
    <t>Очистка чердака, подвала от мусора</t>
  </si>
  <si>
    <t>12 раз за сезон</t>
  </si>
  <si>
    <t>24 раза за сезон</t>
  </si>
  <si>
    <t>Сдвигание снега в дни снегопада ( проезды)</t>
  </si>
  <si>
    <t>Сдвигание снега в дни снегопада ( крыльца, тротуары</t>
  </si>
  <si>
    <t>30 раз за сезон</t>
  </si>
  <si>
    <t>Вывоз снега с придомовой территории</t>
  </si>
  <si>
    <t>ТЭР 42-002</t>
  </si>
  <si>
    <t>Осмотр рулонной  кровли</t>
  </si>
  <si>
    <t>ТЭР 31-066</t>
  </si>
  <si>
    <t>Очистка внутреннего водостока</t>
  </si>
  <si>
    <t>водосток</t>
  </si>
  <si>
    <t>прим.ТЭР 54-041</t>
  </si>
  <si>
    <t xml:space="preserve">Очистка водостоков от наледи 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</si>
  <si>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</si>
  <si>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</si>
  <si>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</si>
  <si>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</si>
  <si>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</si>
  <si>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Дератизация</t>
  </si>
  <si>
    <t>Работа автовышки</t>
  </si>
  <si>
    <t>маш/час</t>
  </si>
  <si>
    <t>Баланс выполненных работ на 01.01.2015 г. ( -долг за предприятием, +долг за населением)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</si>
  <si>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</si>
  <si>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</si>
  <si>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</si>
  <si>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</si>
  <si>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</si>
  <si>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</si>
  <si>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</si>
  <si>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</si>
  <si>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</si>
  <si>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</si>
  <si>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</si>
  <si>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калькуляция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</si>
  <si>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</si>
  <si>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</si>
  <si>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Ремонт групповых щитков на лестничной клетке без ремонта автоматов</t>
  </si>
  <si>
    <t>ТЭР 33-030</t>
  </si>
  <si>
    <t>Ремонт и регулировка доводчика (без стоимости доводчика)</t>
  </si>
  <si>
    <t>1шт.</t>
  </si>
  <si>
    <t>Подключение и отключение сварочного аппарата</t>
  </si>
  <si>
    <t>ТЭР 33-060</t>
  </si>
  <si>
    <t>прим.ТЭР 2-2-1-2-7</t>
  </si>
  <si>
    <t xml:space="preserve">Смена сгонов у трубопроводов диаметром до 20 мм </t>
  </si>
  <si>
    <t>1 сгон</t>
  </si>
  <si>
    <t>прим. ТЭР 31-009</t>
  </si>
  <si>
    <t>Притирка пробочных кранов д= до 25 мм</t>
  </si>
  <si>
    <t>1 шт</t>
  </si>
  <si>
    <t>прим. ТЭР 32-042</t>
  </si>
  <si>
    <t>Ремонт вентильных кранов д=40 со снятием с места</t>
  </si>
  <si>
    <t>ТЭР 32-071</t>
  </si>
  <si>
    <t>Ремонт и регулировка доводчика (со стоимостью доводчика)</t>
  </si>
  <si>
    <t>Внеплановый осмотр электросетей, арматуры и электрооборудования на лестничных клетках</t>
  </si>
  <si>
    <t>Стоимость (руб.)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</si>
  <si>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Нефтяников, 2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</si>
  <si>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8 подъездов</t>
  </si>
  <si>
    <t>договор</t>
  </si>
  <si>
    <t>ТО внутридомового газ.оборудования</t>
  </si>
  <si>
    <t>10 м</t>
  </si>
  <si>
    <t>Смена арматуры - вентилей и клапанов обратных муфтовых диаметром до 20 мм</t>
  </si>
  <si>
    <t>ТЭР 32-027</t>
  </si>
  <si>
    <t>Выполне ние       май</t>
  </si>
  <si>
    <t>место</t>
  </si>
  <si>
    <t>ТЭР 32-098</t>
  </si>
  <si>
    <t>С учетом показателя инфляции    ( К=1,064)</t>
  </si>
  <si>
    <t>смета</t>
  </si>
  <si>
    <t>тыс. руб.</t>
  </si>
  <si>
    <t>Начислено за содержание и текущий ремонт за 2015  г.</t>
  </si>
  <si>
    <t>Выполнено работ по содержанию за       2015 г.</t>
  </si>
  <si>
    <t>Выполнено работ по текущему ремонту за  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</si>
  <si>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</si>
  <si>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</si>
  <si>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</si>
  <si>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Окраска наружной поверхности эл. щита</t>
  </si>
  <si>
    <t>Ремонт силового предохранительного шкафа (без стоимости материалов)</t>
  </si>
  <si>
    <t>ТЭР 33-032</t>
  </si>
  <si>
    <t>1 м</t>
  </si>
  <si>
    <t>ТЭР Q2-2-1-3-3</t>
  </si>
  <si>
    <t>Смена пакетных выключателей</t>
  </si>
  <si>
    <t>ТЭР 33-022</t>
  </si>
  <si>
    <t>м</t>
  </si>
  <si>
    <t>Смена трубопроводов на металл-полимерные трубы д=15 ( кв.105)</t>
  </si>
  <si>
    <t>Смена дверных приборов - пружины</t>
  </si>
  <si>
    <t>ТЭР 15-018</t>
  </si>
  <si>
    <t>ТЭР 17-029</t>
  </si>
  <si>
    <t>Смена частей водосточных труб - отливы (6 под.)</t>
  </si>
  <si>
    <t>10 ступ.</t>
  </si>
  <si>
    <t>ТЭР 18-001</t>
  </si>
  <si>
    <t>Ремонт ступеней деревянных (1 под.)</t>
  </si>
  <si>
    <t>Смена арматуры - вентилей и клапанов обратных муфтовых диаметром до 32 мм</t>
  </si>
  <si>
    <t>ТЭР 32-028</t>
  </si>
  <si>
    <t>Ремонт внутренних трубопроводов и стояков д=до 50 мм ( хомуты)</t>
  </si>
  <si>
    <t xml:space="preserve">Установка эластичной накладки с закреплением хомутов на болтах трубопровода диаметром до 50 мм           </t>
  </si>
  <si>
    <t>1 место</t>
  </si>
  <si>
    <t>прим. ТЭР 2-2-1-2-17</t>
  </si>
  <si>
    <t>прим. ТЭР 11-013</t>
  </si>
  <si>
    <t>Заделка подвальных окон фанерой (заделка окна в подъезде ДВП)</t>
  </si>
  <si>
    <t>Смена трубопроводов на металл-полимерные трубы д=20 ( кв.68,65,97,56,59,113)</t>
  </si>
  <si>
    <t>20-1-134-2</t>
  </si>
  <si>
    <t>Пристрожка полотна по кромкам</t>
  </si>
  <si>
    <t>1 полотно</t>
  </si>
  <si>
    <t>20-1-134-1</t>
  </si>
  <si>
    <t>Снятие и навеска полотна (без снятия петель)</t>
  </si>
  <si>
    <t>Смена плавкой вставки</t>
  </si>
  <si>
    <t>ТЭР 33-041</t>
  </si>
  <si>
    <t>Ремонт магнитных пускателей</t>
  </si>
  <si>
    <t>ТЭР 33-029</t>
  </si>
  <si>
    <t>Смена светильников с лампами накаливания</t>
  </si>
  <si>
    <t>ТЭР 33-023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</si>
</sst>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13" borderId="3" xfId="0" applyNumberFormat="1" applyFont="1" applyFill="1" applyBorder="1" applyAlignment="1" applyProtection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1" fillId="13" borderId="3" xfId="0" applyNumberFormat="1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4" fontId="0" fillId="8" borderId="3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14" xfId="0" applyFont="1" applyBorder="1"/>
    <xf numFmtId="4" fontId="1" fillId="4" borderId="7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13" borderId="3" xfId="0" applyNumberFormat="1" applyFont="1" applyFill="1" applyBorder="1" applyAlignment="1" applyProtection="1">
      <alignment horizontal="left" vertical="center"/>
    </xf>
    <xf numFmtId="0" fontId="17" fillId="13" borderId="3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left" vertical="center" wrapText="1"/>
    </xf>
    <xf numFmtId="0" fontId="1" fillId="13" borderId="3" xfId="0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41"/>
  <sheetViews>
    <sheetView tabSelected="1" view="pageBreakPreview" zoomScaleNormal="75" zoomScaleSheetLayoutView="100" workbookViewId="0">
      <pane ySplit="7" topLeftCell="A94" activePane="bottomLeft" state="frozen"/>
      <selection activeCell="B1" sqref="B1"/>
      <selection pane="bottomLeft" activeCell="U91" sqref="U91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42578125" customWidth="1"/>
    <col min="10" max="10" width="9.7109375" customWidth="1"/>
    <col min="11" max="11" width="10.28515625" customWidth="1"/>
    <col min="12" max="12" width="9.7109375" customWidth="1"/>
    <col min="13" max="13" width="10.85546875" customWidth="1"/>
    <col min="14" max="14" width="9.85546875" customWidth="1"/>
    <col min="15" max="15" width="10.140625" customWidth="1"/>
    <col min="16" max="16" width="9.5703125" customWidth="1"/>
    <col min="17" max="17" width="10" customWidth="1"/>
    <col min="18" max="18" width="10.42578125" customWidth="1"/>
    <col min="19" max="19" width="10" customWidth="1"/>
    <col min="20" max="20" width="9.7109375" customWidth="1"/>
    <col min="21" max="21" width="13" customWidth="1"/>
  </cols>
  <sheetData>
    <row r="1" spans="1:21" ht="14.25" customHeight="1">
      <c r="A1" s="11"/>
    </row>
    <row r="3" spans="1:21" ht="18">
      <c r="A3" s="145"/>
      <c r="B3" s="161" t="s"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78"/>
      <c r="N3" s="78"/>
      <c r="O3" s="78"/>
      <c r="P3" s="78"/>
      <c r="Q3" s="78"/>
      <c r="R3" s="78"/>
      <c r="S3" s="78"/>
      <c r="T3" s="78"/>
      <c r="U3" s="78"/>
    </row>
    <row r="4" spans="1:21" ht="35.25" customHeight="1">
      <c r="A4" s="78"/>
      <c r="B4" s="162" t="s">
        <v>1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78"/>
      <c r="N4" s="78"/>
      <c r="O4" s="78"/>
      <c r="P4" s="78"/>
      <c r="Q4" s="78"/>
      <c r="R4" s="78"/>
      <c r="S4" s="78"/>
      <c r="T4" s="78"/>
      <c r="U4" s="78"/>
    </row>
    <row r="5" spans="1:21" ht="18">
      <c r="A5" s="78"/>
      <c r="B5" s="162" t="s">
        <v>216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78"/>
      <c r="N5" s="78"/>
      <c r="O5" s="78"/>
      <c r="P5" s="78"/>
      <c r="Q5" s="78"/>
      <c r="R5" s="78"/>
      <c r="S5" s="78"/>
      <c r="T5" s="78"/>
      <c r="U5" s="78"/>
    </row>
    <row r="6" spans="1:21" ht="14.25">
      <c r="A6" s="78"/>
      <c r="B6" s="163" t="s">
        <v>217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78"/>
      <c r="N6" s="78"/>
      <c r="O6" s="78"/>
      <c r="P6" s="78"/>
      <c r="Q6" s="78"/>
      <c r="R6" s="78"/>
      <c r="S6" s="78"/>
      <c r="T6" s="78"/>
      <c r="U6" s="78"/>
    </row>
    <row r="7" spans="1:21" ht="50.25" customHeight="1">
      <c r="A7" s="30" t="s">
        <v>2</v>
      </c>
      <c r="B7" s="30" t="s">
        <v>3</v>
      </c>
      <c r="C7" s="30" t="s">
        <v>4</v>
      </c>
      <c r="D7" s="30" t="s">
        <v>5</v>
      </c>
      <c r="E7" s="30" t="s">
        <v>6</v>
      </c>
      <c r="F7" s="30" t="s">
        <v>7</v>
      </c>
      <c r="G7" s="30" t="s">
        <v>8</v>
      </c>
      <c r="H7" s="31" t="s">
        <v>9</v>
      </c>
      <c r="I7" s="29" t="s">
        <v>184</v>
      </c>
      <c r="J7" s="29" t="s">
        <v>185</v>
      </c>
      <c r="K7" s="29" t="s">
        <v>186</v>
      </c>
      <c r="L7" s="29" t="s">
        <v>187</v>
      </c>
      <c r="M7" s="29" t="s">
        <v>223</v>
      </c>
      <c r="N7" s="29" t="s">
        <v>188</v>
      </c>
      <c r="O7" s="29" t="s">
        <v>189</v>
      </c>
      <c r="P7" s="29" t="s">
        <v>190</v>
      </c>
      <c r="Q7" s="29" t="s">
        <v>191</v>
      </c>
      <c r="R7" s="29" t="s">
        <v>192</v>
      </c>
      <c r="S7" s="29" t="s">
        <v>193</v>
      </c>
      <c r="T7" s="29" t="s">
        <v>194</v>
      </c>
      <c r="U7" s="29" t="s">
        <v>215</v>
      </c>
    </row>
    <row r="8" spans="1:21">
      <c r="A8" s="32">
        <v>1</v>
      </c>
      <c r="B8" s="8">
        <v>2</v>
      </c>
      <c r="C8" s="32">
        <v>3</v>
      </c>
      <c r="D8" s="8">
        <v>4</v>
      </c>
      <c r="E8" s="8">
        <v>5</v>
      </c>
      <c r="F8" s="32">
        <v>6</v>
      </c>
      <c r="G8" s="32">
        <v>7</v>
      </c>
      <c r="H8" s="33">
        <v>8</v>
      </c>
      <c r="I8" s="34">
        <v>10</v>
      </c>
      <c r="J8" s="34">
        <v>11</v>
      </c>
      <c r="K8" s="34">
        <v>12</v>
      </c>
      <c r="L8" s="34">
        <v>13</v>
      </c>
      <c r="M8" s="35">
        <v>14</v>
      </c>
      <c r="N8" s="34">
        <v>15</v>
      </c>
      <c r="O8" s="34">
        <v>16</v>
      </c>
      <c r="P8" s="34">
        <v>17</v>
      </c>
      <c r="Q8" s="34">
        <v>18</v>
      </c>
      <c r="R8" s="34">
        <v>19</v>
      </c>
      <c r="S8" s="34">
        <v>20</v>
      </c>
      <c r="T8" s="34">
        <v>21</v>
      </c>
      <c r="U8" s="34">
        <v>22</v>
      </c>
    </row>
    <row r="9" spans="1:21" ht="38.25">
      <c r="A9" s="32"/>
      <c r="B9" s="10" t="s">
        <v>10</v>
      </c>
      <c r="C9" s="32"/>
      <c r="D9" s="12"/>
      <c r="E9" s="12"/>
      <c r="F9" s="32"/>
      <c r="G9" s="32"/>
      <c r="H9" s="36"/>
      <c r="I9" s="37"/>
      <c r="J9" s="37"/>
      <c r="K9" s="37"/>
      <c r="L9" s="37"/>
      <c r="M9" s="38"/>
      <c r="N9" s="39"/>
      <c r="O9" s="39"/>
      <c r="P9" s="39"/>
      <c r="Q9" s="39"/>
      <c r="R9" s="39"/>
      <c r="S9" s="39"/>
      <c r="T9" s="39"/>
      <c r="U9" s="39"/>
    </row>
    <row r="10" spans="1:21">
      <c r="A10" s="32"/>
      <c r="B10" s="10" t="s">
        <v>11</v>
      </c>
      <c r="C10" s="32"/>
      <c r="D10" s="12"/>
      <c r="E10" s="12"/>
      <c r="F10" s="32"/>
      <c r="G10" s="32"/>
      <c r="H10" s="36"/>
      <c r="I10" s="37"/>
      <c r="J10" s="37"/>
      <c r="K10" s="37"/>
      <c r="L10" s="37"/>
      <c r="M10" s="38"/>
      <c r="N10" s="39"/>
      <c r="O10" s="39"/>
      <c r="P10" s="39"/>
      <c r="Q10" s="39"/>
      <c r="R10" s="39"/>
      <c r="S10" s="39"/>
      <c r="T10" s="39"/>
      <c r="U10" s="39"/>
    </row>
    <row r="11" spans="1:21" ht="25.5">
      <c r="A11" s="32" t="s">
        <v>12</v>
      </c>
      <c r="B11" s="12" t="s">
        <v>13</v>
      </c>
      <c r="C11" s="32" t="s">
        <v>14</v>
      </c>
      <c r="D11" s="12" t="s">
        <v>15</v>
      </c>
      <c r="E11" s="40">
        <v>129.88</v>
      </c>
      <c r="F11" s="41">
        <f>SUM(E11*156/100)</f>
        <v>202.61279999999999</v>
      </c>
      <c r="G11" s="41">
        <v>175.38</v>
      </c>
      <c r="H11" s="42">
        <f t="shared" ref="H11:H21" si="0">SUM(F11*G11/1000)</f>
        <v>35.534232863999996</v>
      </c>
      <c r="I11" s="43">
        <f>F11/12*G11</f>
        <v>2961.186072</v>
      </c>
      <c r="J11" s="43">
        <f>F11/12*G11</f>
        <v>2961.186072</v>
      </c>
      <c r="K11" s="43">
        <f>F11/12*G11</f>
        <v>2961.186072</v>
      </c>
      <c r="L11" s="43">
        <f>F11/12*G11</f>
        <v>2961.186072</v>
      </c>
      <c r="M11" s="43">
        <f>F11/12*G11</f>
        <v>2961.186072</v>
      </c>
      <c r="N11" s="43">
        <f>F11/12*G11</f>
        <v>2961.186072</v>
      </c>
      <c r="O11" s="43">
        <f>F11/12*G11</f>
        <v>2961.186072</v>
      </c>
      <c r="P11" s="43">
        <f>F11/12*G11</f>
        <v>2961.186072</v>
      </c>
      <c r="Q11" s="43">
        <f>F11/12*G11</f>
        <v>2961.186072</v>
      </c>
      <c r="R11" s="43">
        <f>F11/12*G11</f>
        <v>2961.186072</v>
      </c>
      <c r="S11" s="43">
        <f>F11/12*G11</f>
        <v>2961.186072</v>
      </c>
      <c r="T11" s="43">
        <f>F11/12*G11</f>
        <v>2961.186072</v>
      </c>
      <c r="U11" s="43">
        <f>SUM(I11:T11)</f>
        <v>35534.232863999998</v>
      </c>
    </row>
    <row r="12" spans="1:21" ht="25.5">
      <c r="A12" s="32" t="s">
        <v>12</v>
      </c>
      <c r="B12" s="12" t="s">
        <v>16</v>
      </c>
      <c r="C12" s="32" t="s">
        <v>14</v>
      </c>
      <c r="D12" s="12" t="s">
        <v>17</v>
      </c>
      <c r="E12" s="40">
        <v>519.52</v>
      </c>
      <c r="F12" s="41">
        <f>SUM(E12*104/100)</f>
        <v>540.30079999999998</v>
      </c>
      <c r="G12" s="41">
        <v>175.38</v>
      </c>
      <c r="H12" s="42">
        <f t="shared" si="0"/>
        <v>94.757954303999995</v>
      </c>
      <c r="I12" s="43">
        <f>F12/12*G12</f>
        <v>7896.4961919999996</v>
      </c>
      <c r="J12" s="43">
        <f>F12/12*G12</f>
        <v>7896.4961919999996</v>
      </c>
      <c r="K12" s="43">
        <f>F12/12*G12</f>
        <v>7896.4961919999996</v>
      </c>
      <c r="L12" s="43">
        <f>F12/12*G12</f>
        <v>7896.4961919999996</v>
      </c>
      <c r="M12" s="43">
        <f>F12/12*G12</f>
        <v>7896.4961919999996</v>
      </c>
      <c r="N12" s="43">
        <f>F12/12*G12</f>
        <v>7896.4961919999996</v>
      </c>
      <c r="O12" s="43">
        <f>F12/12*G12</f>
        <v>7896.4961919999996</v>
      </c>
      <c r="P12" s="43">
        <f>F12/12*G12</f>
        <v>7896.4961919999996</v>
      </c>
      <c r="Q12" s="43">
        <f>F12/12*G12</f>
        <v>7896.4961919999996</v>
      </c>
      <c r="R12" s="43">
        <f>F12/12*G12</f>
        <v>7896.4961919999996</v>
      </c>
      <c r="S12" s="43">
        <f>F12/12*G12</f>
        <v>7896.4961919999996</v>
      </c>
      <c r="T12" s="43">
        <f>F12/12*G12</f>
        <v>7896.4961919999996</v>
      </c>
      <c r="U12" s="43">
        <f t="shared" ref="U12:U21" si="1">SUM(I12:T12)</f>
        <v>94757.954304000014</v>
      </c>
    </row>
    <row r="13" spans="1:21" ht="25.5">
      <c r="A13" s="32" t="s">
        <v>18</v>
      </c>
      <c r="B13" s="12" t="s">
        <v>19</v>
      </c>
      <c r="C13" s="32" t="s">
        <v>14</v>
      </c>
      <c r="D13" s="12" t="s">
        <v>20</v>
      </c>
      <c r="E13" s="40">
        <f>SUM(E11+E12)</f>
        <v>649.4</v>
      </c>
      <c r="F13" s="41">
        <f>SUM(E13*24/100)</f>
        <v>155.85599999999999</v>
      </c>
      <c r="G13" s="41">
        <v>504.5</v>
      </c>
      <c r="H13" s="42">
        <f t="shared" si="0"/>
        <v>78.629351999999997</v>
      </c>
      <c r="I13" s="43">
        <f>F13/12*G13</f>
        <v>6552.4459999999999</v>
      </c>
      <c r="J13" s="43">
        <f>F13/12*G13</f>
        <v>6552.4459999999999</v>
      </c>
      <c r="K13" s="43">
        <f>F13/12*G13</f>
        <v>6552.4459999999999</v>
      </c>
      <c r="L13" s="43">
        <f>F13/12*G13</f>
        <v>6552.4459999999999</v>
      </c>
      <c r="M13" s="43">
        <f>F13/12*G13</f>
        <v>6552.4459999999999</v>
      </c>
      <c r="N13" s="43">
        <f>F13/12*G13</f>
        <v>6552.4459999999999</v>
      </c>
      <c r="O13" s="43">
        <f>F13/12*G13</f>
        <v>6552.4459999999999</v>
      </c>
      <c r="P13" s="43">
        <f>F13/12*G13</f>
        <v>6552.4459999999999</v>
      </c>
      <c r="Q13" s="43">
        <f>F13/12*G13</f>
        <v>6552.4459999999999</v>
      </c>
      <c r="R13" s="43">
        <f>F13/12*G13</f>
        <v>6552.4459999999999</v>
      </c>
      <c r="S13" s="43">
        <f>F13/12*G13</f>
        <v>6552.4459999999999</v>
      </c>
      <c r="T13" s="43">
        <f>F13/12*G13</f>
        <v>6552.4459999999999</v>
      </c>
      <c r="U13" s="43">
        <f t="shared" si="1"/>
        <v>78629.351999999984</v>
      </c>
    </row>
    <row r="14" spans="1:21">
      <c r="A14" s="32" t="s">
        <v>21</v>
      </c>
      <c r="B14" s="12" t="s">
        <v>22</v>
      </c>
      <c r="C14" s="32" t="s">
        <v>23</v>
      </c>
      <c r="D14" s="12" t="s">
        <v>155</v>
      </c>
      <c r="E14" s="40">
        <v>124.8</v>
      </c>
      <c r="F14" s="41">
        <f>SUM(E14/10)</f>
        <v>12.48</v>
      </c>
      <c r="G14" s="41">
        <v>170.16</v>
      </c>
      <c r="H14" s="42">
        <f t="shared" si="0"/>
        <v>2.1235967999999996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21" si="2">F14*G14</f>
        <v>2123.5967999999998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f t="shared" si="1"/>
        <v>2123.5967999999998</v>
      </c>
    </row>
    <row r="15" spans="1:21">
      <c r="A15" s="32" t="s">
        <v>24</v>
      </c>
      <c r="B15" s="12" t="s">
        <v>25</v>
      </c>
      <c r="C15" s="32" t="s">
        <v>14</v>
      </c>
      <c r="D15" s="12" t="s">
        <v>49</v>
      </c>
      <c r="E15" s="40">
        <v>57.5</v>
      </c>
      <c r="F15" s="41">
        <f>SUM(E15/100)</f>
        <v>0.57499999999999996</v>
      </c>
      <c r="G15" s="41">
        <v>217.88</v>
      </c>
      <c r="H15" s="42">
        <f t="shared" si="0"/>
        <v>0.125281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125.28099999999999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f t="shared" si="1"/>
        <v>125.28099999999999</v>
      </c>
    </row>
    <row r="16" spans="1:21">
      <c r="A16" s="32" t="s">
        <v>26</v>
      </c>
      <c r="B16" s="12" t="s">
        <v>27</v>
      </c>
      <c r="C16" s="32" t="s">
        <v>14</v>
      </c>
      <c r="D16" s="12" t="s">
        <v>49</v>
      </c>
      <c r="E16" s="40">
        <v>13.41</v>
      </c>
      <c r="F16" s="41">
        <f>SUM(E16/100)</f>
        <v>0.1341</v>
      </c>
      <c r="G16" s="41">
        <v>216.12</v>
      </c>
      <c r="H16" s="42">
        <f t="shared" si="0"/>
        <v>2.8981692E-2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28.981691999999999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f t="shared" si="1"/>
        <v>28.981691999999999</v>
      </c>
    </row>
    <row r="17" spans="1:21">
      <c r="A17" s="32" t="s">
        <v>28</v>
      </c>
      <c r="B17" s="12" t="s">
        <v>29</v>
      </c>
      <c r="C17" s="32" t="s">
        <v>30</v>
      </c>
      <c r="D17" s="12" t="s">
        <v>155</v>
      </c>
      <c r="E17" s="40">
        <v>820.5</v>
      </c>
      <c r="F17" s="41">
        <f>SUM(E17/100)</f>
        <v>8.2050000000000001</v>
      </c>
      <c r="G17" s="41">
        <v>269.26</v>
      </c>
      <c r="H17" s="42">
        <f t="shared" si="0"/>
        <v>2.2092782999999998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2209.2782999999999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f t="shared" si="1"/>
        <v>2209.2782999999999</v>
      </c>
    </row>
    <row r="18" spans="1:21">
      <c r="A18" s="32" t="s">
        <v>31</v>
      </c>
      <c r="B18" s="12" t="s">
        <v>32</v>
      </c>
      <c r="C18" s="32" t="s">
        <v>30</v>
      </c>
      <c r="D18" s="12" t="s">
        <v>155</v>
      </c>
      <c r="E18" s="45">
        <v>60.25</v>
      </c>
      <c r="F18" s="41">
        <f>SUM(E18/100)</f>
        <v>0.60250000000000004</v>
      </c>
      <c r="G18" s="41">
        <v>44.29</v>
      </c>
      <c r="H18" s="42">
        <f t="shared" si="0"/>
        <v>2.6684724999999999E-2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26.684725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f t="shared" si="1"/>
        <v>26.684725</v>
      </c>
    </row>
    <row r="19" spans="1:21">
      <c r="A19" s="32" t="s">
        <v>33</v>
      </c>
      <c r="B19" s="12" t="s">
        <v>34</v>
      </c>
      <c r="C19" s="32" t="s">
        <v>30</v>
      </c>
      <c r="D19" s="12" t="s">
        <v>156</v>
      </c>
      <c r="E19" s="40">
        <v>19.149999999999999</v>
      </c>
      <c r="F19" s="41">
        <f>E19/100</f>
        <v>0.19149999999999998</v>
      </c>
      <c r="G19" s="41">
        <v>389.72</v>
      </c>
      <c r="H19" s="42">
        <f t="shared" si="0"/>
        <v>7.4631379999999997E-2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74.631379999999993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f t="shared" si="1"/>
        <v>74.631379999999993</v>
      </c>
    </row>
    <row r="20" spans="1:21" ht="25.5">
      <c r="A20" s="32" t="s">
        <v>157</v>
      </c>
      <c r="B20" s="12" t="s">
        <v>158</v>
      </c>
      <c r="C20" s="32" t="s">
        <v>30</v>
      </c>
      <c r="D20" s="12" t="s">
        <v>49</v>
      </c>
      <c r="E20" s="40">
        <v>31.5</v>
      </c>
      <c r="F20" s="41">
        <v>0.32</v>
      </c>
      <c r="G20" s="41">
        <v>216.12</v>
      </c>
      <c r="H20" s="42">
        <f>G20*F20/1000</f>
        <v>6.9158399999999995E-2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69.1584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f t="shared" si="1"/>
        <v>69.1584</v>
      </c>
    </row>
    <row r="21" spans="1:21">
      <c r="A21" s="32" t="s">
        <v>35</v>
      </c>
      <c r="B21" s="12" t="s">
        <v>36</v>
      </c>
      <c r="C21" s="32" t="s">
        <v>30</v>
      </c>
      <c r="D21" s="12" t="s">
        <v>155</v>
      </c>
      <c r="E21" s="40">
        <v>37.5</v>
      </c>
      <c r="F21" s="41">
        <f>SUM(E21/100)</f>
        <v>0.375</v>
      </c>
      <c r="G21" s="41">
        <v>520.79999999999995</v>
      </c>
      <c r="H21" s="42">
        <f t="shared" si="0"/>
        <v>0.19529999999999997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195.29999999999998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f t="shared" si="1"/>
        <v>195.29999999999998</v>
      </c>
    </row>
    <row r="22" spans="1:21" s="21" customFormat="1">
      <c r="A22" s="46"/>
      <c r="B22" s="22" t="s">
        <v>37</v>
      </c>
      <c r="C22" s="47"/>
      <c r="D22" s="22"/>
      <c r="E22" s="48"/>
      <c r="F22" s="49"/>
      <c r="G22" s="49"/>
      <c r="H22" s="50">
        <f>SUM(H11:H21)</f>
        <v>213.77445146499997</v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>
        <f>SUM(U11:U21)</f>
        <v>213774.45146499996</v>
      </c>
    </row>
    <row r="23" spans="1:21">
      <c r="A23" s="32"/>
      <c r="B23" s="14" t="s">
        <v>38</v>
      </c>
      <c r="C23" s="32"/>
      <c r="D23" s="12"/>
      <c r="E23" s="40"/>
      <c r="F23" s="41"/>
      <c r="G23" s="41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25.5" customHeight="1">
      <c r="A24" s="32" t="s">
        <v>39</v>
      </c>
      <c r="B24" s="12" t="s">
        <v>40</v>
      </c>
      <c r="C24" s="32" t="s">
        <v>41</v>
      </c>
      <c r="D24" s="12" t="s">
        <v>42</v>
      </c>
      <c r="E24" s="41">
        <v>1304.45</v>
      </c>
      <c r="F24" s="41">
        <f>SUM(E24*52/1000)</f>
        <v>67.831400000000002</v>
      </c>
      <c r="G24" s="41">
        <v>155.88999999999999</v>
      </c>
      <c r="H24" s="42">
        <f t="shared" ref="H24:H31" si="3">SUM(F24*G24/1000)</f>
        <v>10.574236945999999</v>
      </c>
      <c r="I24" s="43">
        <v>0</v>
      </c>
      <c r="J24" s="43">
        <v>0</v>
      </c>
      <c r="K24" s="43">
        <v>0</v>
      </c>
      <c r="L24" s="43">
        <v>0</v>
      </c>
      <c r="M24" s="43">
        <f>F24/6*G24</f>
        <v>1762.3728243333333</v>
      </c>
      <c r="N24" s="43">
        <f>F24/6*G24</f>
        <v>1762.3728243333333</v>
      </c>
      <c r="O24" s="43">
        <f>F24/6*G24</f>
        <v>1762.3728243333333</v>
      </c>
      <c r="P24" s="43">
        <f>F24/6*G24</f>
        <v>1762.3728243333333</v>
      </c>
      <c r="Q24" s="43">
        <f>F24/6*G24</f>
        <v>1762.3728243333333</v>
      </c>
      <c r="R24" s="43">
        <f>F24/6*G24</f>
        <v>1762.3728243333333</v>
      </c>
      <c r="S24" s="43">
        <v>0</v>
      </c>
      <c r="T24" s="43">
        <v>0</v>
      </c>
      <c r="U24" s="43">
        <f t="shared" ref="U24:U31" si="4">SUM(I24:T24)</f>
        <v>10574.236945999999</v>
      </c>
    </row>
    <row r="25" spans="1:21" ht="38.25" customHeight="1">
      <c r="A25" s="32" t="s">
        <v>43</v>
      </c>
      <c r="B25" s="12" t="s">
        <v>44</v>
      </c>
      <c r="C25" s="32" t="s">
        <v>45</v>
      </c>
      <c r="D25" s="12" t="s">
        <v>46</v>
      </c>
      <c r="E25" s="41">
        <v>287.83999999999997</v>
      </c>
      <c r="F25" s="41">
        <f>SUM(E25*78/1000)</f>
        <v>22.451519999999995</v>
      </c>
      <c r="G25" s="41">
        <v>258.63</v>
      </c>
      <c r="H25" s="42">
        <f t="shared" si="3"/>
        <v>5.8066366175999979</v>
      </c>
      <c r="I25" s="43">
        <v>0</v>
      </c>
      <c r="J25" s="43">
        <v>0</v>
      </c>
      <c r="K25" s="43">
        <v>0</v>
      </c>
      <c r="L25" s="43">
        <v>0</v>
      </c>
      <c r="M25" s="43">
        <f>F25/6*G25</f>
        <v>967.77276959999972</v>
      </c>
      <c r="N25" s="43">
        <f>F25/6*G25</f>
        <v>967.77276959999972</v>
      </c>
      <c r="O25" s="43">
        <f>F25/6*G25</f>
        <v>967.77276959999972</v>
      </c>
      <c r="P25" s="43">
        <f>F25/6*G25</f>
        <v>967.77276959999972</v>
      </c>
      <c r="Q25" s="43">
        <f>F25/6*G25</f>
        <v>967.77276959999972</v>
      </c>
      <c r="R25" s="43">
        <f>F25/6*G25</f>
        <v>967.77276959999972</v>
      </c>
      <c r="S25" s="43">
        <v>0</v>
      </c>
      <c r="T25" s="43">
        <v>0</v>
      </c>
      <c r="U25" s="43">
        <f t="shared" si="4"/>
        <v>5806.6366175999992</v>
      </c>
    </row>
    <row r="26" spans="1:21">
      <c r="A26" s="32" t="s">
        <v>47</v>
      </c>
      <c r="B26" s="12" t="s">
        <v>48</v>
      </c>
      <c r="C26" s="32" t="s">
        <v>45</v>
      </c>
      <c r="D26" s="12" t="s">
        <v>49</v>
      </c>
      <c r="E26" s="41">
        <v>1304.45</v>
      </c>
      <c r="F26" s="41">
        <f>SUM(E26/1000)</f>
        <v>1.3044500000000001</v>
      </c>
      <c r="G26" s="41">
        <v>3020.33</v>
      </c>
      <c r="H26" s="42">
        <f t="shared" si="3"/>
        <v>3.9398694685</v>
      </c>
      <c r="I26" s="43">
        <v>0</v>
      </c>
      <c r="J26" s="43">
        <v>0</v>
      </c>
      <c r="K26" s="43">
        <v>0</v>
      </c>
      <c r="L26" s="43">
        <v>0</v>
      </c>
      <c r="M26" s="43">
        <f>F26*G26</f>
        <v>3939.8694685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f t="shared" si="4"/>
        <v>3939.8694685</v>
      </c>
    </row>
    <row r="27" spans="1:21">
      <c r="A27" s="32" t="s">
        <v>50</v>
      </c>
      <c r="B27" s="12" t="s">
        <v>51</v>
      </c>
      <c r="C27" s="32" t="s">
        <v>52</v>
      </c>
      <c r="D27" s="12" t="s">
        <v>53</v>
      </c>
      <c r="E27" s="53">
        <v>0.33333333333333331</v>
      </c>
      <c r="F27" s="41">
        <f>155/3</f>
        <v>51.666666666666664</v>
      </c>
      <c r="G27" s="41">
        <v>56.69</v>
      </c>
      <c r="H27" s="42">
        <f>SUM(G27*155/3/1000)</f>
        <v>2.9289833333333331</v>
      </c>
      <c r="I27" s="43">
        <v>0</v>
      </c>
      <c r="J27" s="43">
        <v>0</v>
      </c>
      <c r="K27" s="43">
        <v>0</v>
      </c>
      <c r="L27" s="43">
        <v>0</v>
      </c>
      <c r="M27" s="43">
        <f>F27/6*G27</f>
        <v>488.16388888888883</v>
      </c>
      <c r="N27" s="43">
        <f>F27/6*G27</f>
        <v>488.16388888888883</v>
      </c>
      <c r="O27" s="43">
        <f>F27/6*G27</f>
        <v>488.16388888888883</v>
      </c>
      <c r="P27" s="43">
        <f>F27/6*G27</f>
        <v>488.16388888888883</v>
      </c>
      <c r="Q27" s="43">
        <f>F27/6*G27</f>
        <v>488.16388888888883</v>
      </c>
      <c r="R27" s="43">
        <f>F27/6*G27</f>
        <v>488.16388888888883</v>
      </c>
      <c r="S27" s="43">
        <v>0</v>
      </c>
      <c r="T27" s="43">
        <v>0</v>
      </c>
      <c r="U27" s="43">
        <f t="shared" si="4"/>
        <v>2928.9833333333331</v>
      </c>
    </row>
    <row r="28" spans="1:21" ht="12.75" customHeight="1">
      <c r="A28" s="32" t="s">
        <v>54</v>
      </c>
      <c r="B28" s="12" t="s">
        <v>55</v>
      </c>
      <c r="C28" s="32" t="s">
        <v>56</v>
      </c>
      <c r="D28" s="12" t="s">
        <v>57</v>
      </c>
      <c r="E28" s="54">
        <v>0.1</v>
      </c>
      <c r="F28" s="41">
        <f>SUM(E28*365)</f>
        <v>36.5</v>
      </c>
      <c r="G28" s="41">
        <v>147.03</v>
      </c>
      <c r="H28" s="42">
        <f t="shared" si="3"/>
        <v>5.3665950000000002</v>
      </c>
      <c r="I28" s="43">
        <f>F28/12*G28</f>
        <v>447.21625</v>
      </c>
      <c r="J28" s="43">
        <f>F28/12*G28</f>
        <v>447.21625</v>
      </c>
      <c r="K28" s="43">
        <f>F28/12*G28</f>
        <v>447.21625</v>
      </c>
      <c r="L28" s="43">
        <f>F28/12*G28</f>
        <v>447.21625</v>
      </c>
      <c r="M28" s="43">
        <f>F28/12*G28</f>
        <v>447.21625</v>
      </c>
      <c r="N28" s="43">
        <f>F28/12*G28</f>
        <v>447.21625</v>
      </c>
      <c r="O28" s="43">
        <f>F28/12*G28</f>
        <v>447.21625</v>
      </c>
      <c r="P28" s="43">
        <f>F28/12*G28</f>
        <v>447.21625</v>
      </c>
      <c r="Q28" s="43">
        <f>F28/12*G28</f>
        <v>447.21625</v>
      </c>
      <c r="R28" s="43">
        <f>F28/12*G28</f>
        <v>447.21625</v>
      </c>
      <c r="S28" s="43">
        <f>F28/12*G28</f>
        <v>447.21625</v>
      </c>
      <c r="T28" s="43">
        <f>F28/12*G28</f>
        <v>447.21625</v>
      </c>
      <c r="U28" s="43">
        <f t="shared" si="4"/>
        <v>5366.5950000000012</v>
      </c>
    </row>
    <row r="29" spans="1:21" ht="12.75" customHeight="1">
      <c r="A29" s="32" t="s">
        <v>59</v>
      </c>
      <c r="B29" s="12" t="s">
        <v>60</v>
      </c>
      <c r="C29" s="32" t="s">
        <v>56</v>
      </c>
      <c r="D29" s="12" t="s">
        <v>58</v>
      </c>
      <c r="E29" s="40"/>
      <c r="F29" s="41">
        <v>3</v>
      </c>
      <c r="G29" s="41">
        <v>191.32</v>
      </c>
      <c r="H29" s="42">
        <f t="shared" si="3"/>
        <v>0.57396000000000003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f t="shared" si="4"/>
        <v>0</v>
      </c>
    </row>
    <row r="30" spans="1:21" ht="13.5" customHeight="1">
      <c r="A30" s="32" t="s">
        <v>61</v>
      </c>
      <c r="B30" s="12" t="s">
        <v>62</v>
      </c>
      <c r="C30" s="32" t="s">
        <v>63</v>
      </c>
      <c r="D30" s="12" t="s">
        <v>58</v>
      </c>
      <c r="E30" s="40"/>
      <c r="F30" s="41">
        <v>2</v>
      </c>
      <c r="G30" s="41">
        <v>1136.32</v>
      </c>
      <c r="H30" s="42">
        <f t="shared" si="3"/>
        <v>2.27264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f t="shared" si="4"/>
        <v>0</v>
      </c>
    </row>
    <row r="31" spans="1:21">
      <c r="A31" s="32"/>
      <c r="B31" s="55" t="s">
        <v>64</v>
      </c>
      <c r="C31" s="32" t="s">
        <v>65</v>
      </c>
      <c r="D31" s="55" t="s">
        <v>66</v>
      </c>
      <c r="E31" s="40">
        <v>5162.6000000000004</v>
      </c>
      <c r="F31" s="41">
        <f>SUM(E31*12)</f>
        <v>61951.200000000004</v>
      </c>
      <c r="G31" s="41">
        <v>3.33</v>
      </c>
      <c r="H31" s="42">
        <f t="shared" si="3"/>
        <v>206.29749600000002</v>
      </c>
      <c r="I31" s="43">
        <f>F31/12*G31</f>
        <v>17191.458000000002</v>
      </c>
      <c r="J31" s="43">
        <f>F31/12*G31</f>
        <v>17191.458000000002</v>
      </c>
      <c r="K31" s="43">
        <f>F31/12*G31</f>
        <v>17191.458000000002</v>
      </c>
      <c r="L31" s="43">
        <f>F31/12*G31</f>
        <v>17191.458000000002</v>
      </c>
      <c r="M31" s="43">
        <f>F31/12*G31</f>
        <v>17191.458000000002</v>
      </c>
      <c r="N31" s="43">
        <f>F31/12*G31</f>
        <v>17191.458000000002</v>
      </c>
      <c r="O31" s="43">
        <f>F31/12*G31</f>
        <v>17191.458000000002</v>
      </c>
      <c r="P31" s="43">
        <f>F31/12*G31</f>
        <v>17191.458000000002</v>
      </c>
      <c r="Q31" s="43">
        <f>F31/12*G31</f>
        <v>17191.458000000002</v>
      </c>
      <c r="R31" s="43">
        <f>F31/12*G31</f>
        <v>17191.458000000002</v>
      </c>
      <c r="S31" s="43">
        <f>F31/12*G31</f>
        <v>17191.458000000002</v>
      </c>
      <c r="T31" s="43">
        <f>F31/12*G31</f>
        <v>17191.458000000002</v>
      </c>
      <c r="U31" s="43">
        <f t="shared" si="4"/>
        <v>206297.49600000007</v>
      </c>
    </row>
    <row r="32" spans="1:21" s="21" customFormat="1">
      <c r="A32" s="46"/>
      <c r="B32" s="22" t="s">
        <v>37</v>
      </c>
      <c r="C32" s="47"/>
      <c r="D32" s="22"/>
      <c r="E32" s="48"/>
      <c r="F32" s="49"/>
      <c r="G32" s="49"/>
      <c r="H32" s="56">
        <f>SUM(H24:H31)</f>
        <v>237.76041736543334</v>
      </c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>
        <f>SUM(U24:U31)</f>
        <v>234913.81736543341</v>
      </c>
    </row>
    <row r="33" spans="1:21">
      <c r="A33" s="32"/>
      <c r="B33" s="14" t="s">
        <v>67</v>
      </c>
      <c r="C33" s="32"/>
      <c r="D33" s="12"/>
      <c r="E33" s="40"/>
      <c r="F33" s="41"/>
      <c r="G33" s="41"/>
      <c r="H33" s="42" t="s">
        <v>66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1" ht="25.5">
      <c r="A34" s="32" t="s">
        <v>61</v>
      </c>
      <c r="B34" s="15" t="s">
        <v>68</v>
      </c>
      <c r="C34" s="32" t="s">
        <v>63</v>
      </c>
      <c r="D34" s="12"/>
      <c r="E34" s="40"/>
      <c r="F34" s="41">
        <v>10</v>
      </c>
      <c r="G34" s="41">
        <v>1527.22</v>
      </c>
      <c r="H34" s="42">
        <f t="shared" ref="H34:H41" si="5">SUM(F34*G34/1000)</f>
        <v>15.272200000000002</v>
      </c>
      <c r="I34" s="43">
        <f>F34/6*G34</f>
        <v>2545.3666666666668</v>
      </c>
      <c r="J34" s="43">
        <f>F34/6*G34</f>
        <v>2545.3666666666668</v>
      </c>
      <c r="K34" s="43">
        <f>F34/6*G34</f>
        <v>2545.3666666666668</v>
      </c>
      <c r="L34" s="43">
        <f>F34/6*G34</f>
        <v>2545.3666666666668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f>F34/6*G34</f>
        <v>2545.3666666666668</v>
      </c>
      <c r="T34" s="43">
        <f>F34/6*G34</f>
        <v>2545.3666666666668</v>
      </c>
      <c r="U34" s="43">
        <f t="shared" ref="U34:U41" si="6">SUM(I34:T34)</f>
        <v>15272.2</v>
      </c>
    </row>
    <row r="35" spans="1:21" s="1" customFormat="1">
      <c r="A35" s="57" t="s">
        <v>69</v>
      </c>
      <c r="B35" s="15" t="s">
        <v>164</v>
      </c>
      <c r="C35" s="57" t="s">
        <v>70</v>
      </c>
      <c r="D35" s="15" t="s">
        <v>162</v>
      </c>
      <c r="E35" s="58">
        <v>495</v>
      </c>
      <c r="F35" s="58">
        <f>SUM(E35*12/1000)</f>
        <v>5.94</v>
      </c>
      <c r="G35" s="58">
        <v>2102.71</v>
      </c>
      <c r="H35" s="42">
        <f t="shared" si="5"/>
        <v>12.4900974</v>
      </c>
      <c r="I35" s="59">
        <f>F35/6*G35</f>
        <v>2081.6829000000002</v>
      </c>
      <c r="J35" s="59">
        <f>F35/6*G35</f>
        <v>2081.6829000000002</v>
      </c>
      <c r="K35" s="59">
        <f>F35/6*G35</f>
        <v>2081.6829000000002</v>
      </c>
      <c r="L35" s="59">
        <f>F35/6*G35</f>
        <v>2081.6829000000002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f>F35/6*G35</f>
        <v>2081.6829000000002</v>
      </c>
      <c r="T35" s="59">
        <f>F35/6*G35</f>
        <v>2081.6829000000002</v>
      </c>
      <c r="U35" s="43">
        <f t="shared" si="6"/>
        <v>12490.097400000001</v>
      </c>
    </row>
    <row r="36" spans="1:21" ht="25.5">
      <c r="A36" s="57" t="s">
        <v>69</v>
      </c>
      <c r="B36" s="15" t="s">
        <v>165</v>
      </c>
      <c r="C36" s="57" t="s">
        <v>70</v>
      </c>
      <c r="D36" s="12" t="s">
        <v>166</v>
      </c>
      <c r="E36" s="40">
        <v>287.83999999999997</v>
      </c>
      <c r="F36" s="58">
        <v>8.64</v>
      </c>
      <c r="G36" s="41">
        <v>2102.71</v>
      </c>
      <c r="H36" s="42">
        <f>G36*F36/1000</f>
        <v>18.167414400000002</v>
      </c>
      <c r="I36" s="43">
        <f>F36/6*G36</f>
        <v>3027.9024000000004</v>
      </c>
      <c r="J36" s="43">
        <f>F36/6*G36</f>
        <v>3027.9024000000004</v>
      </c>
      <c r="K36" s="43">
        <f>F36/6*G36</f>
        <v>3027.9024000000004</v>
      </c>
      <c r="L36" s="43">
        <f>F36/6*G36</f>
        <v>3027.9024000000004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f>F36/6*G36</f>
        <v>3027.9024000000004</v>
      </c>
      <c r="T36" s="43">
        <f>F36/6*G36</f>
        <v>3027.9024000000004</v>
      </c>
      <c r="U36" s="43">
        <f t="shared" si="6"/>
        <v>18167.414400000001</v>
      </c>
    </row>
    <row r="37" spans="1:21">
      <c r="A37" s="32" t="s">
        <v>61</v>
      </c>
      <c r="B37" s="12" t="s">
        <v>167</v>
      </c>
      <c r="C37" s="32" t="s">
        <v>108</v>
      </c>
      <c r="D37" s="12" t="s">
        <v>58</v>
      </c>
      <c r="E37" s="40"/>
      <c r="F37" s="58">
        <v>80</v>
      </c>
      <c r="G37" s="41">
        <v>213.2</v>
      </c>
      <c r="H37" s="42">
        <f>G37*F37/1000</f>
        <v>17.056000000000001</v>
      </c>
      <c r="I37" s="43">
        <v>0</v>
      </c>
      <c r="J37" s="43">
        <v>0</v>
      </c>
      <c r="K37" s="43">
        <f>56*G37</f>
        <v>11939.199999999999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f t="shared" si="6"/>
        <v>11939.199999999999</v>
      </c>
    </row>
    <row r="38" spans="1:21" ht="24.75" customHeight="1">
      <c r="A38" s="32" t="s">
        <v>71</v>
      </c>
      <c r="B38" s="12" t="s">
        <v>72</v>
      </c>
      <c r="C38" s="32" t="s">
        <v>70</v>
      </c>
      <c r="D38" s="12" t="s">
        <v>73</v>
      </c>
      <c r="E38" s="41">
        <v>287.83999999999997</v>
      </c>
      <c r="F38" s="58">
        <f>SUM(E38*155/1000)</f>
        <v>44.615199999999994</v>
      </c>
      <c r="G38" s="41">
        <v>350.75</v>
      </c>
      <c r="H38" s="42">
        <f t="shared" si="5"/>
        <v>15.648781399999997</v>
      </c>
      <c r="I38" s="43">
        <f>F38/6*G38</f>
        <v>2608.1302333333329</v>
      </c>
      <c r="J38" s="43">
        <f>F38/6*G38</f>
        <v>2608.1302333333329</v>
      </c>
      <c r="K38" s="43">
        <f>F38/6*G38</f>
        <v>2608.1302333333329</v>
      </c>
      <c r="L38" s="43">
        <f>F38/6*G38</f>
        <v>2608.1302333333329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f>F38/6*G38</f>
        <v>2608.1302333333329</v>
      </c>
      <c r="T38" s="43">
        <f>F38/6*G38</f>
        <v>2608.1302333333329</v>
      </c>
      <c r="U38" s="43">
        <f t="shared" si="6"/>
        <v>15648.781399999998</v>
      </c>
    </row>
    <row r="39" spans="1:21" ht="51" customHeight="1">
      <c r="A39" s="32" t="s">
        <v>74</v>
      </c>
      <c r="B39" s="12" t="s">
        <v>75</v>
      </c>
      <c r="C39" s="32" t="s">
        <v>45</v>
      </c>
      <c r="D39" s="12" t="s">
        <v>163</v>
      </c>
      <c r="E39" s="41">
        <v>89.43</v>
      </c>
      <c r="F39" s="58">
        <f>SUM(E39*24/1000)</f>
        <v>2.1463200000000002</v>
      </c>
      <c r="G39" s="41">
        <v>5803.28</v>
      </c>
      <c r="H39" s="42">
        <f t="shared" si="5"/>
        <v>12.455695929600001</v>
      </c>
      <c r="I39" s="43">
        <f>F39/6*G39</f>
        <v>2075.9493216000001</v>
      </c>
      <c r="J39" s="43">
        <f>F39/6*G39</f>
        <v>2075.9493216000001</v>
      </c>
      <c r="K39" s="43">
        <f>F39/6*G39</f>
        <v>2075.9493216000001</v>
      </c>
      <c r="L39" s="43">
        <f>F39/6*G39</f>
        <v>2075.9493216000001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f>F39/6*G39</f>
        <v>2075.9493216000001</v>
      </c>
      <c r="T39" s="43">
        <f>F39/6*G39</f>
        <v>2075.9493216000001</v>
      </c>
      <c r="U39" s="43">
        <f t="shared" si="6"/>
        <v>12455.695929600002</v>
      </c>
    </row>
    <row r="40" spans="1:21" ht="12.75" customHeight="1">
      <c r="A40" s="32" t="s">
        <v>76</v>
      </c>
      <c r="B40" s="12" t="s">
        <v>77</v>
      </c>
      <c r="C40" s="32" t="s">
        <v>45</v>
      </c>
      <c r="D40" s="12" t="s">
        <v>78</v>
      </c>
      <c r="E40" s="41">
        <v>130.08000000000001</v>
      </c>
      <c r="F40" s="58">
        <f>SUM(E40*45/1000)</f>
        <v>5.8536000000000001</v>
      </c>
      <c r="G40" s="41">
        <v>428.7</v>
      </c>
      <c r="H40" s="42">
        <f t="shared" si="5"/>
        <v>2.5094383200000001</v>
      </c>
      <c r="I40" s="43">
        <f>F40/6*G40</f>
        <v>418.23971999999998</v>
      </c>
      <c r="J40" s="43">
        <f>F40/6*G40</f>
        <v>418.23971999999998</v>
      </c>
      <c r="K40" s="43">
        <f>F40/6*G40</f>
        <v>418.23971999999998</v>
      </c>
      <c r="L40" s="43">
        <f>F40/6*G40</f>
        <v>418.23971999999998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f>F40/6*G40</f>
        <v>418.23971999999998</v>
      </c>
      <c r="T40" s="43">
        <f>F40/6*G40</f>
        <v>418.23971999999998</v>
      </c>
      <c r="U40" s="43">
        <f t="shared" si="6"/>
        <v>2509.4383199999997</v>
      </c>
    </row>
    <row r="41" spans="1:21" s="2" customFormat="1">
      <c r="A41" s="57"/>
      <c r="B41" s="15" t="s">
        <v>79</v>
      </c>
      <c r="C41" s="57" t="s">
        <v>56</v>
      </c>
      <c r="D41" s="15"/>
      <c r="E41" s="54"/>
      <c r="F41" s="58">
        <v>0.9</v>
      </c>
      <c r="G41" s="58">
        <v>798</v>
      </c>
      <c r="H41" s="42">
        <f t="shared" si="5"/>
        <v>0.71820000000000006</v>
      </c>
      <c r="I41" s="59">
        <f>F41/6*G41</f>
        <v>119.69999999999999</v>
      </c>
      <c r="J41" s="59">
        <f>F41/6*G41</f>
        <v>119.69999999999999</v>
      </c>
      <c r="K41" s="59">
        <f>F41/6*G41</f>
        <v>119.69999999999999</v>
      </c>
      <c r="L41" s="59">
        <f>F41/6*G41</f>
        <v>119.69999999999999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f>F41/6*G41</f>
        <v>119.69999999999999</v>
      </c>
      <c r="T41" s="59">
        <f>F41/6*G41</f>
        <v>119.69999999999999</v>
      </c>
      <c r="U41" s="43">
        <f t="shared" si="6"/>
        <v>718.2</v>
      </c>
    </row>
    <row r="42" spans="1:21" s="21" customFormat="1">
      <c r="A42" s="46"/>
      <c r="B42" s="22" t="s">
        <v>37</v>
      </c>
      <c r="C42" s="47"/>
      <c r="D42" s="22"/>
      <c r="E42" s="48"/>
      <c r="F42" s="49" t="s">
        <v>66</v>
      </c>
      <c r="G42" s="49"/>
      <c r="H42" s="56">
        <f>SUM(H34:H41)</f>
        <v>94.317827449600003</v>
      </c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>
        <f>SUM(U34:U41)</f>
        <v>89201.027449599991</v>
      </c>
    </row>
    <row r="43" spans="1:21">
      <c r="A43" s="32"/>
      <c r="B43" s="16" t="s">
        <v>80</v>
      </c>
      <c r="C43" s="32"/>
      <c r="D43" s="12"/>
      <c r="E43" s="40"/>
      <c r="F43" s="41"/>
      <c r="G43" s="41"/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>
      <c r="A44" s="32" t="s">
        <v>168</v>
      </c>
      <c r="B44" s="12" t="s">
        <v>169</v>
      </c>
      <c r="C44" s="32" t="s">
        <v>45</v>
      </c>
      <c r="D44" s="12" t="s">
        <v>81</v>
      </c>
      <c r="E44" s="40">
        <v>1369</v>
      </c>
      <c r="F44" s="41">
        <f>SUM(E44*2/1000)</f>
        <v>2.738</v>
      </c>
      <c r="G44" s="60">
        <v>849.49</v>
      </c>
      <c r="H44" s="42">
        <f t="shared" ref="H44:H52" si="7">SUM(F44*G44/1000)</f>
        <v>2.3259036200000001</v>
      </c>
      <c r="I44" s="43">
        <v>0</v>
      </c>
      <c r="J44" s="43">
        <v>0</v>
      </c>
      <c r="K44" s="43">
        <v>0</v>
      </c>
      <c r="L44" s="43">
        <f>F44/2*G44</f>
        <v>1162.95181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f>F44/2*G44</f>
        <v>1162.95181</v>
      </c>
      <c r="S44" s="43">
        <v>0</v>
      </c>
      <c r="T44" s="43">
        <v>0</v>
      </c>
      <c r="U44" s="43">
        <f t="shared" ref="U44:U52" si="8">SUM(I44:T44)</f>
        <v>2325.90362</v>
      </c>
    </row>
    <row r="45" spans="1:21">
      <c r="A45" s="32" t="s">
        <v>82</v>
      </c>
      <c r="B45" s="12" t="s">
        <v>83</v>
      </c>
      <c r="C45" s="32" t="s">
        <v>45</v>
      </c>
      <c r="D45" s="12" t="s">
        <v>81</v>
      </c>
      <c r="E45" s="40">
        <v>1418</v>
      </c>
      <c r="F45" s="41">
        <f>SUM(E45*2/1000)</f>
        <v>2.8359999999999999</v>
      </c>
      <c r="G45" s="60">
        <v>579.48</v>
      </c>
      <c r="H45" s="42">
        <f t="shared" si="7"/>
        <v>1.6434052799999999</v>
      </c>
      <c r="I45" s="43">
        <v>0</v>
      </c>
      <c r="J45" s="43">
        <v>0</v>
      </c>
      <c r="K45" s="43">
        <v>0</v>
      </c>
      <c r="L45" s="43">
        <f>F45/6*G45</f>
        <v>273.90087999999997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f>F45/2*G45</f>
        <v>821.70263999999997</v>
      </c>
      <c r="S45" s="43">
        <v>0</v>
      </c>
      <c r="T45" s="43">
        <v>0</v>
      </c>
      <c r="U45" s="43">
        <f t="shared" si="8"/>
        <v>1095.6035199999999</v>
      </c>
    </row>
    <row r="46" spans="1:21" ht="25.5">
      <c r="A46" s="32" t="s">
        <v>84</v>
      </c>
      <c r="B46" s="12" t="s">
        <v>85</v>
      </c>
      <c r="C46" s="32" t="s">
        <v>45</v>
      </c>
      <c r="D46" s="12" t="s">
        <v>81</v>
      </c>
      <c r="E46" s="40">
        <v>4985.21</v>
      </c>
      <c r="F46" s="41">
        <f>SUM(E46*2/1000)</f>
        <v>9.9704200000000007</v>
      </c>
      <c r="G46" s="60">
        <v>579.48</v>
      </c>
      <c r="H46" s="42">
        <f t="shared" si="7"/>
        <v>5.7776589816000001</v>
      </c>
      <c r="I46" s="43">
        <v>0</v>
      </c>
      <c r="J46" s="43">
        <v>0</v>
      </c>
      <c r="K46" s="43">
        <v>0</v>
      </c>
      <c r="L46" s="43">
        <f>F46/6*G46</f>
        <v>962.94316360000016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f>F46/2*G46</f>
        <v>2888.8294908000003</v>
      </c>
      <c r="S46" s="43">
        <v>0</v>
      </c>
      <c r="T46" s="43">
        <v>0</v>
      </c>
      <c r="U46" s="43">
        <f t="shared" si="8"/>
        <v>3851.7726544000006</v>
      </c>
    </row>
    <row r="47" spans="1:21">
      <c r="A47" s="32" t="s">
        <v>86</v>
      </c>
      <c r="B47" s="12" t="s">
        <v>87</v>
      </c>
      <c r="C47" s="32" t="s">
        <v>45</v>
      </c>
      <c r="D47" s="12" t="s">
        <v>81</v>
      </c>
      <c r="E47" s="40">
        <v>2474</v>
      </c>
      <c r="F47" s="41">
        <f>SUM(E47*2/1000)</f>
        <v>4.9480000000000004</v>
      </c>
      <c r="G47" s="60">
        <v>606.77</v>
      </c>
      <c r="H47" s="42">
        <f t="shared" si="7"/>
        <v>3.0022979600000004</v>
      </c>
      <c r="I47" s="43">
        <v>0</v>
      </c>
      <c r="J47" s="43">
        <v>0</v>
      </c>
      <c r="K47" s="43">
        <v>0</v>
      </c>
      <c r="L47" s="43">
        <f>F47/6*G47</f>
        <v>500.38299333333339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f>F47/2*G47</f>
        <v>1501.1489800000002</v>
      </c>
      <c r="S47" s="43">
        <v>0</v>
      </c>
      <c r="T47" s="43">
        <v>0</v>
      </c>
      <c r="U47" s="43">
        <f t="shared" si="8"/>
        <v>2001.5319733333336</v>
      </c>
    </row>
    <row r="48" spans="1:21" ht="25.5">
      <c r="A48" s="32" t="s">
        <v>88</v>
      </c>
      <c r="B48" s="12" t="s">
        <v>89</v>
      </c>
      <c r="C48" s="32" t="s">
        <v>45</v>
      </c>
      <c r="D48" s="12" t="s">
        <v>90</v>
      </c>
      <c r="E48" s="40">
        <v>1349.3</v>
      </c>
      <c r="F48" s="41">
        <f>SUM(E48*5/1000)</f>
        <v>6.7465000000000002</v>
      </c>
      <c r="G48" s="60">
        <v>1213.55</v>
      </c>
      <c r="H48" s="42">
        <f t="shared" si="7"/>
        <v>8.1872150749999992</v>
      </c>
      <c r="I48" s="43">
        <f>F48/5*G48</f>
        <v>1637.4430149999998</v>
      </c>
      <c r="J48" s="43">
        <f>F48/5*G48</f>
        <v>1637.4430149999998</v>
      </c>
      <c r="K48" s="43">
        <v>0</v>
      </c>
      <c r="L48" s="43">
        <v>0</v>
      </c>
      <c r="M48" s="43">
        <f>F48/5*G48</f>
        <v>1637.4430149999998</v>
      </c>
      <c r="N48" s="43">
        <v>0</v>
      </c>
      <c r="O48" s="43">
        <v>0</v>
      </c>
      <c r="P48" s="43">
        <v>0</v>
      </c>
      <c r="Q48" s="43">
        <f>F48/5*G48</f>
        <v>1637.4430149999998</v>
      </c>
      <c r="R48" s="43">
        <v>0</v>
      </c>
      <c r="S48" s="43">
        <v>0</v>
      </c>
      <c r="T48" s="43">
        <f>F48/5*G48</f>
        <v>1637.4430149999998</v>
      </c>
      <c r="U48" s="43">
        <f t="shared" si="8"/>
        <v>8187.2150749999992</v>
      </c>
    </row>
    <row r="49" spans="1:21" ht="39.6" customHeight="1">
      <c r="A49" s="32" t="s">
        <v>91</v>
      </c>
      <c r="B49" s="12" t="s">
        <v>92</v>
      </c>
      <c r="C49" s="32" t="s">
        <v>45</v>
      </c>
      <c r="D49" s="12" t="s">
        <v>81</v>
      </c>
      <c r="E49" s="40">
        <v>1349.3</v>
      </c>
      <c r="F49" s="41">
        <f>SUM(E49*2/1000)</f>
        <v>2.6985999999999999</v>
      </c>
      <c r="G49" s="60">
        <v>1213.55</v>
      </c>
      <c r="H49" s="42">
        <f t="shared" si="7"/>
        <v>3.2748860299999998</v>
      </c>
      <c r="I49" s="43">
        <f>F49/2*G49</f>
        <v>1637.4430149999998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f>F49/2*G49</f>
        <v>1637.4430149999998</v>
      </c>
      <c r="R49" s="43">
        <v>0</v>
      </c>
      <c r="S49" s="43">
        <v>0</v>
      </c>
      <c r="T49" s="43">
        <v>0</v>
      </c>
      <c r="U49" s="43">
        <f t="shared" si="8"/>
        <v>3274.8860299999997</v>
      </c>
    </row>
    <row r="50" spans="1:21" ht="28.9" customHeight="1">
      <c r="A50" s="32" t="s">
        <v>93</v>
      </c>
      <c r="B50" s="12" t="s">
        <v>94</v>
      </c>
      <c r="C50" s="32" t="s">
        <v>95</v>
      </c>
      <c r="D50" s="12" t="s">
        <v>81</v>
      </c>
      <c r="E50" s="40">
        <v>40</v>
      </c>
      <c r="F50" s="41">
        <f>SUM(E50*2/100)</f>
        <v>0.8</v>
      </c>
      <c r="G50" s="60">
        <v>2730.49</v>
      </c>
      <c r="H50" s="42">
        <f t="shared" si="7"/>
        <v>2.1843919999999999</v>
      </c>
      <c r="I50" s="43">
        <f>F50/2*G50</f>
        <v>1092.1959999999999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f>F50/2*G50</f>
        <v>1092.1959999999999</v>
      </c>
      <c r="R50" s="43">
        <v>0</v>
      </c>
      <c r="S50" s="43">
        <v>0</v>
      </c>
      <c r="T50" s="43">
        <v>0</v>
      </c>
      <c r="U50" s="43">
        <f t="shared" si="8"/>
        <v>2184.3919999999998</v>
      </c>
    </row>
    <row r="51" spans="1:21">
      <c r="A51" s="32" t="s">
        <v>96</v>
      </c>
      <c r="B51" s="12" t="s">
        <v>97</v>
      </c>
      <c r="C51" s="32" t="s">
        <v>98</v>
      </c>
      <c r="D51" s="12" t="s">
        <v>81</v>
      </c>
      <c r="E51" s="40">
        <v>1</v>
      </c>
      <c r="F51" s="41">
        <v>0.02</v>
      </c>
      <c r="G51" s="60">
        <v>5652.13</v>
      </c>
      <c r="H51" s="42">
        <f t="shared" si="7"/>
        <v>0.11304260000000001</v>
      </c>
      <c r="I51" s="43">
        <f>F51/2*G51</f>
        <v>56.521300000000004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f>F51/2*G51</f>
        <v>56.521300000000004</v>
      </c>
      <c r="R51" s="43">
        <v>0</v>
      </c>
      <c r="S51" s="43">
        <v>0</v>
      </c>
      <c r="T51" s="43">
        <v>0</v>
      </c>
      <c r="U51" s="43">
        <f t="shared" si="8"/>
        <v>113.04260000000001</v>
      </c>
    </row>
    <row r="52" spans="1:21" ht="13.5" customHeight="1">
      <c r="A52" s="32" t="s">
        <v>100</v>
      </c>
      <c r="B52" s="12" t="s">
        <v>101</v>
      </c>
      <c r="C52" s="32" t="s">
        <v>99</v>
      </c>
      <c r="D52" s="12" t="s">
        <v>159</v>
      </c>
      <c r="E52" s="40">
        <v>238</v>
      </c>
      <c r="F52" s="41">
        <f>SUM(E52)*3</f>
        <v>714</v>
      </c>
      <c r="G52" s="61">
        <v>65.67</v>
      </c>
      <c r="H52" s="42">
        <f t="shared" si="7"/>
        <v>46.888380000000005</v>
      </c>
      <c r="I52" s="43">
        <v>0</v>
      </c>
      <c r="J52" s="43">
        <f>E52*G52</f>
        <v>15629.460000000001</v>
      </c>
      <c r="K52" s="43">
        <v>0</v>
      </c>
      <c r="L52" s="43">
        <f>E52*G52</f>
        <v>15629.460000000001</v>
      </c>
      <c r="M52" s="43">
        <v>0</v>
      </c>
      <c r="N52" s="43">
        <v>0</v>
      </c>
      <c r="O52" s="43">
        <v>0</v>
      </c>
      <c r="P52" s="43">
        <f>E52*G52</f>
        <v>15629.460000000001</v>
      </c>
      <c r="Q52" s="43">
        <v>0</v>
      </c>
      <c r="R52" s="43">
        <v>0</v>
      </c>
      <c r="S52" s="43">
        <v>0</v>
      </c>
      <c r="T52" s="43">
        <v>0</v>
      </c>
      <c r="U52" s="43">
        <f t="shared" si="8"/>
        <v>46888.380000000005</v>
      </c>
    </row>
    <row r="53" spans="1:21" s="23" customFormat="1">
      <c r="A53" s="46"/>
      <c r="B53" s="22" t="s">
        <v>37</v>
      </c>
      <c r="C53" s="62"/>
      <c r="D53" s="22"/>
      <c r="E53" s="63"/>
      <c r="F53" s="64"/>
      <c r="G53" s="64"/>
      <c r="H53" s="56">
        <f>SUM(H44:H52)</f>
        <v>73.397181546599995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f>SUM(U44:U52)</f>
        <v>69922.727472733328</v>
      </c>
    </row>
    <row r="54" spans="1:21">
      <c r="A54" s="32"/>
      <c r="B54" s="14" t="s">
        <v>102</v>
      </c>
      <c r="C54" s="32"/>
      <c r="D54" s="12"/>
      <c r="E54" s="40"/>
      <c r="F54" s="41"/>
      <c r="G54" s="41"/>
      <c r="H54" s="42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spans="1:21" ht="38.25" customHeight="1">
      <c r="A55" s="32" t="s">
        <v>104</v>
      </c>
      <c r="B55" s="12" t="s">
        <v>160</v>
      </c>
      <c r="C55" s="32" t="s">
        <v>14</v>
      </c>
      <c r="D55" s="12" t="s">
        <v>103</v>
      </c>
      <c r="E55" s="40">
        <v>176.9</v>
      </c>
      <c r="F55" s="41">
        <f>SUM(E55*6/100)</f>
        <v>10.614000000000001</v>
      </c>
      <c r="G55" s="60">
        <v>1547.28</v>
      </c>
      <c r="H55" s="42">
        <f>SUM(F55*G55/1000)</f>
        <v>16.422829920000002</v>
      </c>
      <c r="I55" s="43">
        <f>F55/6*G55</f>
        <v>2737.13832</v>
      </c>
      <c r="J55" s="43">
        <f>F55/6*G55</f>
        <v>2737.13832</v>
      </c>
      <c r="K55" s="43">
        <f>F55/6*G55</f>
        <v>2737.13832</v>
      </c>
      <c r="L55" s="43">
        <f>F55/6*G55</f>
        <v>2737.13832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f>F55/6*G55</f>
        <v>2737.13832</v>
      </c>
      <c r="T55" s="43">
        <f>F55/6*G55</f>
        <v>2737.13832</v>
      </c>
      <c r="U55" s="43">
        <f>SUM(I55:T55)</f>
        <v>16422.82992</v>
      </c>
    </row>
    <row r="56" spans="1:21" ht="24.75" customHeight="1">
      <c r="A56" s="8" t="s">
        <v>173</v>
      </c>
      <c r="B56" s="12" t="s">
        <v>174</v>
      </c>
      <c r="C56" s="32" t="s">
        <v>14</v>
      </c>
      <c r="D56" s="12" t="s">
        <v>103</v>
      </c>
      <c r="E56" s="66">
        <v>56</v>
      </c>
      <c r="F56" s="67">
        <v>3.36</v>
      </c>
      <c r="G56" s="41">
        <v>1547.28</v>
      </c>
      <c r="H56" s="42">
        <f>F56*G56/1000</f>
        <v>5.1988607999999994</v>
      </c>
      <c r="I56" s="43">
        <f>F56/6*G56</f>
        <v>866.47679999999991</v>
      </c>
      <c r="J56" s="43">
        <f>F56/6*G56</f>
        <v>866.47679999999991</v>
      </c>
      <c r="K56" s="43">
        <f>F56/6*G56</f>
        <v>866.47679999999991</v>
      </c>
      <c r="L56" s="43">
        <f>F56/6*G56</f>
        <v>866.47679999999991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f>F56/6*G56</f>
        <v>866.47679999999991</v>
      </c>
      <c r="T56" s="43">
        <f>F56/6*G56</f>
        <v>866.47679999999991</v>
      </c>
      <c r="U56" s="43">
        <f>SUM(I56:T56)</f>
        <v>5198.8608000000004</v>
      </c>
    </row>
    <row r="57" spans="1:21" hidden="1">
      <c r="A57" s="32" t="s">
        <v>170</v>
      </c>
      <c r="B57" s="12" t="s">
        <v>171</v>
      </c>
      <c r="C57" s="32" t="s">
        <v>172</v>
      </c>
      <c r="D57" s="12" t="s">
        <v>81</v>
      </c>
      <c r="E57" s="68">
        <v>8</v>
      </c>
      <c r="F57" s="60">
        <v>16</v>
      </c>
      <c r="G57" s="58">
        <v>180.78</v>
      </c>
      <c r="H57" s="42">
        <f>SUM(F57*G57/1000)</f>
        <v>2.8924799999999999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f>SUM(I57:T57)</f>
        <v>0</v>
      </c>
    </row>
    <row r="58" spans="1:21">
      <c r="A58" s="32"/>
      <c r="B58" s="13" t="s">
        <v>105</v>
      </c>
      <c r="C58" s="32"/>
      <c r="D58" s="12"/>
      <c r="E58" s="40"/>
      <c r="F58" s="41"/>
      <c r="G58" s="69"/>
      <c r="H58" s="42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>
      <c r="A59" s="32" t="s">
        <v>106</v>
      </c>
      <c r="B59" s="12" t="s">
        <v>161</v>
      </c>
      <c r="C59" s="32"/>
      <c r="D59" s="12" t="s">
        <v>49</v>
      </c>
      <c r="E59" s="40">
        <v>1349.3</v>
      </c>
      <c r="F59" s="42">
        <v>13.493</v>
      </c>
      <c r="G59" s="60">
        <v>793.61</v>
      </c>
      <c r="H59" s="70">
        <f>F59*G59/1000</f>
        <v>10.708179729999999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f>SUM(I59:T59)</f>
        <v>0</v>
      </c>
    </row>
    <row r="60" spans="1:21" ht="12.75" customHeight="1">
      <c r="A60" s="71"/>
      <c r="B60" s="26" t="s">
        <v>180</v>
      </c>
      <c r="C60" s="71" t="s">
        <v>107</v>
      </c>
      <c r="D60" s="26"/>
      <c r="E60" s="72">
        <v>270</v>
      </c>
      <c r="F60" s="73">
        <f>E60*12</f>
        <v>3240</v>
      </c>
      <c r="G60" s="69">
        <v>2.5960000000000001</v>
      </c>
      <c r="H60" s="74">
        <f>F60*G60</f>
        <v>8411.0400000000009</v>
      </c>
      <c r="I60" s="43">
        <f>F60/12*G60</f>
        <v>700.92000000000007</v>
      </c>
      <c r="J60" s="43">
        <f>F60/12*G60</f>
        <v>700.92000000000007</v>
      </c>
      <c r="K60" s="43">
        <f>F60/12*G60</f>
        <v>700.92000000000007</v>
      </c>
      <c r="L60" s="43">
        <f>F60/12*G60</f>
        <v>700.92000000000007</v>
      </c>
      <c r="M60" s="43">
        <f>F60/12*G60</f>
        <v>700.92000000000007</v>
      </c>
      <c r="N60" s="43">
        <f>F60/12*G60</f>
        <v>700.92000000000007</v>
      </c>
      <c r="O60" s="43">
        <f>F60/12*G60</f>
        <v>700.92000000000007</v>
      </c>
      <c r="P60" s="43">
        <f>F60/12*G60</f>
        <v>700.92000000000007</v>
      </c>
      <c r="Q60" s="43">
        <f>F60/12*G60</f>
        <v>700.92000000000007</v>
      </c>
      <c r="R60" s="43">
        <f>F60/12*G60</f>
        <v>700.92000000000007</v>
      </c>
      <c r="S60" s="43">
        <f>F60/12*G60</f>
        <v>700.92000000000007</v>
      </c>
      <c r="T60" s="43">
        <f>F60/12*G60</f>
        <v>700.92000000000007</v>
      </c>
      <c r="U60" s="43">
        <f>SUM(I60:T60)</f>
        <v>8411.0400000000009</v>
      </c>
    </row>
    <row r="61" spans="1:21">
      <c r="A61" s="71"/>
      <c r="B61" s="17" t="s">
        <v>109</v>
      </c>
      <c r="C61" s="71"/>
      <c r="D61" s="26"/>
      <c r="E61" s="72"/>
      <c r="F61" s="73"/>
      <c r="G61" s="73"/>
      <c r="H61" s="74" t="s">
        <v>66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t="12.75" customHeight="1">
      <c r="A62" s="75" t="s">
        <v>110</v>
      </c>
      <c r="B62" s="18" t="s">
        <v>111</v>
      </c>
      <c r="C62" s="75" t="s">
        <v>99</v>
      </c>
      <c r="D62" s="9" t="s">
        <v>58</v>
      </c>
      <c r="E62" s="76">
        <v>40</v>
      </c>
      <c r="F62" s="41">
        <v>40</v>
      </c>
      <c r="G62" s="60">
        <v>222.4</v>
      </c>
      <c r="H62" s="139">
        <f t="shared" ref="H62:H81" si="9">SUM(F62*G62/1000)</f>
        <v>8.8960000000000008</v>
      </c>
      <c r="I62" s="43">
        <v>0</v>
      </c>
      <c r="J62" s="43">
        <f>G62</f>
        <v>222.4</v>
      </c>
      <c r="K62" s="43">
        <v>0</v>
      </c>
      <c r="L62" s="43">
        <f>G62*4</f>
        <v>889.6</v>
      </c>
      <c r="M62" s="43">
        <v>0</v>
      </c>
      <c r="N62" s="43">
        <v>0</v>
      </c>
      <c r="O62" s="43">
        <f>G62*12</f>
        <v>2668.8</v>
      </c>
      <c r="P62" s="43">
        <f>G62*6</f>
        <v>1334.4</v>
      </c>
      <c r="Q62" s="43">
        <v>0</v>
      </c>
      <c r="R62" s="43">
        <f>G62</f>
        <v>222.4</v>
      </c>
      <c r="S62" s="43">
        <f>G62*7</f>
        <v>1556.8</v>
      </c>
      <c r="T62" s="43">
        <f>G62</f>
        <v>222.4</v>
      </c>
      <c r="U62" s="43">
        <f t="shared" ref="U62:U69" si="10">SUM(I62:T62)</f>
        <v>7116.8</v>
      </c>
    </row>
    <row r="63" spans="1:21" ht="12.75" customHeight="1">
      <c r="A63" s="75" t="s">
        <v>112</v>
      </c>
      <c r="B63" s="18" t="s">
        <v>113</v>
      </c>
      <c r="C63" s="75" t="s">
        <v>99</v>
      </c>
      <c r="D63" s="9" t="s">
        <v>58</v>
      </c>
      <c r="E63" s="76">
        <v>20</v>
      </c>
      <c r="F63" s="41">
        <v>20</v>
      </c>
      <c r="G63" s="60">
        <v>76.25</v>
      </c>
      <c r="H63" s="139">
        <f t="shared" si="9"/>
        <v>1.5249999999999999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f>G63</f>
        <v>76.25</v>
      </c>
      <c r="R63" s="43">
        <f>G63*2</f>
        <v>152.5</v>
      </c>
      <c r="S63" s="43">
        <f>G63</f>
        <v>76.25</v>
      </c>
      <c r="T63" s="43">
        <f>G63</f>
        <v>76.25</v>
      </c>
      <c r="U63" s="43">
        <f t="shared" si="10"/>
        <v>381.25</v>
      </c>
    </row>
    <row r="64" spans="1:21" s="2" customFormat="1">
      <c r="A64" s="77" t="s">
        <v>114</v>
      </c>
      <c r="B64" s="18" t="s">
        <v>115</v>
      </c>
      <c r="C64" s="77" t="s">
        <v>116</v>
      </c>
      <c r="D64" s="9" t="s">
        <v>49</v>
      </c>
      <c r="E64" s="40">
        <v>18890</v>
      </c>
      <c r="F64" s="61">
        <f>SUM(E64/100)</f>
        <v>188.9</v>
      </c>
      <c r="G64" s="60">
        <v>212.15</v>
      </c>
      <c r="H64" s="139">
        <f t="shared" si="9"/>
        <v>40.075135000000003</v>
      </c>
      <c r="I64" s="59">
        <v>0</v>
      </c>
      <c r="J64" s="59">
        <v>0</v>
      </c>
      <c r="K64" s="59">
        <v>0</v>
      </c>
      <c r="L64" s="59">
        <v>0</v>
      </c>
      <c r="M64" s="59">
        <f t="shared" ref="M64:M68" si="11">F64*G64</f>
        <v>40075.135000000002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43">
        <f t="shared" si="10"/>
        <v>40075.135000000002</v>
      </c>
    </row>
    <row r="65" spans="1:21" ht="25.5">
      <c r="A65" s="75" t="s">
        <v>117</v>
      </c>
      <c r="B65" s="18" t="s">
        <v>118</v>
      </c>
      <c r="C65" s="75" t="s">
        <v>119</v>
      </c>
      <c r="D65" s="9"/>
      <c r="E65" s="40">
        <v>18890</v>
      </c>
      <c r="F65" s="60">
        <f>SUM(E65/1000)</f>
        <v>18.89</v>
      </c>
      <c r="G65" s="60">
        <v>165.21</v>
      </c>
      <c r="H65" s="139">
        <f t="shared" si="9"/>
        <v>3.1208169000000003</v>
      </c>
      <c r="I65" s="43">
        <v>0</v>
      </c>
      <c r="J65" s="43">
        <v>0</v>
      </c>
      <c r="K65" s="43">
        <v>0</v>
      </c>
      <c r="L65" s="43">
        <v>0</v>
      </c>
      <c r="M65" s="43">
        <f t="shared" si="11"/>
        <v>3120.8169000000003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f t="shared" si="10"/>
        <v>3120.8169000000003</v>
      </c>
    </row>
    <row r="66" spans="1:21">
      <c r="A66" s="75" t="s">
        <v>120</v>
      </c>
      <c r="B66" s="18" t="s">
        <v>121</v>
      </c>
      <c r="C66" s="75" t="s">
        <v>122</v>
      </c>
      <c r="D66" s="9" t="s">
        <v>49</v>
      </c>
      <c r="E66" s="40">
        <v>3004</v>
      </c>
      <c r="F66" s="60">
        <f>SUM(E66/100)</f>
        <v>30.04</v>
      </c>
      <c r="G66" s="60">
        <v>2074.63</v>
      </c>
      <c r="H66" s="139">
        <f t="shared" si="9"/>
        <v>62.321885200000004</v>
      </c>
      <c r="I66" s="43">
        <v>0</v>
      </c>
      <c r="J66" s="43">
        <v>0</v>
      </c>
      <c r="K66" s="43">
        <v>0</v>
      </c>
      <c r="L66" s="43">
        <v>0</v>
      </c>
      <c r="M66" s="43">
        <f t="shared" si="11"/>
        <v>62321.885200000004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f t="shared" si="10"/>
        <v>62321.885200000004</v>
      </c>
    </row>
    <row r="67" spans="1:21">
      <c r="A67" s="75"/>
      <c r="B67" s="19" t="s">
        <v>175</v>
      </c>
      <c r="C67" s="75" t="s">
        <v>56</v>
      </c>
      <c r="D67" s="9"/>
      <c r="E67" s="40">
        <v>15.8</v>
      </c>
      <c r="F67" s="60">
        <f>SUM(E67)</f>
        <v>15.8</v>
      </c>
      <c r="G67" s="60">
        <v>42.67</v>
      </c>
      <c r="H67" s="139">
        <f t="shared" si="9"/>
        <v>0.67418600000000006</v>
      </c>
      <c r="I67" s="43">
        <v>0</v>
      </c>
      <c r="J67" s="43">
        <v>0</v>
      </c>
      <c r="K67" s="43">
        <v>0</v>
      </c>
      <c r="L67" s="43">
        <v>0</v>
      </c>
      <c r="M67" s="43">
        <f t="shared" si="11"/>
        <v>674.18600000000004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f t="shared" si="10"/>
        <v>674.18600000000004</v>
      </c>
    </row>
    <row r="68" spans="1:21" ht="25.5">
      <c r="A68" s="78"/>
      <c r="B68" s="19" t="s">
        <v>176</v>
      </c>
      <c r="C68" s="75" t="s">
        <v>56</v>
      </c>
      <c r="D68" s="9"/>
      <c r="E68" s="40">
        <v>15.8</v>
      </c>
      <c r="F68" s="60">
        <f>SUM(E68)</f>
        <v>15.8</v>
      </c>
      <c r="G68" s="60">
        <v>39.81</v>
      </c>
      <c r="H68" s="139">
        <f t="shared" si="9"/>
        <v>0.62899800000000006</v>
      </c>
      <c r="I68" s="43">
        <v>0</v>
      </c>
      <c r="J68" s="43">
        <v>0</v>
      </c>
      <c r="K68" s="43">
        <v>0</v>
      </c>
      <c r="L68" s="43">
        <v>0</v>
      </c>
      <c r="M68" s="43">
        <f t="shared" si="11"/>
        <v>628.99800000000005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f t="shared" si="10"/>
        <v>628.99800000000005</v>
      </c>
    </row>
    <row r="69" spans="1:21">
      <c r="A69" s="75" t="s">
        <v>123</v>
      </c>
      <c r="B69" s="9" t="s">
        <v>124</v>
      </c>
      <c r="C69" s="75" t="s">
        <v>125</v>
      </c>
      <c r="D69" s="9" t="s">
        <v>49</v>
      </c>
      <c r="E69" s="76">
        <v>15</v>
      </c>
      <c r="F69" s="41">
        <v>15</v>
      </c>
      <c r="G69" s="60">
        <v>49.88</v>
      </c>
      <c r="H69" s="139">
        <f t="shared" si="9"/>
        <v>0.74820000000000009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f>F69*G69</f>
        <v>748.2</v>
      </c>
      <c r="R69" s="43">
        <v>0</v>
      </c>
      <c r="S69" s="43">
        <v>0</v>
      </c>
      <c r="T69" s="43">
        <v>0</v>
      </c>
      <c r="U69" s="43">
        <f t="shared" si="10"/>
        <v>748.2</v>
      </c>
    </row>
    <row r="70" spans="1:21">
      <c r="A70" s="78"/>
      <c r="B70" s="20" t="s">
        <v>126</v>
      </c>
      <c r="C70" s="75"/>
      <c r="D70" s="9"/>
      <c r="E70" s="76"/>
      <c r="F70" s="60"/>
      <c r="G70" s="60"/>
      <c r="H70" s="139" t="s">
        <v>66</v>
      </c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>
      <c r="A71" s="75" t="s">
        <v>127</v>
      </c>
      <c r="B71" s="9" t="s">
        <v>128</v>
      </c>
      <c r="C71" s="75" t="s">
        <v>129</v>
      </c>
      <c r="D71" s="9"/>
      <c r="E71" s="76">
        <v>10</v>
      </c>
      <c r="F71" s="60">
        <v>1</v>
      </c>
      <c r="G71" s="60">
        <v>501.62</v>
      </c>
      <c r="H71" s="139">
        <f t="shared" si="9"/>
        <v>0.50161999999999995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f>SUM(I71:T71)</f>
        <v>0</v>
      </c>
    </row>
    <row r="72" spans="1:21" hidden="1">
      <c r="A72" s="75" t="s">
        <v>131</v>
      </c>
      <c r="B72" s="9" t="s">
        <v>130</v>
      </c>
      <c r="C72" s="75" t="s">
        <v>99</v>
      </c>
      <c r="D72" s="9"/>
      <c r="E72" s="76"/>
      <c r="F72" s="60"/>
      <c r="G72" s="60" t="s">
        <v>66</v>
      </c>
      <c r="H72" s="139">
        <v>0</v>
      </c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1" hidden="1">
      <c r="A73" s="75" t="s">
        <v>133</v>
      </c>
      <c r="B73" s="9" t="s">
        <v>132</v>
      </c>
      <c r="C73" s="75" t="s">
        <v>99</v>
      </c>
      <c r="D73" s="9"/>
      <c r="E73" s="76"/>
      <c r="F73" s="60"/>
      <c r="G73" s="60">
        <v>65.72</v>
      </c>
      <c r="H73" s="139">
        <f t="shared" si="9"/>
        <v>0</v>
      </c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1:21" hidden="1">
      <c r="A74" s="75" t="s">
        <v>135</v>
      </c>
      <c r="B74" s="9" t="s">
        <v>134</v>
      </c>
      <c r="C74" s="75" t="s">
        <v>99</v>
      </c>
      <c r="D74" s="9"/>
      <c r="E74" s="76"/>
      <c r="F74" s="60"/>
      <c r="G74" s="60">
        <v>82.33</v>
      </c>
      <c r="H74" s="139">
        <f t="shared" si="9"/>
        <v>0</v>
      </c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1:21">
      <c r="A75" s="75" t="s">
        <v>131</v>
      </c>
      <c r="B75" s="9" t="s">
        <v>132</v>
      </c>
      <c r="C75" s="75" t="s">
        <v>52</v>
      </c>
      <c r="D75" s="9"/>
      <c r="E75" s="76">
        <v>1</v>
      </c>
      <c r="F75" s="60">
        <v>1</v>
      </c>
      <c r="G75" s="60">
        <v>99.85</v>
      </c>
      <c r="H75" s="139">
        <f>F75*G75/1000</f>
        <v>9.9849999999999994E-2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f>G75</f>
        <v>99.85</v>
      </c>
      <c r="Q75" s="43">
        <v>0</v>
      </c>
      <c r="R75" s="43">
        <v>0</v>
      </c>
      <c r="S75" s="43">
        <v>0</v>
      </c>
      <c r="T75" s="43">
        <v>0</v>
      </c>
      <c r="U75" s="43">
        <f>SUM(I75:T75)</f>
        <v>99.85</v>
      </c>
    </row>
    <row r="76" spans="1:21">
      <c r="A76" s="75" t="s">
        <v>133</v>
      </c>
      <c r="B76" s="9" t="s">
        <v>134</v>
      </c>
      <c r="C76" s="75" t="s">
        <v>52</v>
      </c>
      <c r="D76" s="9"/>
      <c r="E76" s="76">
        <v>1</v>
      </c>
      <c r="F76" s="60">
        <v>1</v>
      </c>
      <c r="G76" s="60">
        <v>120.26</v>
      </c>
      <c r="H76" s="139">
        <f>G76*F76/1000</f>
        <v>0.12026000000000001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f>SUM(I76:T76)</f>
        <v>0</v>
      </c>
    </row>
    <row r="77" spans="1:21">
      <c r="A77" s="75" t="s">
        <v>177</v>
      </c>
      <c r="B77" s="9" t="s">
        <v>178</v>
      </c>
      <c r="C77" s="75" t="s">
        <v>52</v>
      </c>
      <c r="D77" s="9"/>
      <c r="E77" s="76">
        <v>2</v>
      </c>
      <c r="F77" s="69">
        <v>2</v>
      </c>
      <c r="G77" s="60">
        <v>852.99</v>
      </c>
      <c r="H77" s="139">
        <f>F77*G77/1000</f>
        <v>1.7059800000000001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f>G77*5</f>
        <v>4264.95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f>SUM(I77:T77)</f>
        <v>4264.95</v>
      </c>
    </row>
    <row r="78" spans="1:21">
      <c r="A78" s="75" t="s">
        <v>135</v>
      </c>
      <c r="B78" s="9" t="s">
        <v>136</v>
      </c>
      <c r="C78" s="75" t="s">
        <v>99</v>
      </c>
      <c r="D78" s="9"/>
      <c r="E78" s="76">
        <v>1</v>
      </c>
      <c r="F78" s="41">
        <f>SUM(E78)</f>
        <v>1</v>
      </c>
      <c r="G78" s="60">
        <v>358.51</v>
      </c>
      <c r="H78" s="139">
        <f t="shared" si="9"/>
        <v>0.35851</v>
      </c>
      <c r="I78" s="43">
        <f>G78*2</f>
        <v>717.02</v>
      </c>
      <c r="J78" s="43">
        <v>0</v>
      </c>
      <c r="K78" s="43">
        <v>0</v>
      </c>
      <c r="L78" s="43">
        <f>G78*2</f>
        <v>717.02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>
        <f>SUM(I78:T79)</f>
        <v>1434.04</v>
      </c>
    </row>
    <row r="79" spans="1:21" hidden="1">
      <c r="A79" s="75"/>
      <c r="B79" s="9" t="s">
        <v>137</v>
      </c>
      <c r="C79" s="75" t="s">
        <v>138</v>
      </c>
      <c r="D79" s="9"/>
      <c r="E79" s="76"/>
      <c r="F79" s="60"/>
      <c r="G79" s="60">
        <v>31.54</v>
      </c>
      <c r="H79" s="139">
        <f t="shared" si="9"/>
        <v>0</v>
      </c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1:21">
      <c r="A80" s="78"/>
      <c r="B80" s="79" t="s">
        <v>139</v>
      </c>
      <c r="C80" s="75"/>
      <c r="D80" s="9"/>
      <c r="E80" s="76"/>
      <c r="F80" s="60"/>
      <c r="G80" s="60" t="s">
        <v>66</v>
      </c>
      <c r="H80" s="139" t="s">
        <v>66</v>
      </c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6" s="2" customFormat="1">
      <c r="A81" s="77" t="s">
        <v>140</v>
      </c>
      <c r="B81" s="80" t="s">
        <v>141</v>
      </c>
      <c r="C81" s="77" t="s">
        <v>122</v>
      </c>
      <c r="D81" s="18"/>
      <c r="E81" s="81"/>
      <c r="F81" s="61">
        <v>1.35</v>
      </c>
      <c r="G81" s="61">
        <v>2759.44</v>
      </c>
      <c r="H81" s="139">
        <f t="shared" si="9"/>
        <v>3.725244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59">
        <v>0</v>
      </c>
      <c r="Q81" s="59">
        <v>0</v>
      </c>
      <c r="R81" s="59">
        <v>0</v>
      </c>
      <c r="S81" s="59">
        <v>0</v>
      </c>
      <c r="T81" s="59">
        <v>0</v>
      </c>
      <c r="U81" s="43">
        <f>SUM(I81:T81)</f>
        <v>0</v>
      </c>
    </row>
    <row r="82" spans="1:26" s="23" customFormat="1">
      <c r="A82" s="82"/>
      <c r="B82" s="22" t="s">
        <v>37</v>
      </c>
      <c r="C82" s="83"/>
      <c r="D82" s="84"/>
      <c r="E82" s="85"/>
      <c r="F82" s="65"/>
      <c r="G82" s="65"/>
      <c r="H82" s="86">
        <f>SUM(H55:H81)</f>
        <v>8570.7640355500007</v>
      </c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>
        <f>SUM(U55:U81)</f>
        <v>150898.84182000003</v>
      </c>
    </row>
    <row r="83" spans="1:26">
      <c r="A83" s="147" t="s">
        <v>218</v>
      </c>
      <c r="B83" s="12" t="s">
        <v>219</v>
      </c>
      <c r="C83" s="87" t="s">
        <v>220</v>
      </c>
      <c r="D83" s="88"/>
      <c r="E83" s="66"/>
      <c r="F83" s="89">
        <f>152/10</f>
        <v>15.2</v>
      </c>
      <c r="G83" s="90">
        <v>9</v>
      </c>
      <c r="H83" s="139">
        <f>G83*F83/1000</f>
        <v>0.13679999999999998</v>
      </c>
      <c r="I83" s="43">
        <v>0</v>
      </c>
      <c r="J83" s="43">
        <v>0</v>
      </c>
      <c r="K83" s="43">
        <v>0</v>
      </c>
      <c r="L83" s="43">
        <v>0</v>
      </c>
      <c r="M83" s="44">
        <v>0</v>
      </c>
      <c r="N83" s="43">
        <f>F83*G83</f>
        <v>136.79999999999998</v>
      </c>
      <c r="O83" s="43">
        <v>0</v>
      </c>
      <c r="P83" s="146">
        <v>0</v>
      </c>
      <c r="Q83" s="146">
        <v>0</v>
      </c>
      <c r="R83" s="146">
        <v>0</v>
      </c>
      <c r="S83" s="146">
        <v>0</v>
      </c>
      <c r="T83" s="146">
        <v>0</v>
      </c>
      <c r="U83" s="146">
        <f>SUM(I83:T83)</f>
        <v>136.79999999999998</v>
      </c>
    </row>
    <row r="84" spans="1:26" ht="12.75" customHeight="1">
      <c r="A84" s="75"/>
      <c r="B84" s="13" t="s">
        <v>142</v>
      </c>
      <c r="C84" s="75" t="s">
        <v>143</v>
      </c>
      <c r="D84" s="91"/>
      <c r="E84" s="60">
        <v>5162.6000000000004</v>
      </c>
      <c r="F84" s="60">
        <f>SUM(E84*12)</f>
        <v>61951.200000000004</v>
      </c>
      <c r="G84" s="92">
        <v>2.1</v>
      </c>
      <c r="H84" s="139">
        <f>SUM(F84*G84/1000)</f>
        <v>130.09752000000003</v>
      </c>
      <c r="I84" s="43">
        <f>F84/12*G84</f>
        <v>10841.460000000001</v>
      </c>
      <c r="J84" s="43">
        <f>F84/12*G84</f>
        <v>10841.460000000001</v>
      </c>
      <c r="K84" s="43">
        <f>F84/12*G84</f>
        <v>10841.460000000001</v>
      </c>
      <c r="L84" s="43">
        <f>F84/12*G84</f>
        <v>10841.460000000001</v>
      </c>
      <c r="M84" s="43">
        <f>F84/12*G84</f>
        <v>10841.460000000001</v>
      </c>
      <c r="N84" s="43">
        <f>F84/12*G84</f>
        <v>10841.460000000001</v>
      </c>
      <c r="O84" s="43">
        <f>F84/12*G84</f>
        <v>10841.460000000001</v>
      </c>
      <c r="P84" s="43">
        <f>F84/12*G84</f>
        <v>10841.460000000001</v>
      </c>
      <c r="Q84" s="43">
        <f>F84/12*G84</f>
        <v>10841.460000000001</v>
      </c>
      <c r="R84" s="43">
        <f>F84/12*G84</f>
        <v>10841.460000000001</v>
      </c>
      <c r="S84" s="43">
        <f>F84/12*G84</f>
        <v>10841.460000000001</v>
      </c>
      <c r="T84" s="43">
        <f>F84/12*G84</f>
        <v>10841.460000000001</v>
      </c>
      <c r="U84" s="43">
        <f>SUM(I84:T84)</f>
        <v>130097.52000000003</v>
      </c>
    </row>
    <row r="85" spans="1:26" hidden="1">
      <c r="A85" s="93"/>
      <c r="B85" s="9" t="s">
        <v>144</v>
      </c>
      <c r="C85" s="71" t="s">
        <v>14</v>
      </c>
      <c r="D85" s="9"/>
      <c r="E85" s="76">
        <v>30</v>
      </c>
      <c r="F85" s="60">
        <f>E85/100</f>
        <v>0.3</v>
      </c>
      <c r="G85" s="60">
        <v>0</v>
      </c>
      <c r="H85" s="139">
        <f>F85*G85/1000</f>
        <v>0</v>
      </c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6" s="21" customFormat="1">
      <c r="A86" s="93"/>
      <c r="B86" s="22" t="s">
        <v>37</v>
      </c>
      <c r="C86" s="94"/>
      <c r="D86" s="95"/>
      <c r="E86" s="96"/>
      <c r="F86" s="51"/>
      <c r="G86" s="97"/>
      <c r="H86" s="52">
        <f>SUM(H83:H85)</f>
        <v>130.23432000000003</v>
      </c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>
        <f>SUM(U83:U85)</f>
        <v>130234.32000000004</v>
      </c>
    </row>
    <row r="87" spans="1:26" ht="33.75" customHeight="1">
      <c r="A87" s="78"/>
      <c r="B87" s="9" t="s">
        <v>145</v>
      </c>
      <c r="C87" s="75"/>
      <c r="D87" s="28"/>
      <c r="E87" s="40">
        <f>E84</f>
        <v>5162.6000000000004</v>
      </c>
      <c r="F87" s="60">
        <f>E87*12</f>
        <v>61951.200000000004</v>
      </c>
      <c r="G87" s="60">
        <v>1.63</v>
      </c>
      <c r="H87" s="139">
        <f>F87*G87/1000</f>
        <v>100.980456</v>
      </c>
      <c r="I87" s="43">
        <f>F87/12*G87</f>
        <v>8415.0380000000005</v>
      </c>
      <c r="J87" s="43">
        <f>F87/12*G87</f>
        <v>8415.0380000000005</v>
      </c>
      <c r="K87" s="43">
        <f>F87/12*G87</f>
        <v>8415.0380000000005</v>
      </c>
      <c r="L87" s="43">
        <f>F87/12*G87</f>
        <v>8415.0380000000005</v>
      </c>
      <c r="M87" s="43">
        <f>F87/12*G87</f>
        <v>8415.0380000000005</v>
      </c>
      <c r="N87" s="43">
        <f>F87/12*G87</f>
        <v>8415.0380000000005</v>
      </c>
      <c r="O87" s="43">
        <f>F87/12*G87</f>
        <v>8415.0380000000005</v>
      </c>
      <c r="P87" s="43">
        <f>F87/12*G87</f>
        <v>8415.0380000000005</v>
      </c>
      <c r="Q87" s="43">
        <f>F87/12*G87</f>
        <v>8415.0380000000005</v>
      </c>
      <c r="R87" s="43">
        <f>F87/12*G87</f>
        <v>8415.0380000000005</v>
      </c>
      <c r="S87" s="43">
        <f>F87/12*G87</f>
        <v>8415.0380000000005</v>
      </c>
      <c r="T87" s="43">
        <f>F87/12*G87</f>
        <v>8415.0380000000005</v>
      </c>
      <c r="U87" s="43">
        <f>SUM(I87:T87)</f>
        <v>100980.45600000001</v>
      </c>
    </row>
    <row r="88" spans="1:26" s="21" customFormat="1">
      <c r="A88" s="93"/>
      <c r="B88" s="98" t="s">
        <v>146</v>
      </c>
      <c r="C88" s="99"/>
      <c r="D88" s="98"/>
      <c r="E88" s="51"/>
      <c r="F88" s="51"/>
      <c r="G88" s="51"/>
      <c r="H88" s="86">
        <f>H87</f>
        <v>100.980456</v>
      </c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141">
        <f>U87</f>
        <v>100980.45600000001</v>
      </c>
    </row>
    <row r="89" spans="1:26" s="21" customFormat="1">
      <c r="A89" s="93"/>
      <c r="B89" s="98" t="s">
        <v>147</v>
      </c>
      <c r="C89" s="100"/>
      <c r="D89" s="101"/>
      <c r="E89" s="102"/>
      <c r="F89" s="102"/>
      <c r="G89" s="102"/>
      <c r="H89" s="86">
        <f>SUM(H88+H86+H82+H53+H42+H32+H22)</f>
        <v>9421.2286893766341</v>
      </c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41">
        <f>SUM(U88+U86+U82+U53+U42+U32+U22)</f>
        <v>989925.64157276682</v>
      </c>
    </row>
    <row r="90" spans="1:26" s="131" customFormat="1" ht="51" hidden="1">
      <c r="A90" s="129"/>
      <c r="B90" s="79"/>
      <c r="C90" s="75"/>
      <c r="D90" s="28"/>
      <c r="E90" s="60"/>
      <c r="F90" s="60"/>
      <c r="G90" s="60"/>
      <c r="H90" s="130"/>
      <c r="I90" s="60"/>
      <c r="J90" s="60"/>
      <c r="K90" s="60"/>
      <c r="L90" s="60"/>
      <c r="M90" s="60"/>
      <c r="N90" s="60"/>
      <c r="O90" s="60"/>
      <c r="P90" s="60"/>
      <c r="Q90" s="60"/>
      <c r="R90" s="152"/>
      <c r="S90" s="152"/>
      <c r="T90" s="152"/>
      <c r="U90" s="151" t="s">
        <v>226</v>
      </c>
      <c r="W90" s="160"/>
      <c r="X90" s="160"/>
      <c r="Y90" s="160"/>
      <c r="Z90" s="160"/>
    </row>
    <row r="91" spans="1:26">
      <c r="A91" s="148"/>
      <c r="B91" s="28" t="s">
        <v>148</v>
      </c>
      <c r="C91" s="75"/>
      <c r="D91" s="28"/>
      <c r="E91" s="60"/>
      <c r="F91" s="60"/>
      <c r="G91" s="60" t="s">
        <v>149</v>
      </c>
      <c r="H91" s="103">
        <f>E87</f>
        <v>5162.6000000000004</v>
      </c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6" s="21" customFormat="1">
      <c r="A92" s="93"/>
      <c r="B92" s="101" t="s">
        <v>150</v>
      </c>
      <c r="C92" s="100"/>
      <c r="D92" s="101"/>
      <c r="E92" s="102"/>
      <c r="F92" s="102"/>
      <c r="G92" s="102"/>
      <c r="H92" s="104">
        <f>SUM(H89/H91/12*1000)</f>
        <v>152.07499918285092</v>
      </c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42"/>
    </row>
    <row r="93" spans="1:26">
      <c r="A93" s="105"/>
      <c r="B93" s="28"/>
      <c r="C93" s="75"/>
      <c r="D93" s="28"/>
      <c r="E93" s="60"/>
      <c r="F93" s="60"/>
      <c r="G93" s="60"/>
      <c r="H93" s="106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143"/>
    </row>
    <row r="94" spans="1:26">
      <c r="A94" s="78"/>
      <c r="B94" s="79" t="s">
        <v>151</v>
      </c>
      <c r="C94" s="75"/>
      <c r="D94" s="28"/>
      <c r="E94" s="60"/>
      <c r="F94" s="60"/>
      <c r="G94" s="60"/>
      <c r="H94" s="60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6">
      <c r="A95" s="107" t="s">
        <v>195</v>
      </c>
      <c r="B95" s="27" t="s">
        <v>181</v>
      </c>
      <c r="C95" s="75" t="s">
        <v>182</v>
      </c>
      <c r="D95" s="28"/>
      <c r="E95" s="60"/>
      <c r="F95" s="60">
        <v>2.25</v>
      </c>
      <c r="G95" s="60">
        <v>1372</v>
      </c>
      <c r="H95" s="60">
        <f t="shared" ref="H95" si="12">G95*F95/1000</f>
        <v>3.0870000000000002</v>
      </c>
      <c r="I95" s="43">
        <f>G95*0.25</f>
        <v>343</v>
      </c>
      <c r="J95" s="43">
        <v>0</v>
      </c>
      <c r="K95" s="43">
        <v>0</v>
      </c>
      <c r="L95" s="43">
        <f>G95</f>
        <v>1372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f>G95</f>
        <v>1372</v>
      </c>
      <c r="T95" s="43">
        <v>0</v>
      </c>
      <c r="U95" s="43">
        <f t="shared" ref="U95:U118" si="13">SUM(I95:T95)</f>
        <v>3087</v>
      </c>
    </row>
    <row r="96" spans="1:26" ht="38.25">
      <c r="A96" s="132" t="s">
        <v>204</v>
      </c>
      <c r="B96" s="133" t="s">
        <v>196</v>
      </c>
      <c r="C96" s="132" t="s">
        <v>197</v>
      </c>
      <c r="D96" s="28"/>
      <c r="E96" s="60"/>
      <c r="F96" s="60">
        <v>2</v>
      </c>
      <c r="G96" s="60">
        <v>46.98</v>
      </c>
      <c r="H96" s="139">
        <f t="shared" ref="H96:H106" si="14">G96*F96/1000</f>
        <v>9.3959999999999988E-2</v>
      </c>
      <c r="I96" s="43">
        <v>0</v>
      </c>
      <c r="J96" s="43">
        <f>G96*2</f>
        <v>93.96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0</v>
      </c>
      <c r="U96" s="43">
        <f t="shared" si="13"/>
        <v>93.96</v>
      </c>
    </row>
    <row r="97" spans="1:21" ht="25.5">
      <c r="A97" s="134" t="s">
        <v>199</v>
      </c>
      <c r="B97" s="133" t="s">
        <v>198</v>
      </c>
      <c r="C97" s="132" t="s">
        <v>99</v>
      </c>
      <c r="D97" s="28"/>
      <c r="E97" s="60"/>
      <c r="F97" s="60">
        <v>14</v>
      </c>
      <c r="G97" s="60">
        <v>72.290000000000006</v>
      </c>
      <c r="H97" s="139">
        <f t="shared" si="14"/>
        <v>1.01206</v>
      </c>
      <c r="I97" s="43">
        <v>0</v>
      </c>
      <c r="J97" s="43">
        <f>G97</f>
        <v>72.290000000000006</v>
      </c>
      <c r="K97" s="43">
        <v>0</v>
      </c>
      <c r="L97" s="43">
        <f>G97</f>
        <v>72.290000000000006</v>
      </c>
      <c r="M97" s="43">
        <f>G97</f>
        <v>72.290000000000006</v>
      </c>
      <c r="N97" s="43">
        <f>G97</f>
        <v>72.290000000000006</v>
      </c>
      <c r="O97" s="43">
        <v>0</v>
      </c>
      <c r="P97" s="43">
        <f>G97*3</f>
        <v>216.87</v>
      </c>
      <c r="Q97" s="43">
        <f>G97</f>
        <v>72.290000000000006</v>
      </c>
      <c r="R97" s="43">
        <f>G97*2</f>
        <v>144.58000000000001</v>
      </c>
      <c r="S97" s="43">
        <v>0</v>
      </c>
      <c r="T97" s="43">
        <f>G97*4</f>
        <v>289.16000000000003</v>
      </c>
      <c r="U97" s="43">
        <f t="shared" si="13"/>
        <v>1012.0600000000002</v>
      </c>
    </row>
    <row r="98" spans="1:21" ht="25.5">
      <c r="A98" s="135" t="s">
        <v>195</v>
      </c>
      <c r="B98" s="136" t="s">
        <v>200</v>
      </c>
      <c r="C98" s="137" t="s">
        <v>201</v>
      </c>
      <c r="D98" s="28"/>
      <c r="E98" s="60"/>
      <c r="F98" s="60">
        <v>6</v>
      </c>
      <c r="G98" s="60">
        <v>350.1</v>
      </c>
      <c r="H98" s="139">
        <f t="shared" si="14"/>
        <v>2.1006000000000005</v>
      </c>
      <c r="I98" s="43">
        <v>0</v>
      </c>
      <c r="J98" s="43">
        <f>G98</f>
        <v>350.1</v>
      </c>
      <c r="K98" s="43">
        <f>G98*2</f>
        <v>700.2</v>
      </c>
      <c r="L98" s="43">
        <v>0</v>
      </c>
      <c r="M98" s="43">
        <v>0</v>
      </c>
      <c r="N98" s="43">
        <f>G98</f>
        <v>350.1</v>
      </c>
      <c r="O98" s="43">
        <v>0</v>
      </c>
      <c r="P98" s="43">
        <v>0</v>
      </c>
      <c r="Q98" s="43">
        <v>0</v>
      </c>
      <c r="R98" s="43">
        <v>0</v>
      </c>
      <c r="S98" s="43">
        <f>G98</f>
        <v>350.1</v>
      </c>
      <c r="T98" s="43">
        <f>G98</f>
        <v>350.1</v>
      </c>
      <c r="U98" s="43">
        <f t="shared" si="13"/>
        <v>2100.6</v>
      </c>
    </row>
    <row r="99" spans="1:21" ht="25.5">
      <c r="A99" s="132" t="s">
        <v>203</v>
      </c>
      <c r="B99" s="133" t="s">
        <v>202</v>
      </c>
      <c r="C99" s="132" t="s">
        <v>99</v>
      </c>
      <c r="D99" s="28"/>
      <c r="E99" s="60"/>
      <c r="F99" s="60">
        <v>7</v>
      </c>
      <c r="G99" s="60">
        <v>164.67</v>
      </c>
      <c r="H99" s="139">
        <f t="shared" si="14"/>
        <v>1.1526899999999998</v>
      </c>
      <c r="I99" s="43">
        <v>0</v>
      </c>
      <c r="J99" s="43">
        <f>G99*2</f>
        <v>329.34</v>
      </c>
      <c r="K99" s="43">
        <v>0</v>
      </c>
      <c r="L99" s="43">
        <f>G99</f>
        <v>164.67</v>
      </c>
      <c r="M99" s="43">
        <f>G99</f>
        <v>164.67</v>
      </c>
      <c r="N99" s="43">
        <f>G99</f>
        <v>164.67</v>
      </c>
      <c r="O99" s="43">
        <f>G99</f>
        <v>164.67</v>
      </c>
      <c r="P99" s="43">
        <v>0</v>
      </c>
      <c r="Q99" s="43">
        <f>G99</f>
        <v>164.67</v>
      </c>
      <c r="R99" s="43">
        <v>0</v>
      </c>
      <c r="S99" s="43">
        <v>0</v>
      </c>
      <c r="T99" s="43">
        <v>0</v>
      </c>
      <c r="U99" s="43">
        <f t="shared" si="13"/>
        <v>1152.6899999999998</v>
      </c>
    </row>
    <row r="100" spans="1:21" ht="25.5">
      <c r="A100" s="132" t="s">
        <v>207</v>
      </c>
      <c r="B100" s="133" t="s">
        <v>205</v>
      </c>
      <c r="C100" s="132" t="s">
        <v>206</v>
      </c>
      <c r="D100" s="28"/>
      <c r="E100" s="60"/>
      <c r="F100" s="60">
        <v>1</v>
      </c>
      <c r="G100" s="60">
        <v>179.12</v>
      </c>
      <c r="H100" s="139">
        <f t="shared" si="14"/>
        <v>0.17912</v>
      </c>
      <c r="I100" s="43">
        <v>0</v>
      </c>
      <c r="J100" s="43">
        <f>G100</f>
        <v>179.12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  <c r="U100" s="43">
        <f t="shared" si="13"/>
        <v>179.12</v>
      </c>
    </row>
    <row r="101" spans="1:21" ht="25.5">
      <c r="A101" s="132" t="s">
        <v>210</v>
      </c>
      <c r="B101" s="133" t="s">
        <v>208</v>
      </c>
      <c r="C101" s="132" t="s">
        <v>209</v>
      </c>
      <c r="D101" s="28"/>
      <c r="E101" s="60"/>
      <c r="F101" s="60">
        <v>2</v>
      </c>
      <c r="G101" s="60">
        <v>226.3</v>
      </c>
      <c r="H101" s="139">
        <f t="shared" si="14"/>
        <v>0.4526</v>
      </c>
      <c r="I101" s="43">
        <v>0</v>
      </c>
      <c r="J101" s="43">
        <f>G101*2</f>
        <v>452.6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v>0</v>
      </c>
      <c r="U101" s="43">
        <f t="shared" si="13"/>
        <v>452.6</v>
      </c>
    </row>
    <row r="102" spans="1:21" ht="25.5">
      <c r="A102" s="132" t="s">
        <v>212</v>
      </c>
      <c r="B102" s="133" t="s">
        <v>211</v>
      </c>
      <c r="C102" s="132" t="s">
        <v>209</v>
      </c>
      <c r="D102" s="28"/>
      <c r="E102" s="60"/>
      <c r="F102" s="60">
        <v>2</v>
      </c>
      <c r="G102" s="60">
        <v>455.31</v>
      </c>
      <c r="H102" s="139">
        <f t="shared" si="14"/>
        <v>0.91061999999999999</v>
      </c>
      <c r="I102" s="43">
        <v>0</v>
      </c>
      <c r="J102" s="43">
        <f>G102*2</f>
        <v>910.62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f t="shared" si="13"/>
        <v>910.62</v>
      </c>
    </row>
    <row r="103" spans="1:21" ht="25.5">
      <c r="A103" s="135" t="s">
        <v>195</v>
      </c>
      <c r="B103" s="136" t="s">
        <v>213</v>
      </c>
      <c r="C103" s="137" t="s">
        <v>201</v>
      </c>
      <c r="D103" s="28"/>
      <c r="E103" s="60"/>
      <c r="F103" s="60">
        <v>2</v>
      </c>
      <c r="G103" s="60">
        <v>1678.06</v>
      </c>
      <c r="H103" s="139">
        <f t="shared" si="14"/>
        <v>3.3561199999999998</v>
      </c>
      <c r="I103" s="43">
        <v>0</v>
      </c>
      <c r="J103" s="43">
        <v>0</v>
      </c>
      <c r="K103" s="43">
        <f>G103</f>
        <v>1678.06</v>
      </c>
      <c r="L103" s="43">
        <v>0</v>
      </c>
      <c r="M103" s="43">
        <v>0</v>
      </c>
      <c r="N103" s="43">
        <f>G103</f>
        <v>1678.06</v>
      </c>
      <c r="O103" s="43">
        <v>0</v>
      </c>
      <c r="P103" s="43">
        <v>0</v>
      </c>
      <c r="Q103" s="43">
        <v>0</v>
      </c>
      <c r="R103" s="43">
        <v>0</v>
      </c>
      <c r="S103" s="43">
        <v>0</v>
      </c>
      <c r="T103" s="43">
        <v>0</v>
      </c>
      <c r="U103" s="43">
        <f t="shared" si="13"/>
        <v>3356.12</v>
      </c>
    </row>
    <row r="104" spans="1:21" ht="34.5" customHeight="1">
      <c r="A104" s="140" t="s">
        <v>93</v>
      </c>
      <c r="B104" s="27" t="s">
        <v>214</v>
      </c>
      <c r="C104" s="140" t="s">
        <v>95</v>
      </c>
      <c r="D104" s="28"/>
      <c r="E104" s="60"/>
      <c r="F104" s="60">
        <v>0.03</v>
      </c>
      <c r="G104" s="60">
        <v>3105.72</v>
      </c>
      <c r="H104" s="139">
        <f t="shared" si="14"/>
        <v>9.3171599999999979E-2</v>
      </c>
      <c r="I104" s="43">
        <v>0</v>
      </c>
      <c r="J104" s="43">
        <v>0</v>
      </c>
      <c r="K104" s="43">
        <f>G104*0.02</f>
        <v>62.114399999999996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  <c r="S104" s="43">
        <f>G104*0.01</f>
        <v>31.057199999999998</v>
      </c>
      <c r="T104" s="43">
        <v>0</v>
      </c>
      <c r="U104" s="43">
        <f t="shared" si="13"/>
        <v>93.171599999999998</v>
      </c>
    </row>
    <row r="105" spans="1:21" ht="34.5" customHeight="1">
      <c r="A105" s="134" t="s">
        <v>222</v>
      </c>
      <c r="B105" s="133" t="s">
        <v>221</v>
      </c>
      <c r="C105" s="132" t="s">
        <v>209</v>
      </c>
      <c r="D105" s="28"/>
      <c r="E105" s="60"/>
      <c r="F105" s="60">
        <v>2</v>
      </c>
      <c r="G105" s="60">
        <v>521.67999999999995</v>
      </c>
      <c r="H105" s="149">
        <f t="shared" si="14"/>
        <v>1.0433599999999998</v>
      </c>
      <c r="I105" s="43">
        <v>0</v>
      </c>
      <c r="J105" s="43">
        <v>0</v>
      </c>
      <c r="K105" s="43">
        <v>0</v>
      </c>
      <c r="L105" s="43">
        <f>G105*2</f>
        <v>1043.3599999999999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f>0</f>
        <v>0</v>
      </c>
      <c r="S105" s="43">
        <v>0</v>
      </c>
      <c r="T105" s="43">
        <v>0</v>
      </c>
      <c r="U105" s="43">
        <f t="shared" si="13"/>
        <v>1043.3599999999999</v>
      </c>
    </row>
    <row r="106" spans="1:21" ht="29.25" customHeight="1">
      <c r="A106" s="132" t="s">
        <v>225</v>
      </c>
      <c r="B106" s="133" t="s">
        <v>253</v>
      </c>
      <c r="C106" s="132" t="s">
        <v>224</v>
      </c>
      <c r="D106" s="28"/>
      <c r="E106" s="60"/>
      <c r="F106" s="60">
        <v>9</v>
      </c>
      <c r="G106" s="60">
        <v>169.85</v>
      </c>
      <c r="H106" s="150">
        <f t="shared" si="14"/>
        <v>1.5286499999999998</v>
      </c>
      <c r="I106" s="43">
        <v>0</v>
      </c>
      <c r="J106" s="43">
        <v>0</v>
      </c>
      <c r="K106" s="43">
        <v>0</v>
      </c>
      <c r="L106" s="43">
        <v>0</v>
      </c>
      <c r="M106" s="43">
        <f>G106</f>
        <v>169.85</v>
      </c>
      <c r="N106" s="43">
        <f>G106</f>
        <v>169.85</v>
      </c>
      <c r="O106" s="43">
        <f>G106*2</f>
        <v>339.7</v>
      </c>
      <c r="P106" s="43">
        <f>G106</f>
        <v>169.85</v>
      </c>
      <c r="Q106" s="43">
        <f>G106*2</f>
        <v>339.7</v>
      </c>
      <c r="R106" s="43">
        <f>G106*2</f>
        <v>339.7</v>
      </c>
      <c r="S106" s="43">
        <v>0</v>
      </c>
      <c r="T106" s="43">
        <v>0</v>
      </c>
      <c r="U106" s="43">
        <f t="shared" si="13"/>
        <v>1528.65</v>
      </c>
    </row>
    <row r="107" spans="1:21" ht="23.25" customHeight="1">
      <c r="A107" s="132" t="s">
        <v>227</v>
      </c>
      <c r="B107" s="133" t="s">
        <v>235</v>
      </c>
      <c r="C107" s="132" t="s">
        <v>228</v>
      </c>
      <c r="D107" s="28"/>
      <c r="E107" s="60"/>
      <c r="F107" s="60">
        <v>1</v>
      </c>
      <c r="G107" s="60">
        <v>1465</v>
      </c>
      <c r="H107" s="150">
        <f t="shared" ref="H107:H124" si="15">G107*F107/1000</f>
        <v>1.4650000000000001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f>G107</f>
        <v>1465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f t="shared" si="13"/>
        <v>1465</v>
      </c>
    </row>
    <row r="108" spans="1:21" ht="25.5" customHeight="1">
      <c r="A108" s="134" t="s">
        <v>237</v>
      </c>
      <c r="B108" s="133" t="s">
        <v>236</v>
      </c>
      <c r="C108" s="132" t="s">
        <v>99</v>
      </c>
      <c r="D108" s="28"/>
      <c r="E108" s="60"/>
      <c r="F108" s="60">
        <v>1</v>
      </c>
      <c r="G108" s="60">
        <v>1992.08</v>
      </c>
      <c r="H108" s="150">
        <f t="shared" si="15"/>
        <v>1.9920799999999999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f>G108*1</f>
        <v>1992.08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f t="shared" si="13"/>
        <v>1992.08</v>
      </c>
    </row>
    <row r="109" spans="1:21" ht="23.25" customHeight="1">
      <c r="A109" s="140" t="s">
        <v>239</v>
      </c>
      <c r="B109" s="27" t="s">
        <v>137</v>
      </c>
      <c r="C109" s="153" t="s">
        <v>238</v>
      </c>
      <c r="D109" s="28"/>
      <c r="E109" s="60"/>
      <c r="F109" s="60">
        <v>1</v>
      </c>
      <c r="G109" s="60">
        <v>16.45</v>
      </c>
      <c r="H109" s="150">
        <f t="shared" si="15"/>
        <v>1.6449999999999999E-2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f>G109</f>
        <v>16.45</v>
      </c>
      <c r="P109" s="43">
        <v>0</v>
      </c>
      <c r="Q109" s="43">
        <v>0</v>
      </c>
      <c r="R109" s="43">
        <v>0</v>
      </c>
      <c r="S109" s="43">
        <v>0</v>
      </c>
      <c r="T109" s="43">
        <v>0</v>
      </c>
      <c r="U109" s="43">
        <f t="shared" si="13"/>
        <v>16.45</v>
      </c>
    </row>
    <row r="110" spans="1:21" ht="23.25" customHeight="1">
      <c r="A110" s="134" t="s">
        <v>241</v>
      </c>
      <c r="B110" s="133" t="s">
        <v>240</v>
      </c>
      <c r="C110" s="132" t="s">
        <v>99</v>
      </c>
      <c r="D110" s="28"/>
      <c r="E110" s="60"/>
      <c r="F110" s="60">
        <v>1</v>
      </c>
      <c r="G110" s="60">
        <v>443.02</v>
      </c>
      <c r="H110" s="150">
        <f t="shared" si="15"/>
        <v>0.44301999999999997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f>G110</f>
        <v>443.02</v>
      </c>
      <c r="S110" s="43">
        <v>0</v>
      </c>
      <c r="T110" s="43">
        <v>0</v>
      </c>
      <c r="U110" s="43">
        <f t="shared" si="13"/>
        <v>443.02</v>
      </c>
    </row>
    <row r="111" spans="1:21" ht="26.25" customHeight="1">
      <c r="A111" s="134" t="s">
        <v>227</v>
      </c>
      <c r="B111" s="133" t="s">
        <v>259</v>
      </c>
      <c r="C111" s="132" t="s">
        <v>242</v>
      </c>
      <c r="D111" s="28"/>
      <c r="E111" s="60"/>
      <c r="F111" s="60">
        <v>24</v>
      </c>
      <c r="G111" s="60">
        <v>2057</v>
      </c>
      <c r="H111" s="150">
        <f t="shared" si="15"/>
        <v>49.368000000000002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f>G111*3</f>
        <v>6171</v>
      </c>
      <c r="O111" s="43">
        <f>G111*16</f>
        <v>32912</v>
      </c>
      <c r="P111" s="43">
        <v>0</v>
      </c>
      <c r="Q111" s="43">
        <v>0</v>
      </c>
      <c r="R111" s="43">
        <v>0</v>
      </c>
      <c r="S111" s="43">
        <f>G111*5</f>
        <v>10285</v>
      </c>
      <c r="T111" s="43">
        <v>0</v>
      </c>
      <c r="U111" s="43">
        <f t="shared" si="13"/>
        <v>49368</v>
      </c>
    </row>
    <row r="112" spans="1:21" ht="26.25" customHeight="1">
      <c r="A112" s="134" t="s">
        <v>227</v>
      </c>
      <c r="B112" s="133" t="s">
        <v>243</v>
      </c>
      <c r="C112" s="132" t="s">
        <v>242</v>
      </c>
      <c r="D112" s="28"/>
      <c r="E112" s="60"/>
      <c r="F112" s="60">
        <v>2</v>
      </c>
      <c r="G112" s="60">
        <v>1964</v>
      </c>
      <c r="H112" s="150">
        <f t="shared" si="15"/>
        <v>3.9279999999999999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f>G112*2</f>
        <v>3928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f t="shared" si="13"/>
        <v>3928</v>
      </c>
    </row>
    <row r="113" spans="1:21" ht="26.25" customHeight="1">
      <c r="A113" s="154" t="s">
        <v>245</v>
      </c>
      <c r="B113" s="155" t="s">
        <v>244</v>
      </c>
      <c r="C113" s="153" t="s">
        <v>99</v>
      </c>
      <c r="D113" s="28"/>
      <c r="E113" s="60"/>
      <c r="F113" s="60">
        <v>1</v>
      </c>
      <c r="G113" s="60">
        <v>270.19</v>
      </c>
      <c r="H113" s="150">
        <f t="shared" si="15"/>
        <v>0.27018999999999999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f>G113</f>
        <v>270.19</v>
      </c>
      <c r="S113" s="43">
        <v>0</v>
      </c>
      <c r="T113" s="43">
        <v>0</v>
      </c>
      <c r="U113" s="43">
        <f t="shared" si="13"/>
        <v>270.19</v>
      </c>
    </row>
    <row r="114" spans="1:21" ht="26.25" customHeight="1">
      <c r="A114" s="132" t="s">
        <v>246</v>
      </c>
      <c r="B114" s="133" t="s">
        <v>247</v>
      </c>
      <c r="C114" s="132" t="s">
        <v>209</v>
      </c>
      <c r="D114" s="28"/>
      <c r="E114" s="60"/>
      <c r="F114" s="60">
        <v>1</v>
      </c>
      <c r="G114" s="60">
        <v>355.42</v>
      </c>
      <c r="H114" s="150">
        <f t="shared" si="15"/>
        <v>0.35542000000000001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f>G114</f>
        <v>355.42</v>
      </c>
      <c r="O114" s="43">
        <v>0</v>
      </c>
      <c r="P114" s="43">
        <v>0</v>
      </c>
      <c r="Q114" s="43">
        <v>0</v>
      </c>
      <c r="R114" s="43">
        <v>0</v>
      </c>
      <c r="S114" s="43">
        <v>0</v>
      </c>
      <c r="T114" s="43">
        <v>0</v>
      </c>
      <c r="U114" s="43">
        <f t="shared" si="13"/>
        <v>355.42</v>
      </c>
    </row>
    <row r="115" spans="1:21" ht="26.25" customHeight="1">
      <c r="A115" s="132" t="s">
        <v>249</v>
      </c>
      <c r="B115" s="156" t="s">
        <v>250</v>
      </c>
      <c r="C115" s="134" t="s">
        <v>248</v>
      </c>
      <c r="D115" s="28"/>
      <c r="E115" s="60"/>
      <c r="F115" s="60">
        <v>0.05</v>
      </c>
      <c r="G115" s="60">
        <v>12270.48</v>
      </c>
      <c r="H115" s="150">
        <f t="shared" si="15"/>
        <v>0.61352399999999996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f>G115*0.05</f>
        <v>613.524</v>
      </c>
      <c r="Q115" s="43">
        <v>0</v>
      </c>
      <c r="R115" s="43">
        <v>0</v>
      </c>
      <c r="S115" s="43">
        <v>0</v>
      </c>
      <c r="T115" s="43">
        <v>0</v>
      </c>
      <c r="U115" s="43">
        <f t="shared" si="13"/>
        <v>613.524</v>
      </c>
    </row>
    <row r="116" spans="1:21" ht="26.25" customHeight="1">
      <c r="A116" s="134" t="s">
        <v>222</v>
      </c>
      <c r="B116" s="133" t="s">
        <v>221</v>
      </c>
      <c r="C116" s="132" t="s">
        <v>209</v>
      </c>
      <c r="D116" s="28"/>
      <c r="E116" s="60"/>
      <c r="F116" s="60">
        <v>9</v>
      </c>
      <c r="G116" s="60">
        <v>511.54</v>
      </c>
      <c r="H116" s="150">
        <f t="shared" si="15"/>
        <v>4.603860000000001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f>G116*3</f>
        <v>1534.6200000000001</v>
      </c>
      <c r="O116" s="43">
        <f>G116*4</f>
        <v>2046.16</v>
      </c>
      <c r="P116" s="43">
        <v>0</v>
      </c>
      <c r="Q116" s="43">
        <f>G116</f>
        <v>511.54</v>
      </c>
      <c r="R116" s="43">
        <v>0</v>
      </c>
      <c r="S116" s="43">
        <f>G116</f>
        <v>511.54</v>
      </c>
      <c r="T116" s="43">
        <v>0</v>
      </c>
      <c r="U116" s="43">
        <f t="shared" si="13"/>
        <v>4603.8600000000006</v>
      </c>
    </row>
    <row r="117" spans="1:21" ht="26.25" customHeight="1">
      <c r="A117" s="134" t="s">
        <v>252</v>
      </c>
      <c r="B117" s="133" t="s">
        <v>251</v>
      </c>
      <c r="C117" s="132" t="s">
        <v>209</v>
      </c>
      <c r="D117" s="28"/>
      <c r="E117" s="60"/>
      <c r="F117" s="60">
        <v>2</v>
      </c>
      <c r="G117" s="60">
        <v>696.86</v>
      </c>
      <c r="H117" s="150">
        <f t="shared" si="15"/>
        <v>1.3937200000000001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f>G117</f>
        <v>696.86</v>
      </c>
      <c r="O117" s="43">
        <v>0</v>
      </c>
      <c r="P117" s="43">
        <f>G117</f>
        <v>696.86</v>
      </c>
      <c r="Q117" s="43">
        <v>0</v>
      </c>
      <c r="R117" s="43">
        <v>0</v>
      </c>
      <c r="S117" s="43">
        <v>0</v>
      </c>
      <c r="T117" s="43">
        <v>0</v>
      </c>
      <c r="U117" s="43">
        <f t="shared" si="13"/>
        <v>1393.72</v>
      </c>
    </row>
    <row r="118" spans="1:21" ht="26.25" customHeight="1">
      <c r="A118" s="132" t="s">
        <v>256</v>
      </c>
      <c r="B118" s="133" t="s">
        <v>254</v>
      </c>
      <c r="C118" s="134" t="s">
        <v>255</v>
      </c>
      <c r="D118" s="28"/>
      <c r="E118" s="60"/>
      <c r="F118" s="60">
        <v>3</v>
      </c>
      <c r="G118" s="60">
        <v>133.69999999999999</v>
      </c>
      <c r="H118" s="150">
        <f t="shared" si="15"/>
        <v>0.40109999999999996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f>G118*2</f>
        <v>267.39999999999998</v>
      </c>
      <c r="Q118" s="43">
        <f>G118</f>
        <v>133.69999999999999</v>
      </c>
      <c r="R118" s="43">
        <v>0</v>
      </c>
      <c r="S118" s="43">
        <v>0</v>
      </c>
      <c r="T118" s="43">
        <v>0</v>
      </c>
      <c r="U118" s="43">
        <f t="shared" si="13"/>
        <v>401.09999999999997</v>
      </c>
    </row>
    <row r="119" spans="1:21" ht="26.25" customHeight="1">
      <c r="A119" s="157" t="s">
        <v>257</v>
      </c>
      <c r="B119" s="158" t="s">
        <v>258</v>
      </c>
      <c r="C119" s="159" t="s">
        <v>23</v>
      </c>
      <c r="D119" s="28"/>
      <c r="E119" s="60"/>
      <c r="F119" s="60">
        <v>2.6499999999999999E-2</v>
      </c>
      <c r="G119" s="60">
        <v>2846.41</v>
      </c>
      <c r="H119" s="150">
        <f t="shared" si="15"/>
        <v>7.5429864999999999E-2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f>G119*0.0265</f>
        <v>75.429864999999992</v>
      </c>
      <c r="S119" s="43">
        <v>0</v>
      </c>
      <c r="T119" s="43">
        <v>0</v>
      </c>
      <c r="U119" s="43">
        <f t="shared" ref="U119:U124" si="16">SUM(I119:T119)</f>
        <v>75.429864999999992</v>
      </c>
    </row>
    <row r="120" spans="1:21" ht="26.25" customHeight="1">
      <c r="A120" s="132" t="s">
        <v>260</v>
      </c>
      <c r="B120" s="133" t="s">
        <v>261</v>
      </c>
      <c r="C120" s="132" t="s">
        <v>262</v>
      </c>
      <c r="D120" s="28"/>
      <c r="E120" s="60"/>
      <c r="F120" s="60">
        <v>1</v>
      </c>
      <c r="G120" s="60">
        <v>265.92</v>
      </c>
      <c r="H120" s="150">
        <f t="shared" si="15"/>
        <v>0.26591999999999999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f>G120</f>
        <v>265.92</v>
      </c>
      <c r="T120" s="43">
        <v>0</v>
      </c>
      <c r="U120" s="43">
        <f t="shared" si="16"/>
        <v>265.92</v>
      </c>
    </row>
    <row r="121" spans="1:21" ht="26.25" customHeight="1">
      <c r="A121" s="132" t="s">
        <v>263</v>
      </c>
      <c r="B121" s="133" t="s">
        <v>264</v>
      </c>
      <c r="C121" s="132" t="s">
        <v>262</v>
      </c>
      <c r="D121" s="28"/>
      <c r="E121" s="60"/>
      <c r="F121" s="60">
        <v>1</v>
      </c>
      <c r="G121" s="60">
        <v>84.32</v>
      </c>
      <c r="H121" s="150">
        <f t="shared" si="15"/>
        <v>8.4319999999999992E-2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f>G121</f>
        <v>84.32</v>
      </c>
      <c r="T121" s="43">
        <v>0</v>
      </c>
      <c r="U121" s="43">
        <f t="shared" si="16"/>
        <v>84.32</v>
      </c>
    </row>
    <row r="122" spans="1:21" ht="22.5" customHeight="1">
      <c r="A122" s="132" t="s">
        <v>266</v>
      </c>
      <c r="B122" s="133" t="s">
        <v>265</v>
      </c>
      <c r="C122" s="132" t="s">
        <v>99</v>
      </c>
      <c r="D122" s="28"/>
      <c r="E122" s="60"/>
      <c r="F122" s="60">
        <v>4</v>
      </c>
      <c r="G122" s="60">
        <v>165.52</v>
      </c>
      <c r="H122" s="150">
        <f t="shared" si="15"/>
        <v>0.66208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  <c r="S122" s="43">
        <f>G122*4</f>
        <v>662.08</v>
      </c>
      <c r="T122" s="43">
        <v>0</v>
      </c>
      <c r="U122" s="43">
        <f t="shared" si="16"/>
        <v>662.08</v>
      </c>
    </row>
    <row r="123" spans="1:21" ht="26.25" customHeight="1">
      <c r="A123" s="134" t="s">
        <v>268</v>
      </c>
      <c r="B123" s="133" t="s">
        <v>267</v>
      </c>
      <c r="C123" s="132" t="s">
        <v>99</v>
      </c>
      <c r="D123" s="28"/>
      <c r="E123" s="60"/>
      <c r="F123" s="60">
        <v>1</v>
      </c>
      <c r="G123" s="60">
        <v>325.69</v>
      </c>
      <c r="H123" s="150">
        <f t="shared" si="15"/>
        <v>0.32568999999999998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f>G123</f>
        <v>325.69</v>
      </c>
      <c r="U123" s="43">
        <f t="shared" si="16"/>
        <v>325.69</v>
      </c>
    </row>
    <row r="124" spans="1:21" ht="26.25" customHeight="1">
      <c r="A124" s="134" t="s">
        <v>270</v>
      </c>
      <c r="B124" s="133" t="s">
        <v>269</v>
      </c>
      <c r="C124" s="132" t="s">
        <v>99</v>
      </c>
      <c r="D124" s="28"/>
      <c r="E124" s="60"/>
      <c r="F124" s="60">
        <v>1</v>
      </c>
      <c r="G124" s="60">
        <v>669.88</v>
      </c>
      <c r="H124" s="150">
        <f t="shared" si="15"/>
        <v>0.66988000000000003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f>G124</f>
        <v>669.88</v>
      </c>
      <c r="U124" s="43">
        <f t="shared" si="16"/>
        <v>669.88</v>
      </c>
    </row>
    <row r="125" spans="1:21" s="21" customFormat="1">
      <c r="A125" s="108"/>
      <c r="B125" s="109" t="s">
        <v>152</v>
      </c>
      <c r="C125" s="108"/>
      <c r="D125" s="108"/>
      <c r="E125" s="102"/>
      <c r="F125" s="102"/>
      <c r="G125" s="102"/>
      <c r="H125" s="52">
        <f>SUM(H95:H124)</f>
        <v>81.943635465</v>
      </c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51">
        <f>SUM(U95:U124)</f>
        <v>81943.635465000028</v>
      </c>
    </row>
    <row r="126" spans="1:21">
      <c r="A126" s="105"/>
      <c r="B126" s="110"/>
      <c r="C126" s="111"/>
      <c r="D126" s="111"/>
      <c r="E126" s="60"/>
      <c r="F126" s="60"/>
      <c r="G126" s="60"/>
      <c r="H126" s="112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144"/>
    </row>
    <row r="127" spans="1:21" ht="12" customHeight="1">
      <c r="A127" s="78"/>
      <c r="B127" s="20" t="s">
        <v>153</v>
      </c>
      <c r="C127" s="75"/>
      <c r="D127" s="28"/>
      <c r="E127" s="60"/>
      <c r="F127" s="60"/>
      <c r="G127" s="60"/>
      <c r="H127" s="113">
        <f>H125/E128/12*1000</f>
        <v>1.3227126426122495</v>
      </c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144"/>
    </row>
    <row r="128" spans="1:21" s="21" customFormat="1">
      <c r="A128" s="93"/>
      <c r="B128" s="114" t="s">
        <v>154</v>
      </c>
      <c r="C128" s="115"/>
      <c r="D128" s="114"/>
      <c r="E128" s="116">
        <v>5162.6000000000004</v>
      </c>
      <c r="F128" s="117">
        <f>SUM(E128*12)</f>
        <v>61951.200000000004</v>
      </c>
      <c r="G128" s="118">
        <f>H92+H127</f>
        <v>153.39771182546318</v>
      </c>
      <c r="H128" s="119">
        <f>SUM(F128*G128/1000)</f>
        <v>9503.1723248416347</v>
      </c>
      <c r="I128" s="102">
        <f>SUM(I11:I127)</f>
        <v>76970.430205599972</v>
      </c>
      <c r="J128" s="102">
        <f>SUM(J11:J126)</f>
        <v>91364.139890599996</v>
      </c>
      <c r="K128" s="102">
        <f t="shared" ref="K128:R128" si="17">SUM(K11:K127)</f>
        <v>85866.381275599982</v>
      </c>
      <c r="L128" s="102">
        <f t="shared" si="17"/>
        <v>94275.385722533334</v>
      </c>
      <c r="M128" s="102">
        <f t="shared" si="17"/>
        <v>171029.67358032221</v>
      </c>
      <c r="N128" s="102">
        <f t="shared" si="17"/>
        <v>86057.142293822209</v>
      </c>
      <c r="O128" s="102">
        <f t="shared" si="17"/>
        <v>96372.309996822209</v>
      </c>
      <c r="P128" s="102">
        <f t="shared" si="17"/>
        <v>77252.743996822217</v>
      </c>
      <c r="Q128" s="102">
        <f t="shared" si="17"/>
        <v>64694.483326822199</v>
      </c>
      <c r="R128" s="102">
        <f t="shared" si="17"/>
        <v>66246.982782622217</v>
      </c>
      <c r="S128" s="102">
        <f>SUM(S11:S127)</f>
        <v>86681.87407559999</v>
      </c>
      <c r="T128" s="102">
        <f>SUM(T11:T127)</f>
        <v>75057.729890599992</v>
      </c>
      <c r="U128" s="51">
        <f>U89+U125</f>
        <v>1071869.2770377668</v>
      </c>
    </row>
    <row r="129" spans="1:21">
      <c r="A129" s="78"/>
      <c r="B129" s="78"/>
      <c r="C129" s="78"/>
      <c r="D129" s="78"/>
      <c r="E129" s="120"/>
      <c r="F129" s="120"/>
      <c r="G129" s="120"/>
      <c r="H129" s="120"/>
      <c r="I129" s="120"/>
      <c r="J129" s="120"/>
      <c r="K129" s="120"/>
      <c r="L129" s="120"/>
      <c r="M129" s="78"/>
      <c r="N129" s="120"/>
      <c r="O129" s="78"/>
      <c r="P129" s="78"/>
      <c r="Q129" s="78"/>
      <c r="R129" s="78"/>
      <c r="S129" s="78"/>
      <c r="T129" s="78"/>
      <c r="U129" s="78"/>
    </row>
    <row r="130" spans="1:21">
      <c r="A130" s="78"/>
      <c r="B130" s="78"/>
      <c r="C130" s="78"/>
      <c r="D130" s="78"/>
      <c r="E130" s="120"/>
      <c r="F130" s="120"/>
      <c r="G130" s="120"/>
      <c r="H130" s="120"/>
      <c r="I130" s="120"/>
      <c r="J130" s="121"/>
      <c r="K130" s="122"/>
      <c r="L130" s="121"/>
      <c r="M130" s="120"/>
      <c r="N130" s="78"/>
      <c r="O130" s="78"/>
      <c r="P130" s="78"/>
      <c r="Q130" s="78"/>
      <c r="R130" s="78"/>
      <c r="S130" s="78"/>
      <c r="T130" s="78"/>
      <c r="U130" s="78"/>
    </row>
    <row r="131" spans="1:21" ht="45">
      <c r="A131" s="78"/>
      <c r="B131" s="123" t="s">
        <v>183</v>
      </c>
      <c r="C131" s="164">
        <v>277785.48</v>
      </c>
      <c r="D131" s="165"/>
      <c r="E131" s="165"/>
      <c r="F131" s="166"/>
      <c r="G131" s="120"/>
      <c r="H131" s="120"/>
      <c r="I131" s="120"/>
      <c r="J131" s="121"/>
      <c r="K131" s="122"/>
      <c r="L131" s="121"/>
      <c r="M131" s="120"/>
      <c r="N131" s="78"/>
      <c r="O131" s="78"/>
      <c r="P131" s="78"/>
      <c r="Q131" s="78"/>
      <c r="R131" s="78"/>
      <c r="S131" s="78"/>
      <c r="T131" s="78"/>
      <c r="U131" s="78"/>
    </row>
    <row r="132" spans="1:21" ht="30">
      <c r="A132" s="78"/>
      <c r="B132" s="24" t="s">
        <v>229</v>
      </c>
      <c r="C132" s="168">
        <v>1337024.28</v>
      </c>
      <c r="D132" s="169"/>
      <c r="E132" s="169"/>
      <c r="F132" s="170"/>
      <c r="G132" s="120"/>
      <c r="H132" s="120"/>
      <c r="I132" s="120"/>
      <c r="J132" s="121"/>
      <c r="K132" s="122"/>
      <c r="L132" s="121"/>
      <c r="M132" s="120"/>
      <c r="N132" s="78"/>
      <c r="O132" s="78"/>
      <c r="P132" s="78"/>
      <c r="Q132" s="78"/>
      <c r="R132" s="78"/>
      <c r="S132" s="78"/>
      <c r="T132" s="78"/>
      <c r="U132" s="78"/>
    </row>
    <row r="133" spans="1:21" ht="30">
      <c r="A133" s="78"/>
      <c r="B133" s="24" t="s">
        <v>230</v>
      </c>
      <c r="C133" s="168">
        <f>SUM(U128-U125)</f>
        <v>989925.6415727667</v>
      </c>
      <c r="D133" s="169"/>
      <c r="E133" s="169"/>
      <c r="F133" s="170"/>
      <c r="G133" s="120"/>
      <c r="H133" s="120"/>
      <c r="I133" s="120"/>
      <c r="J133" s="121"/>
      <c r="K133" s="122"/>
      <c r="L133" s="121"/>
      <c r="M133" s="120"/>
      <c r="N133" s="78"/>
      <c r="O133" s="78"/>
      <c r="P133" s="78"/>
      <c r="Q133" s="78"/>
      <c r="R133" s="78"/>
      <c r="S133" s="78"/>
      <c r="T133" s="78"/>
      <c r="U133" s="78"/>
    </row>
    <row r="134" spans="1:21" ht="30">
      <c r="A134" s="78"/>
      <c r="B134" s="24" t="s">
        <v>231</v>
      </c>
      <c r="C134" s="168">
        <f>SUM(U125)</f>
        <v>81943.635465000028</v>
      </c>
      <c r="D134" s="169"/>
      <c r="E134" s="169"/>
      <c r="F134" s="170"/>
      <c r="G134" s="120"/>
      <c r="H134" s="120"/>
      <c r="I134" s="120"/>
      <c r="J134" s="121"/>
      <c r="K134" s="122"/>
      <c r="L134" s="121"/>
      <c r="M134" s="120"/>
      <c r="N134" s="78"/>
      <c r="O134" s="78"/>
      <c r="P134" s="78"/>
      <c r="Q134" s="78"/>
      <c r="R134" s="78"/>
      <c r="S134" s="78"/>
      <c r="T134" s="78"/>
      <c r="U134" s="78"/>
    </row>
    <row r="135" spans="1:21" ht="18">
      <c r="A135" s="78"/>
      <c r="B135" s="138" t="s">
        <v>232</v>
      </c>
      <c r="C135" s="164">
        <v>1222728.44</v>
      </c>
      <c r="D135" s="165"/>
      <c r="E135" s="165"/>
      <c r="F135" s="166"/>
      <c r="G135" s="78"/>
      <c r="H135" s="124" t="s">
        <v>179</v>
      </c>
      <c r="I135" s="125"/>
      <c r="J135" s="125"/>
      <c r="K135" s="126"/>
      <c r="L135" s="127"/>
      <c r="M135" s="124"/>
      <c r="N135" s="124"/>
      <c r="O135" s="78"/>
      <c r="P135" s="78"/>
      <c r="Q135" s="78"/>
      <c r="R135" s="78"/>
      <c r="S135" s="78"/>
      <c r="T135" s="78"/>
      <c r="U135" s="78"/>
    </row>
    <row r="136" spans="1:21" ht="78.75">
      <c r="A136" s="78"/>
      <c r="B136" s="25" t="s">
        <v>233</v>
      </c>
      <c r="C136" s="171">
        <v>433753.11</v>
      </c>
      <c r="D136" s="172"/>
      <c r="E136" s="172"/>
      <c r="F136" s="173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</row>
    <row r="137" spans="1:21" ht="45">
      <c r="A137" s="78"/>
      <c r="B137" s="128" t="s">
        <v>234</v>
      </c>
      <c r="C137" s="167">
        <f>SUM(U128-C132)+C131</f>
        <v>12630.477037766716</v>
      </c>
      <c r="D137" s="165"/>
      <c r="E137" s="165"/>
      <c r="F137" s="166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</row>
    <row r="139" spans="1:21">
      <c r="J139" s="4"/>
      <c r="K139" s="5"/>
      <c r="L139" s="5"/>
      <c r="M139" s="3"/>
    </row>
    <row r="140" spans="1:21">
      <c r="G140" s="6"/>
      <c r="H140" s="6"/>
    </row>
    <row r="141" spans="1:21">
      <c r="G141" s="7"/>
    </row>
  </sheetData>
  <mergeCells count="12">
    <mergeCell ref="C131:F131"/>
    <mergeCell ref="C137:F137"/>
    <mergeCell ref="C132:F132"/>
    <mergeCell ref="C133:F133"/>
    <mergeCell ref="C134:F134"/>
    <mergeCell ref="C135:F135"/>
    <mergeCell ref="C136:F136"/>
    <mergeCell ref="W90:Z90"/>
    <mergeCell ref="B3:L3"/>
    <mergeCell ref="B4:L4"/>
    <mergeCell ref="B5:L5"/>
    <mergeCell ref="B6:L6"/>
  </mergeCells>
  <pageMargins left="0.31496062992125984" right="0.31496062992125984" top="0.15748031496062992" bottom="0.19685039370078741" header="0.15748031496062992" footer="0.15748031496062992"/>
  <pageSetup paperSize="9" scale="5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2018-06-29T07:05:11Z</cp:lastPrinted>
  <dcterms:created xsi:type="dcterms:W3CDTF">2014-02-05T12:20:20Z</dcterms:created>
  <dcterms:modified xsi:type="dcterms:W3CDTF">2018-06-29T07:06:08Z</dcterms:modified>
</cp:coreProperties>
</file>