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315" windowWidth="15975" windowHeight="5565"/>
  </bookViews>
  <sheets>
    <sheet name="Шахт.,7" sheetId="1" r:id="rId1"/>
  </sheets>
  <definedNames>
    <definedName name="_xlnm.Print_Area" localSheetId="0">'Шахт.,7'!$A$1:$U$114</definedName>
  </definedNames>
  <calcPr calcId="124519"/>
</workbook>
</file>

<file path=xl/calcChain.xml><?xml version="1.0" encoding="utf-8"?>
<calcChain xmlns="http://schemas.openxmlformats.org/spreadsheetml/2006/main">
  <c r="U102" i="1"/>
  <c r="H102"/>
  <c r="T101"/>
  <c r="U101" s="1"/>
  <c r="H101"/>
  <c r="U100"/>
  <c r="T100"/>
  <c r="H100"/>
  <c r="U99"/>
  <c r="S99"/>
  <c r="H99"/>
  <c r="U98"/>
  <c r="O98"/>
  <c r="H98"/>
  <c r="O94"/>
  <c r="M94"/>
  <c r="R61"/>
  <c r="T93"/>
  <c r="T90"/>
  <c r="S90"/>
  <c r="S88"/>
  <c r="N88"/>
  <c r="U97"/>
  <c r="T97"/>
  <c r="H97"/>
  <c r="T88"/>
  <c r="K36"/>
  <c r="F52"/>
  <c r="T40"/>
  <c r="S40"/>
  <c r="T33"/>
  <c r="S33"/>
  <c r="M95"/>
  <c r="U95" s="1"/>
  <c r="H95"/>
  <c r="R96"/>
  <c r="U96" s="1"/>
  <c r="H96"/>
  <c r="Q67"/>
  <c r="Q53"/>
  <c r="Q52"/>
  <c r="L53"/>
  <c r="L52"/>
  <c r="I53"/>
  <c r="I52"/>
  <c r="Q51"/>
  <c r="M88"/>
  <c r="F26"/>
  <c r="R26" s="1"/>
  <c r="L94"/>
  <c r="U94" s="1"/>
  <c r="H94"/>
  <c r="L88"/>
  <c r="L40"/>
  <c r="L33"/>
  <c r="K93"/>
  <c r="U93" s="1"/>
  <c r="H93"/>
  <c r="K90"/>
  <c r="K40"/>
  <c r="K33"/>
  <c r="F77"/>
  <c r="N77" s="1"/>
  <c r="U77" s="1"/>
  <c r="H77"/>
  <c r="J92"/>
  <c r="U92" s="1"/>
  <c r="H92"/>
  <c r="J91"/>
  <c r="U91" s="1"/>
  <c r="H91"/>
  <c r="J90"/>
  <c r="U90"/>
  <c r="H90"/>
  <c r="J88"/>
  <c r="J51"/>
  <c r="J40"/>
  <c r="J33"/>
  <c r="I89"/>
  <c r="U89" s="1"/>
  <c r="H89"/>
  <c r="I88"/>
  <c r="U88" s="1"/>
  <c r="U75"/>
  <c r="U72"/>
  <c r="U71"/>
  <c r="U70"/>
  <c r="U69"/>
  <c r="U67"/>
  <c r="U61"/>
  <c r="U60"/>
  <c r="U58"/>
  <c r="U53"/>
  <c r="U52"/>
  <c r="U51"/>
  <c r="U36"/>
  <c r="U29"/>
  <c r="U28"/>
  <c r="F53"/>
  <c r="I40"/>
  <c r="U40" s="1"/>
  <c r="I33"/>
  <c r="U33" s="1"/>
  <c r="H88"/>
  <c r="I73"/>
  <c r="U73" s="1"/>
  <c r="H73"/>
  <c r="H72"/>
  <c r="N26" l="1"/>
  <c r="O26"/>
  <c r="Q26"/>
  <c r="M26"/>
  <c r="U26" s="1"/>
  <c r="P26"/>
  <c r="F47"/>
  <c r="H47" l="1"/>
  <c r="L47"/>
  <c r="U47" s="1"/>
  <c r="Q47"/>
  <c r="F19"/>
  <c r="F16"/>
  <c r="N16" s="1"/>
  <c r="U16" s="1"/>
  <c r="F15"/>
  <c r="N15" s="1"/>
  <c r="U15" s="1"/>
  <c r="H19" l="1"/>
  <c r="N19"/>
  <c r="U19" s="1"/>
  <c r="H52"/>
  <c r="F38"/>
  <c r="F34"/>
  <c r="F35"/>
  <c r="H58"/>
  <c r="I35" l="1"/>
  <c r="T35"/>
  <c r="J35"/>
  <c r="S35"/>
  <c r="L35"/>
  <c r="K35"/>
  <c r="T34"/>
  <c r="L34"/>
  <c r="K34"/>
  <c r="S34"/>
  <c r="J34"/>
  <c r="I38"/>
  <c r="T38"/>
  <c r="J38"/>
  <c r="S38"/>
  <c r="L38"/>
  <c r="K38"/>
  <c r="H34"/>
  <c r="I34"/>
  <c r="F44"/>
  <c r="U38" l="1"/>
  <c r="U34"/>
  <c r="U35"/>
  <c r="Q44"/>
  <c r="L44"/>
  <c r="H36"/>
  <c r="U44" l="1"/>
  <c r="H35"/>
  <c r="H71"/>
  <c r="H70" l="1"/>
  <c r="F14" l="1"/>
  <c r="N14" s="1"/>
  <c r="U14" s="1"/>
  <c r="F17"/>
  <c r="N17" s="1"/>
  <c r="U17" s="1"/>
  <c r="F18"/>
  <c r="N18" s="1"/>
  <c r="U18" s="1"/>
  <c r="F105" l="1"/>
  <c r="H104"/>
  <c r="E80"/>
  <c r="H84" s="1"/>
  <c r="F78"/>
  <c r="H75"/>
  <c r="H69"/>
  <c r="H67"/>
  <c r="F66"/>
  <c r="F65"/>
  <c r="F64"/>
  <c r="F63"/>
  <c r="F62"/>
  <c r="H61"/>
  <c r="H60"/>
  <c r="F56"/>
  <c r="H53"/>
  <c r="H51"/>
  <c r="F50"/>
  <c r="F49"/>
  <c r="F48"/>
  <c r="F46"/>
  <c r="F45"/>
  <c r="H44"/>
  <c r="F43"/>
  <c r="H40"/>
  <c r="F39"/>
  <c r="H38"/>
  <c r="F37"/>
  <c r="H33"/>
  <c r="F30"/>
  <c r="H29"/>
  <c r="H28"/>
  <c r="F27"/>
  <c r="H26"/>
  <c r="F25"/>
  <c r="F24"/>
  <c r="F23"/>
  <c r="F20"/>
  <c r="H18"/>
  <c r="H17"/>
  <c r="H14"/>
  <c r="E13"/>
  <c r="F13" s="1"/>
  <c r="F12"/>
  <c r="F11"/>
  <c r="I13" l="1"/>
  <c r="T13"/>
  <c r="R13"/>
  <c r="P13"/>
  <c r="N13"/>
  <c r="L13"/>
  <c r="K13"/>
  <c r="S13"/>
  <c r="Q13"/>
  <c r="O13"/>
  <c r="M13"/>
  <c r="J13"/>
  <c r="H20"/>
  <c r="N20"/>
  <c r="U20" s="1"/>
  <c r="H24"/>
  <c r="Q24"/>
  <c r="O24"/>
  <c r="R24"/>
  <c r="P24"/>
  <c r="N24"/>
  <c r="M24"/>
  <c r="I12"/>
  <c r="T12"/>
  <c r="Q12"/>
  <c r="O12"/>
  <c r="M12"/>
  <c r="J12"/>
  <c r="S12"/>
  <c r="R12"/>
  <c r="P12"/>
  <c r="N12"/>
  <c r="L12"/>
  <c r="K12"/>
  <c r="H23"/>
  <c r="R23"/>
  <c r="P23"/>
  <c r="N23"/>
  <c r="M23"/>
  <c r="Q23"/>
  <c r="O23"/>
  <c r="H25"/>
  <c r="M25"/>
  <c r="U25" s="1"/>
  <c r="I27"/>
  <c r="T27"/>
  <c r="Q27"/>
  <c r="O27"/>
  <c r="J27"/>
  <c r="S27"/>
  <c r="R27"/>
  <c r="P27"/>
  <c r="N27"/>
  <c r="M27"/>
  <c r="L27"/>
  <c r="K27"/>
  <c r="H46"/>
  <c r="Q46"/>
  <c r="L46"/>
  <c r="H49"/>
  <c r="K49"/>
  <c r="Q49"/>
  <c r="T56"/>
  <c r="S56"/>
  <c r="L56"/>
  <c r="J56"/>
  <c r="H63"/>
  <c r="M63"/>
  <c r="U63" s="1"/>
  <c r="H65"/>
  <c r="M65"/>
  <c r="U65" s="1"/>
  <c r="I11"/>
  <c r="T11"/>
  <c r="R11"/>
  <c r="P11"/>
  <c r="N11"/>
  <c r="L11"/>
  <c r="K11"/>
  <c r="S11"/>
  <c r="Q11"/>
  <c r="O11"/>
  <c r="M11"/>
  <c r="J11"/>
  <c r="T30"/>
  <c r="R30"/>
  <c r="P30"/>
  <c r="N30"/>
  <c r="M30"/>
  <c r="L30"/>
  <c r="K30"/>
  <c r="S30"/>
  <c r="Q30"/>
  <c r="O30"/>
  <c r="J30"/>
  <c r="T37"/>
  <c r="L37"/>
  <c r="K37"/>
  <c r="S37"/>
  <c r="J37"/>
  <c r="T39"/>
  <c r="L39"/>
  <c r="K39"/>
  <c r="S39"/>
  <c r="J39"/>
  <c r="H43"/>
  <c r="L43"/>
  <c r="U43" s="1"/>
  <c r="Q43"/>
  <c r="H45"/>
  <c r="L45"/>
  <c r="Q45"/>
  <c r="I48"/>
  <c r="Q48"/>
  <c r="T48"/>
  <c r="M48"/>
  <c r="J48"/>
  <c r="H50"/>
  <c r="Q50"/>
  <c r="K50"/>
  <c r="U50" s="1"/>
  <c r="H62"/>
  <c r="M62"/>
  <c r="U62" s="1"/>
  <c r="H64"/>
  <c r="M64"/>
  <c r="U64" s="1"/>
  <c r="H66"/>
  <c r="M66"/>
  <c r="U66" s="1"/>
  <c r="I78"/>
  <c r="T78"/>
  <c r="R78"/>
  <c r="P78"/>
  <c r="N78"/>
  <c r="L78"/>
  <c r="J78"/>
  <c r="S78"/>
  <c r="Q78"/>
  <c r="O78"/>
  <c r="M78"/>
  <c r="K78"/>
  <c r="H56"/>
  <c r="K56" s="1"/>
  <c r="I56"/>
  <c r="H30"/>
  <c r="I30"/>
  <c r="U30" s="1"/>
  <c r="H37"/>
  <c r="H41" s="1"/>
  <c r="I37"/>
  <c r="U37" s="1"/>
  <c r="H39"/>
  <c r="I39"/>
  <c r="U39" s="1"/>
  <c r="H78"/>
  <c r="H79" s="1"/>
  <c r="H27"/>
  <c r="H48"/>
  <c r="H54" s="1"/>
  <c r="H11"/>
  <c r="H12"/>
  <c r="H16"/>
  <c r="H13"/>
  <c r="H15"/>
  <c r="F80"/>
  <c r="H76" l="1"/>
  <c r="U56"/>
  <c r="U76" s="1"/>
  <c r="U78"/>
  <c r="U79" s="1"/>
  <c r="U48"/>
  <c r="U45"/>
  <c r="T105"/>
  <c r="U49"/>
  <c r="U46"/>
  <c r="U27"/>
  <c r="U24"/>
  <c r="U13"/>
  <c r="T80"/>
  <c r="Q80"/>
  <c r="O80"/>
  <c r="O105" s="1"/>
  <c r="M80"/>
  <c r="M105" s="1"/>
  <c r="K80"/>
  <c r="I80"/>
  <c r="U80" s="1"/>
  <c r="U81" s="1"/>
  <c r="S80"/>
  <c r="S105" s="1"/>
  <c r="R80"/>
  <c r="P80"/>
  <c r="P105" s="1"/>
  <c r="N80"/>
  <c r="L80"/>
  <c r="L105" s="1"/>
  <c r="J80"/>
  <c r="J105" s="1"/>
  <c r="U11"/>
  <c r="K105"/>
  <c r="Q105"/>
  <c r="N105"/>
  <c r="R105"/>
  <c r="U23"/>
  <c r="U31" s="1"/>
  <c r="U12"/>
  <c r="H31"/>
  <c r="U41"/>
  <c r="H80"/>
  <c r="H81" s="1"/>
  <c r="C111"/>
  <c r="H21"/>
  <c r="U21" l="1"/>
  <c r="U54"/>
  <c r="U82" s="1"/>
  <c r="U105" s="1"/>
  <c r="I105"/>
  <c r="H82"/>
  <c r="H85" s="1"/>
  <c r="G105" s="1"/>
  <c r="H105" s="1"/>
  <c r="C110" l="1"/>
  <c r="C114"/>
</calcChain>
</file>

<file path=xl/sharedStrings.xml><?xml version="1.0" encoding="utf-8"?>
<sst xmlns="http://schemas.openxmlformats.org/spreadsheetml/2006/main" count="309" uniqueCount="229">
  <si>
    <t>ОТЧЁТ</t>
  </si>
  <si>
    <t xml:space="preserve">по предоставленным услугам и произведённым работам по содержанию и ремонту общего имущества собственников помещений в многоквартирном доме </t>
  </si>
  <si>
    <t>№ расц.</t>
  </si>
  <si>
    <t>Перечень работ</t>
  </si>
  <si>
    <t>Ед.изм</t>
  </si>
  <si>
    <t>Периодичность</t>
  </si>
  <si>
    <t>Объем работ разовый</t>
  </si>
  <si>
    <t xml:space="preserve">Объем работ на год </t>
  </si>
  <si>
    <t>Расценка (руб)</t>
  </si>
  <si>
    <t>Сумма в год (тыс.руб)</t>
  </si>
  <si>
    <t>А.Обязательные работы по содержанию общего имущества собственников помещений в многоквартирном доме</t>
  </si>
  <si>
    <t xml:space="preserve">1. Санитарное содержание </t>
  </si>
  <si>
    <t>ТЭР 51-001</t>
  </si>
  <si>
    <t>Влажное подметание лестничных клеток 1 этажа</t>
  </si>
  <si>
    <t>100м2</t>
  </si>
  <si>
    <t>3 раза в неделю 156 раз в год</t>
  </si>
  <si>
    <t>2 раза в неделю 104 раза в год</t>
  </si>
  <si>
    <t>ТЭР 51-009</t>
  </si>
  <si>
    <t xml:space="preserve">2 раза в месяц   24 раза в год </t>
  </si>
  <si>
    <t xml:space="preserve"> ТЭР 51-031</t>
  </si>
  <si>
    <t>Мытье окон</t>
  </si>
  <si>
    <t>10м2</t>
  </si>
  <si>
    <t>ТЭР 51-025</t>
  </si>
  <si>
    <t>Влажная протирка перил</t>
  </si>
  <si>
    <t>ТЭР 51-023</t>
  </si>
  <si>
    <t>Влажная протирка почтовых ящиков</t>
  </si>
  <si>
    <t>ТЭР 51-018</t>
  </si>
  <si>
    <t xml:space="preserve">Влажная уборка стен </t>
  </si>
  <si>
    <t>100 м2</t>
  </si>
  <si>
    <t>ТЭР 51-019</t>
  </si>
  <si>
    <t>Влажная протирка дверей</t>
  </si>
  <si>
    <t>ТЭР 51-024</t>
  </si>
  <si>
    <t>Влажная протирка отопительных приборов</t>
  </si>
  <si>
    <t>итого:</t>
  </si>
  <si>
    <t>Летняя уборка</t>
  </si>
  <si>
    <t>ТЭР 53-020</t>
  </si>
  <si>
    <t xml:space="preserve"> - Уборка  газонов</t>
  </si>
  <si>
    <t>1000-м2</t>
  </si>
  <si>
    <t>2 раза в неделю 52 раза в сезон</t>
  </si>
  <si>
    <t>ТЭР 53-001</t>
  </si>
  <si>
    <t xml:space="preserve"> - Подметание территории с усовершенствованным покрытием асф:крыльца,контейнерн пл,проезд,тротуар</t>
  </si>
  <si>
    <t>1000м2</t>
  </si>
  <si>
    <t>3 раза в неделю 78 раз за сезон</t>
  </si>
  <si>
    <t>ТЭР 53-021</t>
  </si>
  <si>
    <t>Уборка газонов сильной загрязненности</t>
  </si>
  <si>
    <t>1 раз в год</t>
  </si>
  <si>
    <t>ТЭР 52-033</t>
  </si>
  <si>
    <t xml:space="preserve"> - Уборка контейнерной площадки (16 кв.м.)</t>
  </si>
  <si>
    <t>шт.</t>
  </si>
  <si>
    <t>155 раз</t>
  </si>
  <si>
    <t>пр.ТЭР 52-003</t>
  </si>
  <si>
    <t>Подборка мусора на контейнерной площадке</t>
  </si>
  <si>
    <t>м3</t>
  </si>
  <si>
    <t>ежедневно 365 раз</t>
  </si>
  <si>
    <t>по мере необходимости</t>
  </si>
  <si>
    <t>ТЭР 53-030</t>
  </si>
  <si>
    <t xml:space="preserve">Погрузка травы , ветвей </t>
  </si>
  <si>
    <t>Калькул.</t>
  </si>
  <si>
    <t>Вывоз смета,травы,ветвей и т.п.- м/ч</t>
  </si>
  <si>
    <t>м/час</t>
  </si>
  <si>
    <t>Вывоз ТБО и КГО</t>
  </si>
  <si>
    <t xml:space="preserve">кв. м </t>
  </si>
  <si>
    <t xml:space="preserve"> </t>
  </si>
  <si>
    <t>Зимняя уборка</t>
  </si>
  <si>
    <t>Механизированная уборка дворовой территории</t>
  </si>
  <si>
    <t>ТЭР 54-013</t>
  </si>
  <si>
    <t>1000 м2</t>
  </si>
  <si>
    <t>ТЭР 54-003</t>
  </si>
  <si>
    <t xml:space="preserve">Подметание снега с тротуара-,крылец,конт площадок </t>
  </si>
  <si>
    <t>155 раз за сезон</t>
  </si>
  <si>
    <t>ТЭР 54-022</t>
  </si>
  <si>
    <t>Очистка территории 1-го класса с усовершенствованным покрытием под скребок: ступеньки и площадки крылец , контейнерные площадки</t>
  </si>
  <si>
    <t>ТЭР 54-025</t>
  </si>
  <si>
    <t xml:space="preserve">Пескопосыпка территории : крыльца и тротуары </t>
  </si>
  <si>
    <t>45 раз за сезон</t>
  </si>
  <si>
    <t>Стоимость песка- 100м2-0,002м3</t>
  </si>
  <si>
    <t xml:space="preserve"> II. Плановые осмотры</t>
  </si>
  <si>
    <t>2 раза в год</t>
  </si>
  <si>
    <t>ТЭР 42-007</t>
  </si>
  <si>
    <t>Осмотр деревянных заполнений проемов</t>
  </si>
  <si>
    <t>ТЭР 42-009</t>
  </si>
  <si>
    <t>Осмотр внутренней и наружной отделки здания</t>
  </si>
  <si>
    <t>ТЭР 42-010</t>
  </si>
  <si>
    <t>Осмотр каменных конструкций</t>
  </si>
  <si>
    <t>ТЭР 42-011</t>
  </si>
  <si>
    <t xml:space="preserve">Осмотр СО </t>
  </si>
  <si>
    <t>1 раз в месяц (5 раз за сезон)</t>
  </si>
  <si>
    <t>ТЭР 42-013</t>
  </si>
  <si>
    <t>Осмотр электросетей, арматуры и электрооборудования на чердаках, подвалах и техэтажах</t>
  </si>
  <si>
    <t>ТЭР 42-012</t>
  </si>
  <si>
    <t>Осмотр электросетей,арматуры и электооборудования на лестничных клетках</t>
  </si>
  <si>
    <t>100 лест.</t>
  </si>
  <si>
    <t>ТЭР 42-014</t>
  </si>
  <si>
    <t>Осмотр вводных электрических щитков</t>
  </si>
  <si>
    <t>100 шт.</t>
  </si>
  <si>
    <t>шт</t>
  </si>
  <si>
    <t>2-1-1б</t>
  </si>
  <si>
    <t>Проверка вентканалов</t>
  </si>
  <si>
    <t>Кровля</t>
  </si>
  <si>
    <t xml:space="preserve">6 раз за сезон </t>
  </si>
  <si>
    <t xml:space="preserve">пр.ТЭР 54-041 </t>
  </si>
  <si>
    <t>Чердак, подвал, технический этаж</t>
  </si>
  <si>
    <t>ТЭР 51-034</t>
  </si>
  <si>
    <t>1м3</t>
  </si>
  <si>
    <t>Отопление</t>
  </si>
  <si>
    <t>ТЭР 31-065</t>
  </si>
  <si>
    <t>Ликвидация воздушных пробок в стояках</t>
  </si>
  <si>
    <t>ТЭР 31-064</t>
  </si>
  <si>
    <t>Ликвидация воздушных пробок в радиаторах</t>
  </si>
  <si>
    <t>ТЭР 31-052</t>
  </si>
  <si>
    <t xml:space="preserve">Промывка СО </t>
  </si>
  <si>
    <t>100м3</t>
  </si>
  <si>
    <t>ТЭР 31-043</t>
  </si>
  <si>
    <t>Спуск воды и наполнение системы без осмотра</t>
  </si>
  <si>
    <t>1000м3</t>
  </si>
  <si>
    <t>ТЭР 31-068</t>
  </si>
  <si>
    <t>Гидравлическое испытание СО</t>
  </si>
  <si>
    <t>100м</t>
  </si>
  <si>
    <t>ТЭР 31-045</t>
  </si>
  <si>
    <t>Проверка на прогрев отопительных приборов</t>
  </si>
  <si>
    <t>прибор</t>
  </si>
  <si>
    <t>Электроснабжение</t>
  </si>
  <si>
    <t>ТЭР 33-019</t>
  </si>
  <si>
    <t>Смена ламп накаливания</t>
  </si>
  <si>
    <t>10 шт</t>
  </si>
  <si>
    <t>ТЭР 33-049</t>
  </si>
  <si>
    <t>Мелкий ремонт электропроводки</t>
  </si>
  <si>
    <t>Вентканалы, дымоходы</t>
  </si>
  <si>
    <t>ГЭСН60-16</t>
  </si>
  <si>
    <t xml:space="preserve"> - прочистка каналов</t>
  </si>
  <si>
    <t>Аварийно-диспетчерское обслуживание</t>
  </si>
  <si>
    <t>1 м2</t>
  </si>
  <si>
    <t>Услуги по выпуску квитанций, сопровождение собраний, работа с должниками</t>
  </si>
  <si>
    <t>ИТОГО</t>
  </si>
  <si>
    <t xml:space="preserve">ВСЕГО </t>
  </si>
  <si>
    <t>Площадь жилых помещений и нежилых</t>
  </si>
  <si>
    <t xml:space="preserve">     </t>
  </si>
  <si>
    <t>Затраты на 1 кв.м  в месяц в рублях  по плану</t>
  </si>
  <si>
    <t>Текущий ремонт</t>
  </si>
  <si>
    <t>итого по текущему ремонту</t>
  </si>
  <si>
    <t>Размер платы по текущему ремонту, руб/м2 в мес.</t>
  </si>
  <si>
    <t xml:space="preserve">Затраты в рублях  по плану   </t>
  </si>
  <si>
    <t xml:space="preserve">1 раз в год     </t>
  </si>
  <si>
    <t xml:space="preserve"> Очистка края кровли от слежавшегося снега со сбрасыванием сосулек (10% от S кровли) и козырьки</t>
  </si>
  <si>
    <t>Сдвигание снега в дни снегопада ( крыльца, тротуары</t>
  </si>
  <si>
    <t>Вода для промывки СО</t>
  </si>
  <si>
    <t>Сброс воды после промывки СО в канализацию</t>
  </si>
  <si>
    <t>ТЭР 33-043</t>
  </si>
  <si>
    <t>Смена плавкой вставки в электрощите</t>
  </si>
  <si>
    <t>Генеральный директор ООО "Жилсервис"_______Ю.Л.Куканов</t>
  </si>
  <si>
    <t>Замена ламп ДРЛ</t>
  </si>
  <si>
    <t>Вывоз снега с придомовой территории</t>
  </si>
  <si>
    <t>30 раз за сезон</t>
  </si>
  <si>
    <t>12 раз за сезон</t>
  </si>
  <si>
    <t>Сдвигание снега в дни снегопада (проезд)</t>
  </si>
  <si>
    <t>24 раза за сезон</t>
  </si>
  <si>
    <t>2-1-1а</t>
  </si>
  <si>
    <t>Проверка дымоходов</t>
  </si>
  <si>
    <t>Очистка  от мусора</t>
  </si>
  <si>
    <t>Ремонт групповых щитков на лестничной клетке без ремонта автоматов</t>
  </si>
  <si>
    <t>ТЭР 33-030</t>
  </si>
  <si>
    <t>Влажное подметание лестничных клеток 2-4 этажа</t>
  </si>
  <si>
    <t>Мытье лестничных  площадок и маршей 1-4 этаж.</t>
  </si>
  <si>
    <t>ТЭР 51-020</t>
  </si>
  <si>
    <t>Влажная протирка подоконников</t>
  </si>
  <si>
    <t>Осмотр шиферной кровли</t>
  </si>
  <si>
    <t>ТЭР 3-7-1в</t>
  </si>
  <si>
    <t>счет-фактура</t>
  </si>
  <si>
    <t>ТЭР 42-003</t>
  </si>
  <si>
    <t>Осмотр деревянных конструкций стропил</t>
  </si>
  <si>
    <t>100 м3</t>
  </si>
  <si>
    <t>прим. ТЭР 33-024</t>
  </si>
  <si>
    <t>Смена светодиодных светильников</t>
  </si>
  <si>
    <t>Стоимость светодиодного светильника</t>
  </si>
  <si>
    <t>тыс.руб.</t>
  </si>
  <si>
    <t xml:space="preserve">Выполнение    январь  </t>
  </si>
  <si>
    <t>Выполнение   февраль</t>
  </si>
  <si>
    <t>Выполнение   март</t>
  </si>
  <si>
    <t>Выполнение    апрель</t>
  </si>
  <si>
    <t>Выполнение    июнь</t>
  </si>
  <si>
    <t>Выполнение    июль</t>
  </si>
  <si>
    <t>Выполнение    август</t>
  </si>
  <si>
    <t>Выполнение    сентябрь</t>
  </si>
  <si>
    <t>Выполнение    ноябрь</t>
  </si>
  <si>
    <t>Выполнение    декабрь</t>
  </si>
  <si>
    <t>Баланс выполненных работ на 01.01.2015 г. ( -долг за предприятием, +долг за населением)</t>
  </si>
  <si>
    <t>3 раза в год</t>
  </si>
  <si>
    <t>Q2-2-1-3-3</t>
  </si>
  <si>
    <t>1 м</t>
  </si>
  <si>
    <t>калькуляция</t>
  </si>
  <si>
    <t>Работа автовышки</t>
  </si>
  <si>
    <t>маш/час</t>
  </si>
  <si>
    <t>Ремонт силового предохранительного шкафа (без стоимости материалов)</t>
  </si>
  <si>
    <t>ТЭР 33-032</t>
  </si>
  <si>
    <t>Ремонт и регулировка доводчика (со стоимостью доводчика)</t>
  </si>
  <si>
    <t>1шт.</t>
  </si>
  <si>
    <r>
      <t xml:space="preserve">по адресу:   </t>
    </r>
    <r>
      <rPr>
        <b/>
        <sz val="14"/>
        <color indexed="10"/>
        <rFont val="Arial"/>
        <family val="2"/>
        <charset val="204"/>
      </rPr>
      <t>ул. Космонавтов, 3</t>
    </r>
    <r>
      <rPr>
        <b/>
        <sz val="14"/>
        <rFont val="Arial"/>
        <family val="2"/>
        <charset val="204"/>
      </rPr>
      <t xml:space="preserve">   (п. Ярега)  </t>
    </r>
    <r>
      <rPr>
        <b/>
        <sz val="14"/>
        <color indexed="10"/>
        <rFont val="Arial"/>
        <family val="2"/>
        <charset val="204"/>
      </rPr>
      <t>за  2015 год</t>
    </r>
  </si>
  <si>
    <t>4 этажа, 4 подъезда</t>
  </si>
  <si>
    <t>Стоимость (руб.)</t>
  </si>
  <si>
    <t>договор</t>
  </si>
  <si>
    <t>ТО внутридомового газ.оборудования</t>
  </si>
  <si>
    <t>10 м</t>
  </si>
  <si>
    <t>Внеплановый осмотр электросетей, арматуры и электрооборудования на лестничных клетках</t>
  </si>
  <si>
    <t>Смена дверных приборов /замки навесные)</t>
  </si>
  <si>
    <t>ТЭР 15-051</t>
  </si>
  <si>
    <t>Выполне  ние       май</t>
  </si>
  <si>
    <t>Установка скамейки</t>
  </si>
  <si>
    <t>С учетом показателя инфляции      ( К=1,064)</t>
  </si>
  <si>
    <t>смета</t>
  </si>
  <si>
    <t>Ремонт оголовка</t>
  </si>
  <si>
    <t>Выполне  ние    октябрь</t>
  </si>
  <si>
    <t>Начислено за содержание и текущий ремонт за 2015  г.</t>
  </si>
  <si>
    <t>Выполнено работ по содержанию за   2015 г.</t>
  </si>
  <si>
    <t>Выполнено работ по текущему ремонту   за 2015 г.</t>
  </si>
  <si>
    <t>Фактически оплачено за 2015 г.</t>
  </si>
  <si>
    <t>Просроченная задолженность по Вашему дому по статье "Содержание и текущий ремонт МКД" на конец декабря 2015 г., составляет:</t>
  </si>
  <si>
    <t>Баланс выполненных работ на 01.01.2016 г. ( -долг за предприятием, +долг за населением)</t>
  </si>
  <si>
    <t>Ремонт предохранительных колодок</t>
  </si>
  <si>
    <t>ТЭР 33-038</t>
  </si>
  <si>
    <t>Укрепление оконных и дверных приборов - пружин, ручек, петель, шпингалетов (слух.окна)</t>
  </si>
  <si>
    <t>прим.ТЭР 15-046</t>
  </si>
  <si>
    <t>прим.ТЭР 15-028</t>
  </si>
  <si>
    <t>Укрепление оконных и дверных коробок с конопаткой (герметизация дверной коробки)</t>
  </si>
  <si>
    <t xml:space="preserve">Смена сгонов у трубопроводов диаметром до 20 мм </t>
  </si>
  <si>
    <t>1 сгон</t>
  </si>
  <si>
    <t>ТЭР 31-009</t>
  </si>
  <si>
    <t xml:space="preserve">Вывертывание и ввертывание радиаторной пробки.   </t>
  </si>
  <si>
    <t>1 пробка</t>
  </si>
  <si>
    <t>ТЭР 2-2-1-1-6</t>
  </si>
</sst>
</file>

<file path=xl/styles.xml><?xml version="1.0" encoding="utf-8"?>
<styleSheet xmlns="http://schemas.openxmlformats.org/spreadsheetml/2006/main">
  <numFmts count="1">
    <numFmt numFmtId="164" formatCode="0.000"/>
  </numFmts>
  <fonts count="19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1"/>
      <name val="Arial"/>
      <family val="2"/>
      <charset val="204"/>
    </font>
    <font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4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3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41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3" borderId="0" xfId="0" applyFill="1"/>
    <xf numFmtId="4" fontId="0" fillId="0" borderId="0" xfId="0" applyNumberFormat="1"/>
    <xf numFmtId="4" fontId="6" fillId="0" borderId="0" xfId="0" applyNumberFormat="1" applyFont="1"/>
    <xf numFmtId="0" fontId="6" fillId="0" borderId="0" xfId="0" applyFont="1"/>
    <xf numFmtId="164" fontId="0" fillId="0" borderId="0" xfId="0" applyNumberFormat="1"/>
    <xf numFmtId="2" fontId="0" fillId="0" borderId="0" xfId="0" applyNumberFormat="1"/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horizontal="left" vertical="center" wrapText="1"/>
    </xf>
    <xf numFmtId="0" fontId="1" fillId="7" borderId="3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0" fillId="2" borderId="0" xfId="0" applyFill="1"/>
    <xf numFmtId="0" fontId="3" fillId="2" borderId="1" xfId="0" applyFont="1" applyFill="1" applyBorder="1" applyAlignment="1">
      <alignment horizontal="left" vertical="center" wrapText="1"/>
    </xf>
    <xf numFmtId="0" fontId="0" fillId="5" borderId="0" xfId="0" applyFill="1"/>
    <xf numFmtId="0" fontId="7" fillId="0" borderId="3" xfId="0" applyFont="1" applyBorder="1" applyAlignment="1">
      <alignment horizontal="centerContinuous" vertical="center" wrapText="1"/>
    </xf>
    <xf numFmtId="0" fontId="8" fillId="0" borderId="3" xfId="0" applyFont="1" applyBorder="1" applyAlignment="1">
      <alignment horizontal="centerContinuous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1" fillId="12" borderId="3" xfId="0" applyNumberFormat="1" applyFont="1" applyFill="1" applyBorder="1" applyAlignment="1" applyProtection="1">
      <alignment horizontal="center" vertical="center"/>
    </xf>
    <xf numFmtId="0" fontId="1" fillId="12" borderId="3" xfId="0" applyNumberFormat="1" applyFont="1" applyFill="1" applyBorder="1" applyAlignment="1" applyProtection="1">
      <alignment horizontal="left" vertical="center" wrapText="1"/>
    </xf>
    <xf numFmtId="0" fontId="1" fillId="12" borderId="3" xfId="0" applyNumberFormat="1" applyFont="1" applyFill="1" applyBorder="1" applyAlignment="1" applyProtection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center" vertical="center"/>
    </xf>
    <xf numFmtId="0" fontId="12" fillId="8" borderId="3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0" fontId="1" fillId="8" borderId="3" xfId="0" applyFont="1" applyFill="1" applyBorder="1" applyAlignment="1">
      <alignment vertical="center"/>
    </xf>
    <xf numFmtId="4" fontId="1" fillId="8" borderId="7" xfId="0" applyNumberFormat="1" applyFont="1" applyFill="1" applyBorder="1" applyAlignment="1">
      <alignment vertical="center"/>
    </xf>
    <xf numFmtId="0" fontId="1" fillId="8" borderId="3" xfId="0" applyFont="1" applyFill="1" applyBorder="1"/>
    <xf numFmtId="4" fontId="1" fillId="4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/>
    </xf>
    <xf numFmtId="4" fontId="1" fillId="8" borderId="3" xfId="0" applyNumberFormat="1" applyFont="1" applyFill="1" applyBorder="1" applyAlignment="1">
      <alignment horizontal="center" vertical="center"/>
    </xf>
    <xf numFmtId="4" fontId="1" fillId="8" borderId="7" xfId="0" applyNumberFormat="1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 vertical="center" wrapText="1"/>
    </xf>
    <xf numFmtId="4" fontId="1" fillId="4" borderId="3" xfId="0" applyNumberFormat="1" applyFont="1" applyFill="1" applyBorder="1" applyAlignment="1">
      <alignment horizontal="center" vertical="center" wrapText="1"/>
    </xf>
    <xf numFmtId="4" fontId="1" fillId="4" borderId="15" xfId="0" applyNumberFormat="1" applyFont="1" applyFill="1" applyBorder="1" applyAlignment="1">
      <alignment horizontal="center" vertical="center"/>
    </xf>
    <xf numFmtId="4" fontId="1" fillId="4" borderId="9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11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 wrapText="1"/>
    </xf>
    <xf numFmtId="4" fontId="1" fillId="7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4" fontId="3" fillId="10" borderId="2" xfId="0" applyNumberFormat="1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4" fontId="1" fillId="9" borderId="3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4" fontId="1" fillId="4" borderId="5" xfId="0" applyNumberFormat="1" applyFont="1" applyFill="1" applyBorder="1" applyAlignment="1">
      <alignment horizontal="center" vertical="center" wrapText="1"/>
    </xf>
    <xf numFmtId="4" fontId="1" fillId="4" borderId="6" xfId="0" applyNumberFormat="1" applyFont="1" applyFill="1" applyBorder="1" applyAlignment="1">
      <alignment horizontal="center" vertical="center"/>
    </xf>
    <xf numFmtId="4" fontId="1" fillId="4" borderId="14" xfId="0" applyNumberFormat="1" applyFont="1" applyFill="1" applyBorder="1" applyAlignment="1">
      <alignment horizontal="center" vertical="center"/>
    </xf>
    <xf numFmtId="4" fontId="1" fillId="4" borderId="5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0" borderId="0" xfId="0" applyFont="1"/>
    <xf numFmtId="4" fontId="1" fillId="4" borderId="0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0" borderId="3" xfId="0" applyFont="1" applyBorder="1"/>
    <xf numFmtId="0" fontId="3" fillId="4" borderId="3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/>
    </xf>
    <xf numFmtId="4" fontId="1" fillId="7" borderId="3" xfId="0" applyNumberFormat="1" applyFont="1" applyFill="1" applyBorder="1" applyAlignment="1">
      <alignment horizontal="center" vertical="center" wrapText="1"/>
    </xf>
    <xf numFmtId="0" fontId="1" fillId="5" borderId="0" xfId="0" applyFont="1" applyFill="1"/>
    <xf numFmtId="0" fontId="3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 wrapText="1"/>
    </xf>
    <xf numFmtId="4" fontId="3" fillId="5" borderId="3" xfId="0" applyNumberFormat="1" applyFont="1" applyFill="1" applyBorder="1" applyAlignment="1">
      <alignment horizontal="center" vertical="center" wrapText="1"/>
    </xf>
    <xf numFmtId="4" fontId="3" fillId="10" borderId="7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left" vertical="center" wrapText="1"/>
    </xf>
    <xf numFmtId="4" fontId="1" fillId="6" borderId="3" xfId="0" applyNumberFormat="1" applyFont="1" applyFill="1" applyBorder="1" applyAlignment="1">
      <alignment horizontal="center" vertical="center"/>
    </xf>
    <xf numFmtId="4" fontId="3" fillId="6" borderId="3" xfId="0" applyNumberFormat="1" applyFont="1" applyFill="1" applyBorder="1" applyAlignment="1">
      <alignment horizontal="center" vertical="center"/>
    </xf>
    <xf numFmtId="1" fontId="1" fillId="4" borderId="3" xfId="0" applyNumberFormat="1" applyFont="1" applyFill="1" applyBorder="1" applyAlignment="1">
      <alignment horizontal="left" vertical="center" wrapText="1"/>
    </xf>
    <xf numFmtId="4" fontId="3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2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4" fontId="1" fillId="2" borderId="3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 wrapText="1"/>
    </xf>
    <xf numFmtId="4" fontId="14" fillId="2" borderId="6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 applyProtection="1">
      <alignment horizontal="center" vertical="center" wrapText="1"/>
    </xf>
    <xf numFmtId="4" fontId="14" fillId="4" borderId="3" xfId="0" applyNumberFormat="1" applyFont="1" applyFill="1" applyBorder="1" applyAlignment="1">
      <alignment horizontal="center" vertical="center"/>
    </xf>
    <xf numFmtId="4" fontId="1" fillId="8" borderId="1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4" fontId="3" fillId="4" borderId="7" xfId="0" applyNumberFormat="1" applyFont="1" applyFill="1" applyBorder="1" applyAlignment="1">
      <alignment horizontal="center" vertical="center"/>
    </xf>
    <xf numFmtId="4" fontId="14" fillId="4" borderId="7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4" fontId="1" fillId="2" borderId="9" xfId="0" applyNumberFormat="1" applyFont="1" applyFill="1" applyBorder="1" applyAlignment="1">
      <alignment horizontal="center" vertical="center" wrapText="1"/>
    </xf>
    <xf numFmtId="4" fontId="1" fillId="2" borderId="8" xfId="0" applyNumberFormat="1" applyFont="1" applyFill="1" applyBorder="1" applyAlignment="1">
      <alignment horizontal="center" vertical="center"/>
    </xf>
    <xf numFmtId="4" fontId="14" fillId="2" borderId="8" xfId="0" applyNumberFormat="1" applyFont="1" applyFill="1" applyBorder="1" applyAlignment="1">
      <alignment horizontal="center" vertical="center"/>
    </xf>
    <xf numFmtId="4" fontId="3" fillId="2" borderId="10" xfId="0" applyNumberFormat="1" applyFont="1" applyFill="1" applyBorder="1" applyAlignment="1">
      <alignment horizontal="center" vertical="center"/>
    </xf>
    <xf numFmtId="4" fontId="1" fillId="0" borderId="0" xfId="0" applyNumberFormat="1" applyFont="1"/>
    <xf numFmtId="4" fontId="15" fillId="0" borderId="0" xfId="0" applyNumberFormat="1" applyFont="1"/>
    <xf numFmtId="0" fontId="15" fillId="0" borderId="0" xfId="0" applyFont="1"/>
    <xf numFmtId="0" fontId="7" fillId="0" borderId="3" xfId="0" applyFont="1" applyBorder="1" applyAlignment="1">
      <alignment horizontal="center" wrapText="1"/>
    </xf>
    <xf numFmtId="0" fontId="16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left" vertical="center" wrapText="1"/>
    </xf>
    <xf numFmtId="0" fontId="1" fillId="4" borderId="0" xfId="0" applyFont="1" applyFill="1" applyBorder="1" applyAlignment="1" applyProtection="1">
      <alignment horizontal="center" vertical="center" wrapText="1"/>
    </xf>
    <xf numFmtId="4" fontId="3" fillId="13" borderId="0" xfId="0" applyNumberFormat="1" applyFont="1" applyFill="1" applyBorder="1" applyAlignment="1">
      <alignment horizontal="center" vertical="center"/>
    </xf>
    <xf numFmtId="0" fontId="0" fillId="4" borderId="0" xfId="0" applyFill="1"/>
    <xf numFmtId="0" fontId="17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1" fillId="4" borderId="7" xfId="0" applyNumberFormat="1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4" fontId="1" fillId="4" borderId="7" xfId="0" applyNumberFormat="1" applyFont="1" applyFill="1" applyBorder="1" applyAlignment="1">
      <alignment horizontal="center" vertical="center"/>
    </xf>
    <xf numFmtId="0" fontId="18" fillId="0" borderId="0" xfId="0" applyFont="1" applyAlignment="1"/>
    <xf numFmtId="0" fontId="1" fillId="4" borderId="2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3" fontId="1" fillId="8" borderId="7" xfId="0" applyNumberFormat="1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 wrapText="1"/>
    </xf>
    <xf numFmtId="4" fontId="3" fillId="10" borderId="3" xfId="0" applyNumberFormat="1" applyFont="1" applyFill="1" applyBorder="1" applyAlignment="1">
      <alignment horizontal="center" vertical="center"/>
    </xf>
    <xf numFmtId="4" fontId="14" fillId="2" borderId="3" xfId="0" applyNumberFormat="1" applyFont="1" applyFill="1" applyBorder="1" applyAlignment="1">
      <alignment horizontal="center" vertical="center"/>
    </xf>
    <xf numFmtId="4" fontId="14" fillId="8" borderId="3" xfId="0" applyNumberFormat="1" applyFont="1" applyFill="1" applyBorder="1" applyAlignment="1">
      <alignment horizontal="center" vertical="center"/>
    </xf>
    <xf numFmtId="4" fontId="3" fillId="8" borderId="3" xfId="0" applyNumberFormat="1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4" fontId="1" fillId="4" borderId="7" xfId="0" applyNumberFormat="1" applyFont="1" applyFill="1" applyBorder="1" applyAlignment="1">
      <alignment horizontal="center" vertical="center"/>
    </xf>
    <xf numFmtId="0" fontId="17" fillId="12" borderId="3" xfId="0" applyFont="1" applyFill="1" applyBorder="1" applyAlignment="1">
      <alignment horizontal="center" vertical="center" wrapText="1"/>
    </xf>
    <xf numFmtId="0" fontId="1" fillId="12" borderId="3" xfId="0" applyNumberFormat="1" applyFont="1" applyFill="1" applyBorder="1" applyAlignment="1" applyProtection="1">
      <alignment horizontal="left" vertical="center"/>
    </xf>
    <xf numFmtId="0" fontId="1" fillId="0" borderId="12" xfId="0" applyFont="1" applyBorder="1"/>
    <xf numFmtId="4" fontId="1" fillId="4" borderId="7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vertical="center" wrapText="1"/>
    </xf>
    <xf numFmtId="4" fontId="1" fillId="4" borderId="3" xfId="0" applyNumberFormat="1" applyFont="1" applyFill="1" applyBorder="1" applyAlignment="1">
      <alignment vertical="center"/>
    </xf>
    <xf numFmtId="0" fontId="0" fillId="2" borderId="0" xfId="0" applyFill="1" applyAlignment="1">
      <alignment horizontal="center"/>
    </xf>
    <xf numFmtId="4" fontId="7" fillId="0" borderId="7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/>
    </xf>
    <xf numFmtId="2" fontId="8" fillId="0" borderId="12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AA118"/>
  <sheetViews>
    <sheetView tabSelected="1" view="pageBreakPreview" zoomScaleNormal="75" zoomScaleSheetLayoutView="100" workbookViewId="0">
      <pane ySplit="7" topLeftCell="A79" activePane="bottomLeft" state="frozen"/>
      <selection activeCell="B1" sqref="B1"/>
      <selection pane="bottomLeft" activeCell="V101" sqref="V101"/>
    </sheetView>
  </sheetViews>
  <sheetFormatPr defaultRowHeight="12.75"/>
  <cols>
    <col min="1" max="1" width="12.42578125" customWidth="1"/>
    <col min="2" max="2" width="44.28515625" customWidth="1"/>
    <col min="3" max="3" width="9.28515625" customWidth="1"/>
    <col min="4" max="4" width="23" customWidth="1"/>
    <col min="5" max="5" width="10.28515625" customWidth="1"/>
    <col min="6" max="6" width="10.42578125" customWidth="1"/>
    <col min="7" max="7" width="10.7109375" customWidth="1"/>
    <col min="8" max="8" width="11.7109375" customWidth="1"/>
    <col min="9" max="9" width="10.28515625" customWidth="1"/>
    <col min="10" max="10" width="10" customWidth="1"/>
    <col min="11" max="12" width="10.42578125" customWidth="1"/>
    <col min="13" max="13" width="10.85546875" customWidth="1"/>
    <col min="14" max="14" width="10.140625" customWidth="1"/>
    <col min="15" max="15" width="9.85546875" customWidth="1"/>
    <col min="16" max="16" width="10" customWidth="1"/>
    <col min="17" max="17" width="9.85546875" customWidth="1"/>
    <col min="18" max="18" width="10.7109375" customWidth="1"/>
    <col min="19" max="19" width="9.85546875" customWidth="1"/>
    <col min="20" max="20" width="10" customWidth="1"/>
    <col min="21" max="21" width="12.140625" customWidth="1"/>
  </cols>
  <sheetData>
    <row r="1" spans="1:21" ht="14.25" customHeight="1">
      <c r="A1" s="10"/>
    </row>
    <row r="3" spans="1:21" ht="18">
      <c r="A3" s="142"/>
      <c r="B3" s="169" t="s">
        <v>0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75"/>
      <c r="N3" s="75"/>
      <c r="O3" s="75"/>
      <c r="P3" s="75"/>
      <c r="Q3" s="75"/>
      <c r="R3" s="75"/>
      <c r="S3" s="75"/>
      <c r="T3" s="75"/>
      <c r="U3" s="75"/>
    </row>
    <row r="4" spans="1:21" ht="35.25" customHeight="1">
      <c r="A4" s="75"/>
      <c r="B4" s="170" t="s">
        <v>1</v>
      </c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75"/>
      <c r="N4" s="75"/>
      <c r="O4" s="75"/>
      <c r="P4" s="75"/>
      <c r="Q4" s="75"/>
      <c r="R4" s="75"/>
      <c r="S4" s="75"/>
      <c r="T4" s="75"/>
      <c r="U4" s="75"/>
    </row>
    <row r="5" spans="1:21" ht="18">
      <c r="A5" s="75"/>
      <c r="B5" s="170" t="s">
        <v>196</v>
      </c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75"/>
      <c r="N5" s="75"/>
      <c r="O5" s="75"/>
      <c r="P5" s="75"/>
      <c r="Q5" s="75"/>
      <c r="R5" s="75"/>
      <c r="S5" s="75"/>
      <c r="T5" s="75"/>
      <c r="U5" s="75"/>
    </row>
    <row r="6" spans="1:21" ht="14.25">
      <c r="A6" s="75"/>
      <c r="B6" s="171" t="s">
        <v>197</v>
      </c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75"/>
      <c r="N6" s="75"/>
      <c r="O6" s="75"/>
      <c r="P6" s="75"/>
      <c r="Q6" s="75"/>
      <c r="R6" s="75"/>
      <c r="S6" s="75"/>
      <c r="T6" s="75"/>
      <c r="U6" s="75"/>
    </row>
    <row r="7" spans="1:21" ht="54.75" customHeight="1">
      <c r="A7" s="31" t="s">
        <v>2</v>
      </c>
      <c r="B7" s="31" t="s">
        <v>3</v>
      </c>
      <c r="C7" s="31" t="s">
        <v>4</v>
      </c>
      <c r="D7" s="31" t="s">
        <v>5</v>
      </c>
      <c r="E7" s="31" t="s">
        <v>6</v>
      </c>
      <c r="F7" s="31" t="s">
        <v>7</v>
      </c>
      <c r="G7" s="31" t="s">
        <v>8</v>
      </c>
      <c r="H7" s="32" t="s">
        <v>9</v>
      </c>
      <c r="I7" s="30" t="s">
        <v>175</v>
      </c>
      <c r="J7" s="30" t="s">
        <v>176</v>
      </c>
      <c r="K7" s="30" t="s">
        <v>177</v>
      </c>
      <c r="L7" s="30" t="s">
        <v>178</v>
      </c>
      <c r="M7" s="30" t="s">
        <v>205</v>
      </c>
      <c r="N7" s="30" t="s">
        <v>179</v>
      </c>
      <c r="O7" s="30" t="s">
        <v>180</v>
      </c>
      <c r="P7" s="30" t="s">
        <v>181</v>
      </c>
      <c r="Q7" s="30" t="s">
        <v>182</v>
      </c>
      <c r="R7" s="30" t="s">
        <v>210</v>
      </c>
      <c r="S7" s="30" t="s">
        <v>183</v>
      </c>
      <c r="T7" s="30" t="s">
        <v>184</v>
      </c>
      <c r="U7" s="30" t="s">
        <v>198</v>
      </c>
    </row>
    <row r="8" spans="1:21">
      <c r="A8" s="33">
        <v>1</v>
      </c>
      <c r="B8" s="7">
        <v>2</v>
      </c>
      <c r="C8" s="33">
        <v>3</v>
      </c>
      <c r="D8" s="7">
        <v>4</v>
      </c>
      <c r="E8" s="7">
        <v>5</v>
      </c>
      <c r="F8" s="33">
        <v>6</v>
      </c>
      <c r="G8" s="33">
        <v>7</v>
      </c>
      <c r="H8" s="143">
        <v>8</v>
      </c>
      <c r="I8" s="144">
        <v>10</v>
      </c>
      <c r="J8" s="144">
        <v>11</v>
      </c>
      <c r="K8" s="144">
        <v>12</v>
      </c>
      <c r="L8" s="144">
        <v>13</v>
      </c>
      <c r="M8" s="145">
        <v>14</v>
      </c>
      <c r="N8" s="144">
        <v>15</v>
      </c>
      <c r="O8" s="144">
        <v>16</v>
      </c>
      <c r="P8" s="144">
        <v>17</v>
      </c>
      <c r="Q8" s="144">
        <v>18</v>
      </c>
      <c r="R8" s="144">
        <v>19</v>
      </c>
      <c r="S8" s="144">
        <v>20</v>
      </c>
      <c r="T8" s="144">
        <v>21</v>
      </c>
      <c r="U8" s="144">
        <v>22</v>
      </c>
    </row>
    <row r="9" spans="1:21" ht="38.25">
      <c r="A9" s="33"/>
      <c r="B9" s="9" t="s">
        <v>10</v>
      </c>
      <c r="C9" s="33"/>
      <c r="D9" s="11"/>
      <c r="E9" s="11"/>
      <c r="F9" s="33"/>
      <c r="G9" s="33"/>
      <c r="H9" s="34"/>
      <c r="I9" s="35"/>
      <c r="J9" s="35"/>
      <c r="K9" s="35"/>
      <c r="L9" s="35"/>
      <c r="M9" s="36"/>
      <c r="N9" s="37"/>
      <c r="O9" s="37"/>
      <c r="P9" s="37"/>
      <c r="Q9" s="37"/>
      <c r="R9" s="37"/>
      <c r="S9" s="37"/>
      <c r="T9" s="37"/>
      <c r="U9" s="37"/>
    </row>
    <row r="10" spans="1:21">
      <c r="A10" s="33"/>
      <c r="B10" s="9" t="s">
        <v>11</v>
      </c>
      <c r="C10" s="33"/>
      <c r="D10" s="11"/>
      <c r="E10" s="11"/>
      <c r="F10" s="33"/>
      <c r="G10" s="33"/>
      <c r="H10" s="34"/>
      <c r="I10" s="35"/>
      <c r="J10" s="35"/>
      <c r="K10" s="35"/>
      <c r="L10" s="35"/>
      <c r="M10" s="36"/>
      <c r="N10" s="37"/>
      <c r="O10" s="37"/>
      <c r="P10" s="37"/>
      <c r="Q10" s="37"/>
      <c r="R10" s="37"/>
      <c r="S10" s="37"/>
      <c r="T10" s="37"/>
      <c r="U10" s="37"/>
    </row>
    <row r="11" spans="1:21" ht="25.5">
      <c r="A11" s="33" t="s">
        <v>12</v>
      </c>
      <c r="B11" s="11" t="s">
        <v>13</v>
      </c>
      <c r="C11" s="33" t="s">
        <v>14</v>
      </c>
      <c r="D11" s="11" t="s">
        <v>15</v>
      </c>
      <c r="E11" s="38">
        <v>66.2</v>
      </c>
      <c r="F11" s="39">
        <f>SUM(E11*156/100)</f>
        <v>103.27200000000001</v>
      </c>
      <c r="G11" s="39">
        <v>175.38</v>
      </c>
      <c r="H11" s="40">
        <f t="shared" ref="H11:H20" si="0">SUM(F11*G11/1000)</f>
        <v>18.111843359999998</v>
      </c>
      <c r="I11" s="41">
        <f>F11/12*G11</f>
        <v>1509.3202799999999</v>
      </c>
      <c r="J11" s="41">
        <f>F11/12*G11</f>
        <v>1509.3202799999999</v>
      </c>
      <c r="K11" s="41">
        <f>F11/12*G11</f>
        <v>1509.3202799999999</v>
      </c>
      <c r="L11" s="41">
        <f>F11/12*G11</f>
        <v>1509.3202799999999</v>
      </c>
      <c r="M11" s="41">
        <f>F11/12*G11</f>
        <v>1509.3202799999999</v>
      </c>
      <c r="N11" s="41">
        <f>F11/12*G11</f>
        <v>1509.3202799999999</v>
      </c>
      <c r="O11" s="41">
        <f>F11/12*G11</f>
        <v>1509.3202799999999</v>
      </c>
      <c r="P11" s="41">
        <f>F11/12*G11</f>
        <v>1509.3202799999999</v>
      </c>
      <c r="Q11" s="41">
        <f>F11/12*G11</f>
        <v>1509.3202799999999</v>
      </c>
      <c r="R11" s="41">
        <f>F11/12*G11</f>
        <v>1509.3202799999999</v>
      </c>
      <c r="S11" s="41">
        <f>F11/12*G11</f>
        <v>1509.3202799999999</v>
      </c>
      <c r="T11" s="41">
        <f>F11/12*G11</f>
        <v>1509.3202799999999</v>
      </c>
      <c r="U11" s="41">
        <f>SUM(I11:T11)</f>
        <v>18111.843359999999</v>
      </c>
    </row>
    <row r="12" spans="1:21" ht="25.5">
      <c r="A12" s="33" t="s">
        <v>12</v>
      </c>
      <c r="B12" s="11" t="s">
        <v>161</v>
      </c>
      <c r="C12" s="33" t="s">
        <v>14</v>
      </c>
      <c r="D12" s="11" t="s">
        <v>16</v>
      </c>
      <c r="E12" s="38">
        <v>198.7</v>
      </c>
      <c r="F12" s="39">
        <f>SUM(E12*104/100)</f>
        <v>206.648</v>
      </c>
      <c r="G12" s="39">
        <v>175.38</v>
      </c>
      <c r="H12" s="40">
        <f t="shared" si="0"/>
        <v>36.241926239999998</v>
      </c>
      <c r="I12" s="41">
        <f>F12/12*G12</f>
        <v>3020.1605199999999</v>
      </c>
      <c r="J12" s="41">
        <f>F12/12*G12</f>
        <v>3020.1605199999999</v>
      </c>
      <c r="K12" s="41">
        <f>F12/12*G12</f>
        <v>3020.1605199999999</v>
      </c>
      <c r="L12" s="41">
        <f>F12/12*G12</f>
        <v>3020.1605199999999</v>
      </c>
      <c r="M12" s="41">
        <f>F12/12*G12</f>
        <v>3020.1605199999999</v>
      </c>
      <c r="N12" s="41">
        <f>F12/12*G12</f>
        <v>3020.1605199999999</v>
      </c>
      <c r="O12" s="41">
        <f>F12/12*G12</f>
        <v>3020.1605199999999</v>
      </c>
      <c r="P12" s="41">
        <f>F12/12*G12</f>
        <v>3020.1605199999999</v>
      </c>
      <c r="Q12" s="41">
        <f>F12/12*G12</f>
        <v>3020.1605199999999</v>
      </c>
      <c r="R12" s="41">
        <f>F12/12*G12</f>
        <v>3020.1605199999999</v>
      </c>
      <c r="S12" s="41">
        <f>F12/12*G12</f>
        <v>3020.1605199999999</v>
      </c>
      <c r="T12" s="41">
        <f>F12/12*G12</f>
        <v>3020.1605199999999</v>
      </c>
      <c r="U12" s="41">
        <f t="shared" ref="U12:U20" si="1">SUM(I12:T12)</f>
        <v>36241.926240000001</v>
      </c>
    </row>
    <row r="13" spans="1:21" ht="25.5">
      <c r="A13" s="33" t="s">
        <v>17</v>
      </c>
      <c r="B13" s="11" t="s">
        <v>162</v>
      </c>
      <c r="C13" s="33" t="s">
        <v>14</v>
      </c>
      <c r="D13" s="11" t="s">
        <v>18</v>
      </c>
      <c r="E13" s="38">
        <f>SUM(E11+E12)</f>
        <v>264.89999999999998</v>
      </c>
      <c r="F13" s="39">
        <f>SUM(E13*24/100)</f>
        <v>63.575999999999993</v>
      </c>
      <c r="G13" s="39">
        <v>504.5</v>
      </c>
      <c r="H13" s="40">
        <f t="shared" si="0"/>
        <v>32.074092</v>
      </c>
      <c r="I13" s="41">
        <f>F13/12*G13</f>
        <v>2672.8409999999994</v>
      </c>
      <c r="J13" s="41">
        <f>F13/12*G13</f>
        <v>2672.8409999999994</v>
      </c>
      <c r="K13" s="41">
        <f>F13/12*G13</f>
        <v>2672.8409999999994</v>
      </c>
      <c r="L13" s="41">
        <f>F13/12*G13</f>
        <v>2672.8409999999994</v>
      </c>
      <c r="M13" s="41">
        <f>F13/12*G13</f>
        <v>2672.8409999999994</v>
      </c>
      <c r="N13" s="41">
        <f>F13/12*G13</f>
        <v>2672.8409999999994</v>
      </c>
      <c r="O13" s="41">
        <f>F13/12*G13</f>
        <v>2672.8409999999994</v>
      </c>
      <c r="P13" s="41">
        <f>F13/12*G13</f>
        <v>2672.8409999999994</v>
      </c>
      <c r="Q13" s="41">
        <f>F13/12*G13</f>
        <v>2672.8409999999994</v>
      </c>
      <c r="R13" s="41">
        <f>F13/12*G13</f>
        <v>2672.8409999999994</v>
      </c>
      <c r="S13" s="41">
        <f>F13/12*G13</f>
        <v>2672.8409999999994</v>
      </c>
      <c r="T13" s="41">
        <f>F13/12*G13</f>
        <v>2672.8409999999994</v>
      </c>
      <c r="U13" s="41">
        <f t="shared" si="1"/>
        <v>32074.092000000001</v>
      </c>
    </row>
    <row r="14" spans="1:21">
      <c r="A14" s="33" t="s">
        <v>19</v>
      </c>
      <c r="B14" s="11" t="s">
        <v>20</v>
      </c>
      <c r="C14" s="33" t="s">
        <v>21</v>
      </c>
      <c r="D14" s="11" t="s">
        <v>142</v>
      </c>
      <c r="E14" s="38">
        <v>40</v>
      </c>
      <c r="F14" s="39">
        <f>SUM(E14/10)</f>
        <v>4</v>
      </c>
      <c r="G14" s="39">
        <v>170.16</v>
      </c>
      <c r="H14" s="40">
        <f t="shared" si="0"/>
        <v>0.68064000000000002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f t="shared" ref="N14:N20" si="2">F14*G14</f>
        <v>680.64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f t="shared" si="1"/>
        <v>680.64</v>
      </c>
    </row>
    <row r="15" spans="1:21">
      <c r="A15" s="33" t="s">
        <v>22</v>
      </c>
      <c r="B15" s="11" t="s">
        <v>23</v>
      </c>
      <c r="C15" s="33" t="s">
        <v>14</v>
      </c>
      <c r="D15" s="11" t="s">
        <v>45</v>
      </c>
      <c r="E15" s="38">
        <v>10.5</v>
      </c>
      <c r="F15" s="39">
        <f t="shared" ref="F15:F20" si="3">SUM(E15/100)</f>
        <v>0.105</v>
      </c>
      <c r="G15" s="39">
        <v>217.88</v>
      </c>
      <c r="H15" s="40">
        <f t="shared" si="0"/>
        <v>2.2877399999999999E-2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f t="shared" si="2"/>
        <v>22.877399999999998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f t="shared" si="1"/>
        <v>22.877399999999998</v>
      </c>
    </row>
    <row r="16" spans="1:21">
      <c r="A16" s="33" t="s">
        <v>24</v>
      </c>
      <c r="B16" s="11" t="s">
        <v>25</v>
      </c>
      <c r="C16" s="33" t="s">
        <v>14</v>
      </c>
      <c r="D16" s="11" t="s">
        <v>45</v>
      </c>
      <c r="E16" s="38">
        <v>2.7</v>
      </c>
      <c r="F16" s="39">
        <f t="shared" si="3"/>
        <v>2.7000000000000003E-2</v>
      </c>
      <c r="G16" s="39">
        <v>216.12</v>
      </c>
      <c r="H16" s="40">
        <f t="shared" si="0"/>
        <v>5.8352400000000002E-3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f t="shared" si="2"/>
        <v>5.8352400000000006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f t="shared" si="1"/>
        <v>5.8352400000000006</v>
      </c>
    </row>
    <row r="17" spans="1:21">
      <c r="A17" s="33" t="s">
        <v>26</v>
      </c>
      <c r="B17" s="11" t="s">
        <v>27</v>
      </c>
      <c r="C17" s="33" t="s">
        <v>28</v>
      </c>
      <c r="D17" s="11" t="s">
        <v>142</v>
      </c>
      <c r="E17" s="38">
        <v>357</v>
      </c>
      <c r="F17" s="39">
        <f t="shared" si="3"/>
        <v>3.57</v>
      </c>
      <c r="G17" s="39">
        <v>269.26</v>
      </c>
      <c r="H17" s="40">
        <f t="shared" si="0"/>
        <v>0.96125819999999984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f t="shared" si="2"/>
        <v>961.25819999999987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f t="shared" si="1"/>
        <v>961.25819999999987</v>
      </c>
    </row>
    <row r="18" spans="1:21">
      <c r="A18" s="33" t="s">
        <v>29</v>
      </c>
      <c r="B18" s="11" t="s">
        <v>30</v>
      </c>
      <c r="C18" s="33" t="s">
        <v>28</v>
      </c>
      <c r="D18" s="11" t="s">
        <v>142</v>
      </c>
      <c r="E18" s="43">
        <v>38.64</v>
      </c>
      <c r="F18" s="39">
        <f t="shared" si="3"/>
        <v>0.38640000000000002</v>
      </c>
      <c r="G18" s="39">
        <v>44.29</v>
      </c>
      <c r="H18" s="40">
        <f t="shared" si="0"/>
        <v>1.7113655999999998E-2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f t="shared" si="2"/>
        <v>17.113655999999999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f t="shared" si="1"/>
        <v>17.113655999999999</v>
      </c>
    </row>
    <row r="19" spans="1:21">
      <c r="A19" s="33" t="s">
        <v>163</v>
      </c>
      <c r="B19" s="11" t="s">
        <v>164</v>
      </c>
      <c r="C19" s="33" t="s">
        <v>28</v>
      </c>
      <c r="D19" s="44" t="s">
        <v>142</v>
      </c>
      <c r="E19" s="45">
        <v>15</v>
      </c>
      <c r="F19" s="46">
        <f t="shared" si="3"/>
        <v>0.15</v>
      </c>
      <c r="G19" s="39">
        <v>389.72</v>
      </c>
      <c r="H19" s="40">
        <f t="shared" si="0"/>
        <v>5.8457999999999996E-2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f t="shared" si="2"/>
        <v>58.457999999999998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f t="shared" si="1"/>
        <v>58.457999999999998</v>
      </c>
    </row>
    <row r="20" spans="1:21">
      <c r="A20" s="33" t="s">
        <v>31</v>
      </c>
      <c r="B20" s="11" t="s">
        <v>32</v>
      </c>
      <c r="C20" s="33" t="s">
        <v>28</v>
      </c>
      <c r="D20" s="11" t="s">
        <v>142</v>
      </c>
      <c r="E20" s="47">
        <v>6.38</v>
      </c>
      <c r="F20" s="39">
        <f t="shared" si="3"/>
        <v>6.3799999999999996E-2</v>
      </c>
      <c r="G20" s="39">
        <v>520.79999999999995</v>
      </c>
      <c r="H20" s="40">
        <f t="shared" si="0"/>
        <v>3.3227039999999992E-2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f t="shared" si="2"/>
        <v>33.227039999999995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f t="shared" si="1"/>
        <v>33.227039999999995</v>
      </c>
    </row>
    <row r="21" spans="1:21" s="19" customFormat="1">
      <c r="A21" s="48"/>
      <c r="B21" s="20" t="s">
        <v>33</v>
      </c>
      <c r="C21" s="49"/>
      <c r="D21" s="20"/>
      <c r="E21" s="50"/>
      <c r="F21" s="51"/>
      <c r="G21" s="51"/>
      <c r="H21" s="52">
        <f>SUM(H11:H20)</f>
        <v>88.207271136000003</v>
      </c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>
        <f>SUM(U11:U20)</f>
        <v>88207.271135999996</v>
      </c>
    </row>
    <row r="22" spans="1:21">
      <c r="A22" s="33"/>
      <c r="B22" s="12" t="s">
        <v>34</v>
      </c>
      <c r="C22" s="33"/>
      <c r="D22" s="11"/>
      <c r="E22" s="38"/>
      <c r="F22" s="39"/>
      <c r="G22" s="39"/>
      <c r="H22" s="40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</row>
    <row r="23" spans="1:21" ht="25.5" customHeight="1">
      <c r="A23" s="33" t="s">
        <v>35</v>
      </c>
      <c r="B23" s="11" t="s">
        <v>36</v>
      </c>
      <c r="C23" s="33" t="s">
        <v>37</v>
      </c>
      <c r="D23" s="11" t="s">
        <v>38</v>
      </c>
      <c r="E23" s="39">
        <v>852.6</v>
      </c>
      <c r="F23" s="39">
        <f>SUM(E23*52/1000)</f>
        <v>44.335200000000007</v>
      </c>
      <c r="G23" s="39">
        <v>155.88999999999999</v>
      </c>
      <c r="H23" s="40">
        <f t="shared" ref="H23:H30" si="4">SUM(F23*G23/1000)</f>
        <v>6.9114143280000011</v>
      </c>
      <c r="I23" s="41">
        <v>0</v>
      </c>
      <c r="J23" s="41">
        <v>0</v>
      </c>
      <c r="K23" s="41">
        <v>0</v>
      </c>
      <c r="L23" s="41">
        <v>0</v>
      </c>
      <c r="M23" s="41">
        <f>F23/6*G23</f>
        <v>1151.9023880000002</v>
      </c>
      <c r="N23" s="41">
        <f>F23/6*G23</f>
        <v>1151.9023880000002</v>
      </c>
      <c r="O23" s="41">
        <f>F23/6*G23</f>
        <v>1151.9023880000002</v>
      </c>
      <c r="P23" s="41">
        <f>F23/6*G23</f>
        <v>1151.9023880000002</v>
      </c>
      <c r="Q23" s="41">
        <f>F23/6*G23</f>
        <v>1151.9023880000002</v>
      </c>
      <c r="R23" s="41">
        <f>F23/6*G23</f>
        <v>1151.9023880000002</v>
      </c>
      <c r="S23" s="41">
        <v>0</v>
      </c>
      <c r="T23" s="41">
        <v>0</v>
      </c>
      <c r="U23" s="41">
        <f t="shared" ref="U23:U30" si="5">SUM(I23:T23)</f>
        <v>6911.4143280000017</v>
      </c>
    </row>
    <row r="24" spans="1:21" ht="38.25" customHeight="1">
      <c r="A24" s="33" t="s">
        <v>39</v>
      </c>
      <c r="B24" s="11" t="s">
        <v>40</v>
      </c>
      <c r="C24" s="33" t="s">
        <v>41</v>
      </c>
      <c r="D24" s="11" t="s">
        <v>42</v>
      </c>
      <c r="E24" s="39">
        <v>65.33</v>
      </c>
      <c r="F24" s="39">
        <f>SUM(E24*78/1000)</f>
        <v>5.0957400000000002</v>
      </c>
      <c r="G24" s="39">
        <v>258.63</v>
      </c>
      <c r="H24" s="40">
        <f t="shared" si="4"/>
        <v>1.3179112362000001</v>
      </c>
      <c r="I24" s="41">
        <v>0</v>
      </c>
      <c r="J24" s="41">
        <v>0</v>
      </c>
      <c r="K24" s="41">
        <v>0</v>
      </c>
      <c r="L24" s="41">
        <v>0</v>
      </c>
      <c r="M24" s="41">
        <f>F24/6*G24</f>
        <v>219.65187269999998</v>
      </c>
      <c r="N24" s="41">
        <f>F24/6*G24</f>
        <v>219.65187269999998</v>
      </c>
      <c r="O24" s="41">
        <f>F24/6*G24</f>
        <v>219.65187269999998</v>
      </c>
      <c r="P24" s="41">
        <f>F24/6*G24</f>
        <v>219.65187269999998</v>
      </c>
      <c r="Q24" s="41">
        <f>F24/6*G24</f>
        <v>219.65187269999998</v>
      </c>
      <c r="R24" s="41">
        <f>F24/6*G24</f>
        <v>219.65187269999998</v>
      </c>
      <c r="S24" s="41">
        <v>0</v>
      </c>
      <c r="T24" s="41">
        <v>0</v>
      </c>
      <c r="U24" s="41">
        <f t="shared" si="5"/>
        <v>1317.9112361999998</v>
      </c>
    </row>
    <row r="25" spans="1:21">
      <c r="A25" s="33" t="s">
        <v>43</v>
      </c>
      <c r="B25" s="11" t="s">
        <v>44</v>
      </c>
      <c r="C25" s="33" t="s">
        <v>41</v>
      </c>
      <c r="D25" s="11" t="s">
        <v>45</v>
      </c>
      <c r="E25" s="39">
        <v>852.6</v>
      </c>
      <c r="F25" s="39">
        <f>SUM(E25/1000)</f>
        <v>0.85260000000000002</v>
      </c>
      <c r="G25" s="39">
        <v>3020.33</v>
      </c>
      <c r="H25" s="40">
        <f t="shared" si="4"/>
        <v>2.575133358</v>
      </c>
      <c r="I25" s="41">
        <v>0</v>
      </c>
      <c r="J25" s="41">
        <v>0</v>
      </c>
      <c r="K25" s="41">
        <v>0</v>
      </c>
      <c r="L25" s="41">
        <v>0</v>
      </c>
      <c r="M25" s="41">
        <f>F25*G25</f>
        <v>2575.133358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f t="shared" si="5"/>
        <v>2575.133358</v>
      </c>
    </row>
    <row r="26" spans="1:21">
      <c r="A26" s="33" t="s">
        <v>46</v>
      </c>
      <c r="B26" s="11" t="s">
        <v>47</v>
      </c>
      <c r="C26" s="33" t="s">
        <v>48</v>
      </c>
      <c r="D26" s="11" t="s">
        <v>49</v>
      </c>
      <c r="E26" s="55">
        <v>0.33333333333333331</v>
      </c>
      <c r="F26" s="39">
        <f>155/3</f>
        <v>51.666666666666664</v>
      </c>
      <c r="G26" s="39">
        <v>56.69</v>
      </c>
      <c r="H26" s="40">
        <f>SUM(G26*155/3/1000)</f>
        <v>2.9289833333333331</v>
      </c>
      <c r="I26" s="41">
        <v>0</v>
      </c>
      <c r="J26" s="41">
        <v>0</v>
      </c>
      <c r="K26" s="41">
        <v>0</v>
      </c>
      <c r="L26" s="41">
        <v>0</v>
      </c>
      <c r="M26" s="41">
        <f>F26/6*G26</f>
        <v>488.16388888888883</v>
      </c>
      <c r="N26" s="41">
        <f>F26/6*G26</f>
        <v>488.16388888888883</v>
      </c>
      <c r="O26" s="41">
        <f>F26/6*G26</f>
        <v>488.16388888888883</v>
      </c>
      <c r="P26" s="41">
        <f>F26/6*G26</f>
        <v>488.16388888888883</v>
      </c>
      <c r="Q26" s="41">
        <f>F26/6*G26</f>
        <v>488.16388888888883</v>
      </c>
      <c r="R26" s="41">
        <f>F26/6*G26</f>
        <v>488.16388888888883</v>
      </c>
      <c r="S26" s="41">
        <v>0</v>
      </c>
      <c r="T26" s="41">
        <v>0</v>
      </c>
      <c r="U26" s="41">
        <f t="shared" si="5"/>
        <v>2928.9833333333331</v>
      </c>
    </row>
    <row r="27" spans="1:21" ht="12.75" customHeight="1">
      <c r="A27" s="33" t="s">
        <v>50</v>
      </c>
      <c r="B27" s="11" t="s">
        <v>51</v>
      </c>
      <c r="C27" s="33" t="s">
        <v>52</v>
      </c>
      <c r="D27" s="11" t="s">
        <v>53</v>
      </c>
      <c r="E27" s="56">
        <v>0.1</v>
      </c>
      <c r="F27" s="39">
        <f>SUM(E27*365)</f>
        <v>36.5</v>
      </c>
      <c r="G27" s="39">
        <v>147.03</v>
      </c>
      <c r="H27" s="40">
        <f t="shared" si="4"/>
        <v>5.3665950000000002</v>
      </c>
      <c r="I27" s="41">
        <f>F27/12*G27</f>
        <v>447.21625</v>
      </c>
      <c r="J27" s="41">
        <f>F27/12*G27</f>
        <v>447.21625</v>
      </c>
      <c r="K27" s="41">
        <f>F27/12*G27</f>
        <v>447.21625</v>
      </c>
      <c r="L27" s="41">
        <f>F27/12*G27</f>
        <v>447.21625</v>
      </c>
      <c r="M27" s="41">
        <f>F27/12*G27</f>
        <v>447.21625</v>
      </c>
      <c r="N27" s="41">
        <f>F27/12*G27</f>
        <v>447.21625</v>
      </c>
      <c r="O27" s="41">
        <f>F27/12*G27</f>
        <v>447.21625</v>
      </c>
      <c r="P27" s="41">
        <f>F27/12*G27</f>
        <v>447.21625</v>
      </c>
      <c r="Q27" s="41">
        <f>F27/12*G27</f>
        <v>447.21625</v>
      </c>
      <c r="R27" s="41">
        <f>F27/12*G27</f>
        <v>447.21625</v>
      </c>
      <c r="S27" s="41">
        <f>F27/12*G27</f>
        <v>447.21625</v>
      </c>
      <c r="T27" s="41">
        <f>F27/12*G27</f>
        <v>447.21625</v>
      </c>
      <c r="U27" s="41">
        <f t="shared" si="5"/>
        <v>5366.5950000000012</v>
      </c>
    </row>
    <row r="28" spans="1:21" ht="12.75" customHeight="1">
      <c r="A28" s="33" t="s">
        <v>55</v>
      </c>
      <c r="B28" s="11" t="s">
        <v>56</v>
      </c>
      <c r="C28" s="33" t="s">
        <v>52</v>
      </c>
      <c r="D28" s="11" t="s">
        <v>54</v>
      </c>
      <c r="E28" s="38"/>
      <c r="F28" s="39">
        <v>3</v>
      </c>
      <c r="G28" s="39">
        <v>191.32</v>
      </c>
      <c r="H28" s="40">
        <f t="shared" si="4"/>
        <v>0.57396000000000003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f t="shared" si="5"/>
        <v>0</v>
      </c>
    </row>
    <row r="29" spans="1:21" ht="13.5" customHeight="1">
      <c r="A29" s="33" t="s">
        <v>57</v>
      </c>
      <c r="B29" s="11" t="s">
        <v>58</v>
      </c>
      <c r="C29" s="33" t="s">
        <v>59</v>
      </c>
      <c r="D29" s="11" t="s">
        <v>54</v>
      </c>
      <c r="E29" s="38"/>
      <c r="F29" s="39">
        <v>2</v>
      </c>
      <c r="G29" s="39">
        <v>1136.33</v>
      </c>
      <c r="H29" s="40">
        <f t="shared" si="4"/>
        <v>2.2726599999999997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f t="shared" si="5"/>
        <v>0</v>
      </c>
    </row>
    <row r="30" spans="1:21">
      <c r="A30" s="33"/>
      <c r="B30" s="57" t="s">
        <v>60</v>
      </c>
      <c r="C30" s="33" t="s">
        <v>61</v>
      </c>
      <c r="D30" s="57" t="s">
        <v>62</v>
      </c>
      <c r="E30" s="38">
        <v>2566.6</v>
      </c>
      <c r="F30" s="39">
        <f>SUM(E30*12)</f>
        <v>30799.199999999997</v>
      </c>
      <c r="G30" s="39">
        <v>4.53</v>
      </c>
      <c r="H30" s="40">
        <f t="shared" si="4"/>
        <v>139.520376</v>
      </c>
      <c r="I30" s="41">
        <f>F30/12*G30</f>
        <v>11626.698</v>
      </c>
      <c r="J30" s="41">
        <f>F30/12*G30</f>
        <v>11626.698</v>
      </c>
      <c r="K30" s="41">
        <f>F30/12*G30</f>
        <v>11626.698</v>
      </c>
      <c r="L30" s="41">
        <f>F30/12*G30</f>
        <v>11626.698</v>
      </c>
      <c r="M30" s="41">
        <f>F30/12*G30</f>
        <v>11626.698</v>
      </c>
      <c r="N30" s="41">
        <f>F30/12*G30</f>
        <v>11626.698</v>
      </c>
      <c r="O30" s="41">
        <f>F30/12*G30</f>
        <v>11626.698</v>
      </c>
      <c r="P30" s="41">
        <f>F30/12*G30</f>
        <v>11626.698</v>
      </c>
      <c r="Q30" s="41">
        <f>F30/12*G30</f>
        <v>11626.698</v>
      </c>
      <c r="R30" s="41">
        <f>F30/12*G30</f>
        <v>11626.698</v>
      </c>
      <c r="S30" s="41">
        <f>F30/12*G30</f>
        <v>11626.698</v>
      </c>
      <c r="T30" s="41">
        <f>F30/12*G30</f>
        <v>11626.698</v>
      </c>
      <c r="U30" s="41">
        <f t="shared" si="5"/>
        <v>139520.37600000002</v>
      </c>
    </row>
    <row r="31" spans="1:21" s="19" customFormat="1">
      <c r="A31" s="48"/>
      <c r="B31" s="20" t="s">
        <v>33</v>
      </c>
      <c r="C31" s="49"/>
      <c r="D31" s="20"/>
      <c r="E31" s="50"/>
      <c r="F31" s="51"/>
      <c r="G31" s="51"/>
      <c r="H31" s="58">
        <f>SUM(H23:H30)</f>
        <v>161.46703325553332</v>
      </c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>
        <f>SUM(U23:U30)</f>
        <v>158620.41325553335</v>
      </c>
    </row>
    <row r="32" spans="1:21">
      <c r="A32" s="33"/>
      <c r="B32" s="12" t="s">
        <v>63</v>
      </c>
      <c r="C32" s="33"/>
      <c r="D32" s="11"/>
      <c r="E32" s="38"/>
      <c r="F32" s="39"/>
      <c r="G32" s="39"/>
      <c r="H32" s="40" t="s">
        <v>62</v>
      </c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</row>
    <row r="33" spans="1:21">
      <c r="A33" s="33" t="s">
        <v>57</v>
      </c>
      <c r="B33" s="13" t="s">
        <v>64</v>
      </c>
      <c r="C33" s="33" t="s">
        <v>59</v>
      </c>
      <c r="D33" s="11"/>
      <c r="E33" s="38"/>
      <c r="F33" s="39">
        <v>8</v>
      </c>
      <c r="G33" s="39">
        <v>1527.22</v>
      </c>
      <c r="H33" s="40">
        <f t="shared" ref="H33:H40" si="6">SUM(F33*G33/1000)</f>
        <v>12.21776</v>
      </c>
      <c r="I33" s="41">
        <f>F33/6*G33</f>
        <v>2036.2933333333333</v>
      </c>
      <c r="J33" s="41">
        <f>F33/6*G33</f>
        <v>2036.2933333333333</v>
      </c>
      <c r="K33" s="41">
        <f>F33/6*G33</f>
        <v>2036.2933333333333</v>
      </c>
      <c r="L33" s="41">
        <f>F33/6*G33</f>
        <v>2036.2933333333333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f>F33/6*G33</f>
        <v>2036.2933333333333</v>
      </c>
      <c r="T33" s="41">
        <f>F33/6*G33</f>
        <v>2036.2933333333333</v>
      </c>
      <c r="U33" s="41">
        <f t="shared" ref="U33:U40" si="7">SUM(I33:T33)</f>
        <v>12217.76</v>
      </c>
    </row>
    <row r="34" spans="1:21">
      <c r="A34" s="60" t="s">
        <v>65</v>
      </c>
      <c r="B34" s="13" t="s">
        <v>154</v>
      </c>
      <c r="C34" s="60" t="s">
        <v>66</v>
      </c>
      <c r="D34" s="11" t="s">
        <v>153</v>
      </c>
      <c r="E34" s="38">
        <v>269.5</v>
      </c>
      <c r="F34" s="59">
        <f>E34*12/1000</f>
        <v>3.234</v>
      </c>
      <c r="G34" s="39">
        <v>2102.71</v>
      </c>
      <c r="H34" s="40">
        <f>G34*F34/1000</f>
        <v>6.8001641399999997</v>
      </c>
      <c r="I34" s="41">
        <f>F34/6*G34</f>
        <v>1133.3606900000002</v>
      </c>
      <c r="J34" s="41">
        <f>F34/6*G34</f>
        <v>1133.3606900000002</v>
      </c>
      <c r="K34" s="41">
        <f>F34/6*G34</f>
        <v>1133.3606900000002</v>
      </c>
      <c r="L34" s="41">
        <f>F34/6*G34</f>
        <v>1133.3606900000002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f>F34/6*G34</f>
        <v>1133.3606900000002</v>
      </c>
      <c r="T34" s="41">
        <f>F34/6*G34</f>
        <v>1133.3606900000002</v>
      </c>
      <c r="U34" s="41">
        <f t="shared" si="7"/>
        <v>6800.1641400000017</v>
      </c>
    </row>
    <row r="35" spans="1:21" ht="25.5">
      <c r="A35" s="60" t="s">
        <v>65</v>
      </c>
      <c r="B35" s="13" t="s">
        <v>144</v>
      </c>
      <c r="C35" s="60" t="s">
        <v>66</v>
      </c>
      <c r="D35" s="11" t="s">
        <v>152</v>
      </c>
      <c r="E35" s="38">
        <v>60</v>
      </c>
      <c r="F35" s="59">
        <f>E35*30/1000</f>
        <v>1.8</v>
      </c>
      <c r="G35" s="39">
        <v>2102.71</v>
      </c>
      <c r="H35" s="40">
        <f>G35*F35/1000</f>
        <v>3.784878</v>
      </c>
      <c r="I35" s="41">
        <f>F35/6*G35</f>
        <v>630.81299999999999</v>
      </c>
      <c r="J35" s="41">
        <f>F35/6*G35</f>
        <v>630.81299999999999</v>
      </c>
      <c r="K35" s="41">
        <f>F35/6*G35</f>
        <v>630.81299999999999</v>
      </c>
      <c r="L35" s="41">
        <f>F35/6*G35</f>
        <v>630.81299999999999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f>F35/6*G35</f>
        <v>630.81299999999999</v>
      </c>
      <c r="T35" s="41">
        <f>F35/6*G35</f>
        <v>630.81299999999999</v>
      </c>
      <c r="U35" s="41">
        <f t="shared" si="7"/>
        <v>3784.8780000000002</v>
      </c>
    </row>
    <row r="36" spans="1:21">
      <c r="A36" s="33" t="s">
        <v>57</v>
      </c>
      <c r="B36" s="11" t="s">
        <v>151</v>
      </c>
      <c r="C36" s="33" t="s">
        <v>103</v>
      </c>
      <c r="D36" s="11" t="s">
        <v>54</v>
      </c>
      <c r="E36" s="38"/>
      <c r="F36" s="59">
        <v>100</v>
      </c>
      <c r="G36" s="39">
        <v>213.2</v>
      </c>
      <c r="H36" s="40">
        <f>G36*F36/1000</f>
        <v>21.32</v>
      </c>
      <c r="I36" s="41">
        <v>0</v>
      </c>
      <c r="J36" s="41">
        <v>0</v>
      </c>
      <c r="K36" s="41">
        <f>30*G36</f>
        <v>6396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f t="shared" si="7"/>
        <v>6396</v>
      </c>
    </row>
    <row r="37" spans="1:21" ht="24.75" customHeight="1">
      <c r="A37" s="33" t="s">
        <v>67</v>
      </c>
      <c r="B37" s="11" t="s">
        <v>68</v>
      </c>
      <c r="C37" s="33" t="s">
        <v>66</v>
      </c>
      <c r="D37" s="11" t="s">
        <v>69</v>
      </c>
      <c r="E37" s="39">
        <v>65.33</v>
      </c>
      <c r="F37" s="59">
        <f>SUM(E37*155/1000)</f>
        <v>10.126149999999999</v>
      </c>
      <c r="G37" s="39">
        <v>350.75</v>
      </c>
      <c r="H37" s="40">
        <f t="shared" si="6"/>
        <v>3.5517471124999997</v>
      </c>
      <c r="I37" s="41">
        <f>F37/6*G37</f>
        <v>591.95785208333325</v>
      </c>
      <c r="J37" s="41">
        <f>F37/6*G37</f>
        <v>591.95785208333325</v>
      </c>
      <c r="K37" s="41">
        <f>F37/6*G37</f>
        <v>591.95785208333325</v>
      </c>
      <c r="L37" s="41">
        <f>F37/6*G37</f>
        <v>591.95785208333325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f>F37/6*G37</f>
        <v>591.95785208333325</v>
      </c>
      <c r="T37" s="41">
        <f>F37/6*G37</f>
        <v>591.95785208333325</v>
      </c>
      <c r="U37" s="41">
        <f t="shared" si="7"/>
        <v>3551.7471124999997</v>
      </c>
    </row>
    <row r="38" spans="1:21" ht="51" customHeight="1">
      <c r="A38" s="33" t="s">
        <v>70</v>
      </c>
      <c r="B38" s="11" t="s">
        <v>71</v>
      </c>
      <c r="C38" s="33" t="s">
        <v>41</v>
      </c>
      <c r="D38" s="11" t="s">
        <v>155</v>
      </c>
      <c r="E38" s="39">
        <v>65.33</v>
      </c>
      <c r="F38" s="59">
        <f>SUM(E38*24/1000)</f>
        <v>1.56792</v>
      </c>
      <c r="G38" s="39">
        <v>5803.28</v>
      </c>
      <c r="H38" s="40">
        <f t="shared" si="6"/>
        <v>9.0990787775999991</v>
      </c>
      <c r="I38" s="41">
        <f>F38/6*G38</f>
        <v>1516.5131296</v>
      </c>
      <c r="J38" s="41">
        <f>F38/6*G38</f>
        <v>1516.5131296</v>
      </c>
      <c r="K38" s="41">
        <f>F38/6*G38</f>
        <v>1516.5131296</v>
      </c>
      <c r="L38" s="41">
        <f>F38/6*G38</f>
        <v>1516.5131296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f>F38/6*G38</f>
        <v>1516.5131296</v>
      </c>
      <c r="T38" s="41">
        <f>F38/6*G38</f>
        <v>1516.5131296</v>
      </c>
      <c r="U38" s="41">
        <f>SUM(I38:T38)</f>
        <v>9099.0787775999997</v>
      </c>
    </row>
    <row r="39" spans="1:21" ht="12.75" customHeight="1">
      <c r="A39" s="33" t="s">
        <v>72</v>
      </c>
      <c r="B39" s="11" t="s">
        <v>73</v>
      </c>
      <c r="C39" s="33" t="s">
        <v>41</v>
      </c>
      <c r="D39" s="11" t="s">
        <v>74</v>
      </c>
      <c r="E39" s="39">
        <v>65.33</v>
      </c>
      <c r="F39" s="59">
        <f>SUM(E39*45/1000)</f>
        <v>2.9398499999999999</v>
      </c>
      <c r="G39" s="39">
        <v>428.7</v>
      </c>
      <c r="H39" s="40">
        <f t="shared" si="6"/>
        <v>1.2603136949999998</v>
      </c>
      <c r="I39" s="41">
        <f>F39/6*G39</f>
        <v>210.05228249999999</v>
      </c>
      <c r="J39" s="41">
        <f>F39/6*G39</f>
        <v>210.05228249999999</v>
      </c>
      <c r="K39" s="41">
        <f>F39/6*G39</f>
        <v>210.05228249999999</v>
      </c>
      <c r="L39" s="41">
        <f>F39/6*G39</f>
        <v>210.05228249999999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f>F39/6*G39</f>
        <v>210.05228249999999</v>
      </c>
      <c r="T39" s="41">
        <f>F39/6*G39</f>
        <v>210.05228249999999</v>
      </c>
      <c r="U39" s="41">
        <f t="shared" si="7"/>
        <v>1260.3136950000001</v>
      </c>
    </row>
    <row r="40" spans="1:21" s="1" customFormat="1">
      <c r="A40" s="60"/>
      <c r="B40" s="13" t="s">
        <v>75</v>
      </c>
      <c r="C40" s="60" t="s">
        <v>52</v>
      </c>
      <c r="D40" s="13"/>
      <c r="E40" s="56"/>
      <c r="F40" s="59">
        <v>0.8</v>
      </c>
      <c r="G40" s="59">
        <v>798</v>
      </c>
      <c r="H40" s="40">
        <f t="shared" si="6"/>
        <v>0.63840000000000008</v>
      </c>
      <c r="I40" s="61">
        <f>F40/6*G40</f>
        <v>106.39999999999999</v>
      </c>
      <c r="J40" s="61">
        <f>F40/6*G40</f>
        <v>106.39999999999999</v>
      </c>
      <c r="K40" s="61">
        <f>F40/6*G40</f>
        <v>106.39999999999999</v>
      </c>
      <c r="L40" s="61">
        <f>F40/6*G40</f>
        <v>106.39999999999999</v>
      </c>
      <c r="M40" s="61">
        <v>0</v>
      </c>
      <c r="N40" s="61">
        <v>0</v>
      </c>
      <c r="O40" s="61">
        <v>0</v>
      </c>
      <c r="P40" s="61">
        <v>0</v>
      </c>
      <c r="Q40" s="61">
        <v>0</v>
      </c>
      <c r="R40" s="61">
        <v>0</v>
      </c>
      <c r="S40" s="61">
        <f>F40/6*G40</f>
        <v>106.39999999999999</v>
      </c>
      <c r="T40" s="61">
        <f>F40/6*G40</f>
        <v>106.39999999999999</v>
      </c>
      <c r="U40" s="41">
        <f t="shared" si="7"/>
        <v>638.4</v>
      </c>
    </row>
    <row r="41" spans="1:21" s="19" customFormat="1">
      <c r="A41" s="48"/>
      <c r="B41" s="20" t="s">
        <v>33</v>
      </c>
      <c r="C41" s="49"/>
      <c r="D41" s="20"/>
      <c r="E41" s="50"/>
      <c r="F41" s="51" t="s">
        <v>62</v>
      </c>
      <c r="G41" s="51"/>
      <c r="H41" s="58">
        <f>SUM(H33:H40)</f>
        <v>58.672341725099997</v>
      </c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>
        <f>SUM(U33:U40)</f>
        <v>43748.341725100006</v>
      </c>
    </row>
    <row r="42" spans="1:21">
      <c r="A42" s="33"/>
      <c r="B42" s="14" t="s">
        <v>76</v>
      </c>
      <c r="C42" s="33"/>
      <c r="D42" s="11"/>
      <c r="E42" s="38"/>
      <c r="F42" s="39"/>
      <c r="G42" s="39"/>
      <c r="H42" s="40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</row>
    <row r="43" spans="1:21">
      <c r="A43" s="33" t="s">
        <v>166</v>
      </c>
      <c r="B43" s="11" t="s">
        <v>165</v>
      </c>
      <c r="C43" s="33" t="s">
        <v>41</v>
      </c>
      <c r="D43" s="11" t="s">
        <v>77</v>
      </c>
      <c r="E43" s="38">
        <v>1114.75</v>
      </c>
      <c r="F43" s="39">
        <f>SUM(E43*2/1000)</f>
        <v>2.2294999999999998</v>
      </c>
      <c r="G43" s="62">
        <v>809.74</v>
      </c>
      <c r="H43" s="40">
        <f t="shared" ref="H43:H53" si="8">SUM(F43*G43/1000)</f>
        <v>1.80531533</v>
      </c>
      <c r="I43" s="41">
        <v>0</v>
      </c>
      <c r="J43" s="41">
        <v>0</v>
      </c>
      <c r="K43" s="41">
        <v>0</v>
      </c>
      <c r="L43" s="41">
        <f>F43/2*G43</f>
        <v>902.65766499999995</v>
      </c>
      <c r="M43" s="41">
        <v>0</v>
      </c>
      <c r="N43" s="41">
        <v>0</v>
      </c>
      <c r="O43" s="41">
        <v>0</v>
      </c>
      <c r="P43" s="41">
        <v>0</v>
      </c>
      <c r="Q43" s="41">
        <f>F43/2*G43</f>
        <v>902.65766499999995</v>
      </c>
      <c r="R43" s="41">
        <v>0</v>
      </c>
      <c r="S43" s="41">
        <v>0</v>
      </c>
      <c r="T43" s="41">
        <v>0</v>
      </c>
      <c r="U43" s="41">
        <f t="shared" ref="U43:U53" si="9">SUM(I43:T43)</f>
        <v>1805.3153299999999</v>
      </c>
    </row>
    <row r="44" spans="1:21">
      <c r="A44" s="33" t="s">
        <v>78</v>
      </c>
      <c r="B44" s="11" t="s">
        <v>79</v>
      </c>
      <c r="C44" s="33" t="s">
        <v>41</v>
      </c>
      <c r="D44" s="11" t="s">
        <v>77</v>
      </c>
      <c r="E44" s="38">
        <v>88</v>
      </c>
      <c r="F44" s="39">
        <f>E44*2/1000</f>
        <v>0.17599999999999999</v>
      </c>
      <c r="G44" s="62">
        <v>579.48</v>
      </c>
      <c r="H44" s="40">
        <f t="shared" si="8"/>
        <v>0.10198847999999999</v>
      </c>
      <c r="I44" s="41">
        <v>0</v>
      </c>
      <c r="J44" s="41">
        <v>0</v>
      </c>
      <c r="K44" s="41">
        <v>0</v>
      </c>
      <c r="L44" s="41">
        <f>F44/2*G44</f>
        <v>50.994239999999998</v>
      </c>
      <c r="M44" s="41">
        <v>0</v>
      </c>
      <c r="N44" s="41">
        <v>0</v>
      </c>
      <c r="O44" s="41">
        <v>0</v>
      </c>
      <c r="P44" s="41">
        <v>0</v>
      </c>
      <c r="Q44" s="41">
        <f>F44/2*G44</f>
        <v>50.994239999999998</v>
      </c>
      <c r="R44" s="41">
        <v>0</v>
      </c>
      <c r="S44" s="41">
        <v>0</v>
      </c>
      <c r="T44" s="41">
        <v>0</v>
      </c>
      <c r="U44" s="41">
        <f t="shared" si="9"/>
        <v>101.98848</v>
      </c>
    </row>
    <row r="45" spans="1:21">
      <c r="A45" s="33" t="s">
        <v>80</v>
      </c>
      <c r="B45" s="11" t="s">
        <v>81</v>
      </c>
      <c r="C45" s="33" t="s">
        <v>41</v>
      </c>
      <c r="D45" s="11" t="s">
        <v>77</v>
      </c>
      <c r="E45" s="38">
        <v>1250.6199999999999</v>
      </c>
      <c r="F45" s="39">
        <f>SUM(E45*2/1000)</f>
        <v>2.5012399999999997</v>
      </c>
      <c r="G45" s="62">
        <v>579.48</v>
      </c>
      <c r="H45" s="40">
        <f t="shared" si="8"/>
        <v>1.4494185551999998</v>
      </c>
      <c r="I45" s="41">
        <v>0</v>
      </c>
      <c r="J45" s="41">
        <v>0</v>
      </c>
      <c r="K45" s="41">
        <v>0</v>
      </c>
      <c r="L45" s="41">
        <f>F45/2*G45</f>
        <v>724.70927759999995</v>
      </c>
      <c r="M45" s="41">
        <v>0</v>
      </c>
      <c r="N45" s="41">
        <v>0</v>
      </c>
      <c r="O45" s="41">
        <v>0</v>
      </c>
      <c r="P45" s="41">
        <v>0</v>
      </c>
      <c r="Q45" s="41">
        <f>F45/2*G45</f>
        <v>724.70927759999995</v>
      </c>
      <c r="R45" s="41">
        <v>0</v>
      </c>
      <c r="S45" s="41">
        <v>0</v>
      </c>
      <c r="T45" s="41">
        <v>0</v>
      </c>
      <c r="U45" s="41">
        <f t="shared" si="9"/>
        <v>1449.4185551999999</v>
      </c>
    </row>
    <row r="46" spans="1:21">
      <c r="A46" s="33" t="s">
        <v>82</v>
      </c>
      <c r="B46" s="11" t="s">
        <v>83</v>
      </c>
      <c r="C46" s="33" t="s">
        <v>41</v>
      </c>
      <c r="D46" s="11" t="s">
        <v>77</v>
      </c>
      <c r="E46" s="38">
        <v>1295.68</v>
      </c>
      <c r="F46" s="39">
        <f>SUM(E46*2/1000)</f>
        <v>2.5913600000000003</v>
      </c>
      <c r="G46" s="62">
        <v>606.77</v>
      </c>
      <c r="H46" s="40">
        <f t="shared" si="8"/>
        <v>1.5723595072000001</v>
      </c>
      <c r="I46" s="41">
        <v>0</v>
      </c>
      <c r="J46" s="41">
        <v>0</v>
      </c>
      <c r="K46" s="41">
        <v>0</v>
      </c>
      <c r="L46" s="41">
        <f>F46/2*G46</f>
        <v>786.17975360000003</v>
      </c>
      <c r="M46" s="41">
        <v>0</v>
      </c>
      <c r="N46" s="41">
        <v>0</v>
      </c>
      <c r="O46" s="41">
        <v>0</v>
      </c>
      <c r="P46" s="41">
        <v>0</v>
      </c>
      <c r="Q46" s="41">
        <f>F46/2*G46</f>
        <v>786.17975360000003</v>
      </c>
      <c r="R46" s="41">
        <v>0</v>
      </c>
      <c r="S46" s="41">
        <v>0</v>
      </c>
      <c r="T46" s="41">
        <v>0</v>
      </c>
      <c r="U46" s="41">
        <f t="shared" si="9"/>
        <v>1572.3595072000001</v>
      </c>
    </row>
    <row r="47" spans="1:21">
      <c r="A47" s="33" t="s">
        <v>168</v>
      </c>
      <c r="B47" s="11" t="s">
        <v>169</v>
      </c>
      <c r="C47" s="33" t="s">
        <v>170</v>
      </c>
      <c r="D47" s="11" t="s">
        <v>77</v>
      </c>
      <c r="E47" s="38">
        <v>85.84</v>
      </c>
      <c r="F47" s="39">
        <f>E47*2/100</f>
        <v>1.7168000000000001</v>
      </c>
      <c r="G47" s="62">
        <v>72.81</v>
      </c>
      <c r="H47" s="40">
        <f>G47*F47/1000</f>
        <v>0.125000208</v>
      </c>
      <c r="I47" s="41">
        <v>0</v>
      </c>
      <c r="J47" s="41">
        <v>0</v>
      </c>
      <c r="K47" s="41">
        <v>0</v>
      </c>
      <c r="L47" s="41">
        <f>F47/2*G47</f>
        <v>62.500104000000007</v>
      </c>
      <c r="M47" s="41">
        <v>0</v>
      </c>
      <c r="N47" s="41">
        <v>0</v>
      </c>
      <c r="O47" s="41">
        <v>0</v>
      </c>
      <c r="P47" s="41">
        <v>0</v>
      </c>
      <c r="Q47" s="41">
        <f>F47/2*G47</f>
        <v>62.500104000000007</v>
      </c>
      <c r="R47" s="41">
        <v>0</v>
      </c>
      <c r="S47" s="41">
        <v>0</v>
      </c>
      <c r="T47" s="41">
        <v>0</v>
      </c>
      <c r="U47" s="41">
        <f t="shared" si="9"/>
        <v>125.00020800000001</v>
      </c>
    </row>
    <row r="48" spans="1:21" ht="25.5">
      <c r="A48" s="33" t="s">
        <v>84</v>
      </c>
      <c r="B48" s="11" t="s">
        <v>85</v>
      </c>
      <c r="C48" s="33" t="s">
        <v>41</v>
      </c>
      <c r="D48" s="11" t="s">
        <v>86</v>
      </c>
      <c r="E48" s="38">
        <v>891.8</v>
      </c>
      <c r="F48" s="39">
        <f>SUM(E48*5/1000)</f>
        <v>4.4589999999999996</v>
      </c>
      <c r="G48" s="62">
        <v>1213.55</v>
      </c>
      <c r="H48" s="40">
        <f t="shared" si="8"/>
        <v>5.4112194499999999</v>
      </c>
      <c r="I48" s="41">
        <f>F48/5*G48</f>
        <v>1082.24389</v>
      </c>
      <c r="J48" s="41">
        <f>F48/6*G48</f>
        <v>901.86990833333323</v>
      </c>
      <c r="K48" s="41">
        <v>0</v>
      </c>
      <c r="L48" s="41">
        <v>0</v>
      </c>
      <c r="M48" s="41">
        <f>F48/5*G48</f>
        <v>1082.24389</v>
      </c>
      <c r="N48" s="41">
        <v>0</v>
      </c>
      <c r="O48" s="41">
        <v>0</v>
      </c>
      <c r="P48" s="41">
        <v>0</v>
      </c>
      <c r="Q48" s="41">
        <f>F48/5*G48</f>
        <v>1082.24389</v>
      </c>
      <c r="R48" s="41">
        <v>0</v>
      </c>
      <c r="S48" s="41">
        <v>0</v>
      </c>
      <c r="T48" s="41">
        <f>F48/5*G48</f>
        <v>1082.24389</v>
      </c>
      <c r="U48" s="41">
        <f t="shared" si="9"/>
        <v>5230.845468333333</v>
      </c>
    </row>
    <row r="49" spans="1:21" ht="39.6" customHeight="1">
      <c r="A49" s="33" t="s">
        <v>87</v>
      </c>
      <c r="B49" s="11" t="s">
        <v>88</v>
      </c>
      <c r="C49" s="33" t="s">
        <v>41</v>
      </c>
      <c r="D49" s="11" t="s">
        <v>77</v>
      </c>
      <c r="E49" s="38">
        <v>891.8</v>
      </c>
      <c r="F49" s="39">
        <f>SUM(E49*2/1000)</f>
        <v>1.7835999999999999</v>
      </c>
      <c r="G49" s="62">
        <v>1213.55</v>
      </c>
      <c r="H49" s="40">
        <f t="shared" si="8"/>
        <v>2.16448778</v>
      </c>
      <c r="I49" s="41">
        <v>0</v>
      </c>
      <c r="J49" s="41">
        <v>0</v>
      </c>
      <c r="K49" s="41">
        <f>F49/2*G49</f>
        <v>1082.24389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f>F49/2*G49</f>
        <v>1082.24389</v>
      </c>
      <c r="R49" s="41">
        <v>0</v>
      </c>
      <c r="S49" s="41">
        <v>0</v>
      </c>
      <c r="T49" s="41">
        <v>0</v>
      </c>
      <c r="U49" s="41">
        <f t="shared" si="9"/>
        <v>2164.4877799999999</v>
      </c>
    </row>
    <row r="50" spans="1:21" ht="28.9" customHeight="1">
      <c r="A50" s="33" t="s">
        <v>89</v>
      </c>
      <c r="B50" s="11" t="s">
        <v>90</v>
      </c>
      <c r="C50" s="33" t="s">
        <v>91</v>
      </c>
      <c r="D50" s="11" t="s">
        <v>77</v>
      </c>
      <c r="E50" s="38">
        <v>16</v>
      </c>
      <c r="F50" s="39">
        <f>SUM(E50*2/100)</f>
        <v>0.32</v>
      </c>
      <c r="G50" s="62">
        <v>2730.49</v>
      </c>
      <c r="H50" s="40">
        <f t="shared" si="8"/>
        <v>0.8737568</v>
      </c>
      <c r="I50" s="41">
        <v>0</v>
      </c>
      <c r="J50" s="41">
        <v>0</v>
      </c>
      <c r="K50" s="41">
        <f>F50/2*G50</f>
        <v>436.8784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f>F50/2*G50</f>
        <v>436.8784</v>
      </c>
      <c r="R50" s="41">
        <v>0</v>
      </c>
      <c r="S50" s="41">
        <v>0</v>
      </c>
      <c r="T50" s="41">
        <v>0</v>
      </c>
      <c r="U50" s="41">
        <f t="shared" si="9"/>
        <v>873.7568</v>
      </c>
    </row>
    <row r="51" spans="1:21">
      <c r="A51" s="33" t="s">
        <v>92</v>
      </c>
      <c r="B51" s="11" t="s">
        <v>93</v>
      </c>
      <c r="C51" s="33" t="s">
        <v>94</v>
      </c>
      <c r="D51" s="11" t="s">
        <v>77</v>
      </c>
      <c r="E51" s="38">
        <v>1</v>
      </c>
      <c r="F51" s="39">
        <v>0.02</v>
      </c>
      <c r="G51" s="62">
        <v>5652.13</v>
      </c>
      <c r="H51" s="40">
        <f t="shared" si="8"/>
        <v>0.11304260000000001</v>
      </c>
      <c r="I51" s="41">
        <v>0</v>
      </c>
      <c r="J51" s="41">
        <f>F51/2*G51</f>
        <v>56.521300000000004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f>F51/2*G51</f>
        <v>56.521300000000004</v>
      </c>
      <c r="R51" s="41">
        <v>0</v>
      </c>
      <c r="S51" s="41">
        <v>0</v>
      </c>
      <c r="T51" s="41">
        <v>0</v>
      </c>
      <c r="U51" s="41">
        <f t="shared" si="9"/>
        <v>113.04260000000001</v>
      </c>
    </row>
    <row r="52" spans="1:21">
      <c r="A52" s="33" t="s">
        <v>156</v>
      </c>
      <c r="B52" s="11" t="s">
        <v>157</v>
      </c>
      <c r="C52" s="33" t="s">
        <v>95</v>
      </c>
      <c r="D52" s="11" t="s">
        <v>186</v>
      </c>
      <c r="E52" s="38">
        <v>60</v>
      </c>
      <c r="F52" s="39">
        <f>E52*3</f>
        <v>180</v>
      </c>
      <c r="G52" s="62">
        <v>141.12</v>
      </c>
      <c r="H52" s="40">
        <f>F52*G52/1000</f>
        <v>25.401600000000002</v>
      </c>
      <c r="I52" s="41">
        <f>E52*G52</f>
        <v>8467.2000000000007</v>
      </c>
      <c r="J52" s="41">
        <v>0</v>
      </c>
      <c r="K52" s="41">
        <v>0</v>
      </c>
      <c r="L52" s="41">
        <f>E52*G52</f>
        <v>8467.2000000000007</v>
      </c>
      <c r="M52" s="41">
        <v>0</v>
      </c>
      <c r="N52" s="41">
        <v>0</v>
      </c>
      <c r="O52" s="41">
        <v>0</v>
      </c>
      <c r="P52" s="41">
        <v>0</v>
      </c>
      <c r="Q52" s="41">
        <f>E52*G52</f>
        <v>8467.2000000000007</v>
      </c>
      <c r="R52" s="41">
        <v>0</v>
      </c>
      <c r="S52" s="41">
        <v>0</v>
      </c>
      <c r="T52" s="41">
        <v>0</v>
      </c>
      <c r="U52" s="41">
        <f t="shared" si="9"/>
        <v>25401.600000000002</v>
      </c>
    </row>
    <row r="53" spans="1:21" ht="13.5" customHeight="1">
      <c r="A53" s="33" t="s">
        <v>96</v>
      </c>
      <c r="B53" s="11" t="s">
        <v>97</v>
      </c>
      <c r="C53" s="33" t="s">
        <v>95</v>
      </c>
      <c r="D53" s="11" t="s">
        <v>186</v>
      </c>
      <c r="E53" s="38">
        <v>120</v>
      </c>
      <c r="F53" s="39">
        <f>SUM(E53)*3</f>
        <v>360</v>
      </c>
      <c r="G53" s="63">
        <v>65.67</v>
      </c>
      <c r="H53" s="40">
        <f t="shared" si="8"/>
        <v>23.641200000000001</v>
      </c>
      <c r="I53" s="41">
        <f>E53*G53</f>
        <v>7880.4000000000005</v>
      </c>
      <c r="J53" s="41">
        <v>0</v>
      </c>
      <c r="K53" s="41">
        <v>0</v>
      </c>
      <c r="L53" s="41">
        <f>E53*G53</f>
        <v>7880.4000000000005</v>
      </c>
      <c r="M53" s="41">
        <v>0</v>
      </c>
      <c r="N53" s="41">
        <v>0</v>
      </c>
      <c r="O53" s="41">
        <v>0</v>
      </c>
      <c r="P53" s="41">
        <v>0</v>
      </c>
      <c r="Q53" s="41">
        <f>E53*G53</f>
        <v>7880.4000000000005</v>
      </c>
      <c r="R53" s="41">
        <v>0</v>
      </c>
      <c r="S53" s="41">
        <v>0</v>
      </c>
      <c r="T53" s="41">
        <v>0</v>
      </c>
      <c r="U53" s="41">
        <f t="shared" si="9"/>
        <v>23641.200000000001</v>
      </c>
    </row>
    <row r="54" spans="1:21" s="21" customFormat="1">
      <c r="A54" s="48"/>
      <c r="B54" s="20" t="s">
        <v>33</v>
      </c>
      <c r="C54" s="64"/>
      <c r="D54" s="20"/>
      <c r="E54" s="65"/>
      <c r="F54" s="66"/>
      <c r="G54" s="66"/>
      <c r="H54" s="58">
        <f>SUM(H43:H53)</f>
        <v>62.659388710400009</v>
      </c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>
        <f>SUM(U43:U53)</f>
        <v>62479.014728733338</v>
      </c>
    </row>
    <row r="55" spans="1:21">
      <c r="A55" s="33"/>
      <c r="B55" s="12" t="s">
        <v>98</v>
      </c>
      <c r="C55" s="33"/>
      <c r="D55" s="11"/>
      <c r="E55" s="38"/>
      <c r="F55" s="39"/>
      <c r="G55" s="39"/>
      <c r="H55" s="40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</row>
    <row r="56" spans="1:21" ht="38.25" customHeight="1">
      <c r="A56" s="33" t="s">
        <v>100</v>
      </c>
      <c r="B56" s="11" t="s">
        <v>143</v>
      </c>
      <c r="C56" s="33" t="s">
        <v>14</v>
      </c>
      <c r="D56" s="11" t="s">
        <v>99</v>
      </c>
      <c r="E56" s="38">
        <v>112.68</v>
      </c>
      <c r="F56" s="39">
        <f>SUM(E56*6/100)</f>
        <v>6.7608000000000006</v>
      </c>
      <c r="G56" s="62">
        <v>1547.28</v>
      </c>
      <c r="H56" s="40">
        <f>SUM(F56*G56/1000)</f>
        <v>10.460850624000001</v>
      </c>
      <c r="I56" s="41">
        <f>F56/6*G56</f>
        <v>1743.4751040000001</v>
      </c>
      <c r="J56" s="41">
        <f>F56/6*G56</f>
        <v>1743.4751040000001</v>
      </c>
      <c r="K56" s="41">
        <f>F56/6*H56</f>
        <v>11.787286483123202</v>
      </c>
      <c r="L56" s="41">
        <f>F56/6*G56</f>
        <v>1743.4751040000001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f>F56/6*G56</f>
        <v>1743.4751040000001</v>
      </c>
      <c r="T56" s="41">
        <f>F56/6*G56</f>
        <v>1743.4751040000001</v>
      </c>
      <c r="U56" s="41">
        <f>SUM(I56:T56)</f>
        <v>8729.1628064831239</v>
      </c>
    </row>
    <row r="57" spans="1:21" ht="12.75" customHeight="1">
      <c r="A57" s="68"/>
      <c r="B57" s="25" t="s">
        <v>101</v>
      </c>
      <c r="C57" s="68"/>
      <c r="D57" s="24"/>
      <c r="E57" s="69"/>
      <c r="F57" s="70"/>
      <c r="G57" s="62"/>
      <c r="H57" s="7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</row>
    <row r="58" spans="1:21" ht="12.75" customHeight="1">
      <c r="A58" s="68" t="s">
        <v>102</v>
      </c>
      <c r="B58" s="24" t="s">
        <v>158</v>
      </c>
      <c r="C58" s="68" t="s">
        <v>28</v>
      </c>
      <c r="D58" s="24" t="s">
        <v>45</v>
      </c>
      <c r="E58" s="69">
        <v>897</v>
      </c>
      <c r="F58" s="70">
        <v>8.9700000000000006</v>
      </c>
      <c r="G58" s="62">
        <v>793.61</v>
      </c>
      <c r="H58" s="71">
        <f>F58*G58/1000</f>
        <v>7.1186817000000007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f>SUM(I58:T58)</f>
        <v>0</v>
      </c>
    </row>
    <row r="59" spans="1:21">
      <c r="A59" s="68"/>
      <c r="B59" s="15" t="s">
        <v>104</v>
      </c>
      <c r="C59" s="68"/>
      <c r="D59" s="24"/>
      <c r="E59" s="69"/>
      <c r="F59" s="72"/>
      <c r="G59" s="72"/>
      <c r="H59" s="70" t="s">
        <v>62</v>
      </c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</row>
    <row r="60" spans="1:21" ht="20.25" customHeight="1">
      <c r="A60" s="73" t="s">
        <v>105</v>
      </c>
      <c r="B60" s="16" t="s">
        <v>106</v>
      </c>
      <c r="C60" s="73" t="s">
        <v>95</v>
      </c>
      <c r="D60" s="8" t="s">
        <v>54</v>
      </c>
      <c r="E60" s="45">
        <v>15</v>
      </c>
      <c r="F60" s="39">
        <v>15</v>
      </c>
      <c r="G60" s="62">
        <v>222.4</v>
      </c>
      <c r="H60" s="139">
        <f t="shared" ref="H60:H75" si="10">SUM(F60*G60/1000)</f>
        <v>3.3359999999999999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f t="shared" ref="U60:U67" si="11">SUM(I60:T60)</f>
        <v>0</v>
      </c>
    </row>
    <row r="61" spans="1:21" ht="12.75" customHeight="1">
      <c r="A61" s="73" t="s">
        <v>107</v>
      </c>
      <c r="B61" s="16" t="s">
        <v>108</v>
      </c>
      <c r="C61" s="73" t="s">
        <v>95</v>
      </c>
      <c r="D61" s="8" t="s">
        <v>54</v>
      </c>
      <c r="E61" s="45">
        <v>5</v>
      </c>
      <c r="F61" s="39">
        <v>5</v>
      </c>
      <c r="G61" s="62">
        <v>76.25</v>
      </c>
      <c r="H61" s="139">
        <f t="shared" si="10"/>
        <v>0.38124999999999998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f>G61</f>
        <v>76.25</v>
      </c>
      <c r="S61" s="41">
        <v>0</v>
      </c>
      <c r="T61" s="41">
        <v>0</v>
      </c>
      <c r="U61" s="41">
        <f t="shared" si="11"/>
        <v>76.25</v>
      </c>
    </row>
    <row r="62" spans="1:21" s="1" customFormat="1">
      <c r="A62" s="74" t="s">
        <v>109</v>
      </c>
      <c r="B62" s="16" t="s">
        <v>110</v>
      </c>
      <c r="C62" s="74" t="s">
        <v>111</v>
      </c>
      <c r="D62" s="8" t="s">
        <v>45</v>
      </c>
      <c r="E62" s="38">
        <v>10059</v>
      </c>
      <c r="F62" s="63">
        <f>SUM(E62/100)</f>
        <v>100.59</v>
      </c>
      <c r="G62" s="62">
        <v>212.15</v>
      </c>
      <c r="H62" s="139">
        <f t="shared" si="10"/>
        <v>21.340168500000001</v>
      </c>
      <c r="I62" s="61">
        <v>0</v>
      </c>
      <c r="J62" s="61">
        <v>0</v>
      </c>
      <c r="K62" s="61">
        <v>0</v>
      </c>
      <c r="L62" s="61">
        <v>0</v>
      </c>
      <c r="M62" s="61">
        <f>F62*G62</f>
        <v>21340.1685</v>
      </c>
      <c r="N62" s="61">
        <v>0</v>
      </c>
      <c r="O62" s="61">
        <v>0</v>
      </c>
      <c r="P62" s="61">
        <v>0</v>
      </c>
      <c r="Q62" s="61">
        <v>0</v>
      </c>
      <c r="R62" s="61">
        <v>0</v>
      </c>
      <c r="S62" s="61">
        <v>0</v>
      </c>
      <c r="T62" s="61">
        <v>0</v>
      </c>
      <c r="U62" s="41">
        <f t="shared" si="11"/>
        <v>21340.1685</v>
      </c>
    </row>
    <row r="63" spans="1:21">
      <c r="A63" s="73" t="s">
        <v>112</v>
      </c>
      <c r="B63" s="16" t="s">
        <v>113</v>
      </c>
      <c r="C63" s="73" t="s">
        <v>114</v>
      </c>
      <c r="D63" s="8"/>
      <c r="E63" s="38">
        <v>10059</v>
      </c>
      <c r="F63" s="62">
        <f>SUM(E63/1000)</f>
        <v>10.058999999999999</v>
      </c>
      <c r="G63" s="62">
        <v>165.21</v>
      </c>
      <c r="H63" s="139">
        <f t="shared" si="10"/>
        <v>1.6618473899999999</v>
      </c>
      <c r="I63" s="41">
        <v>0</v>
      </c>
      <c r="J63" s="41">
        <v>0</v>
      </c>
      <c r="K63" s="41">
        <v>0</v>
      </c>
      <c r="L63" s="41">
        <v>0</v>
      </c>
      <c r="M63" s="41">
        <f>F63*G63</f>
        <v>1661.8473899999999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f t="shared" si="11"/>
        <v>1661.8473899999999</v>
      </c>
    </row>
    <row r="64" spans="1:21">
      <c r="A64" s="73" t="s">
        <v>115</v>
      </c>
      <c r="B64" s="16" t="s">
        <v>116</v>
      </c>
      <c r="C64" s="73" t="s">
        <v>117</v>
      </c>
      <c r="D64" s="8" t="s">
        <v>45</v>
      </c>
      <c r="E64" s="38">
        <v>2200</v>
      </c>
      <c r="F64" s="62">
        <f>SUM(E64/100)</f>
        <v>22</v>
      </c>
      <c r="G64" s="62">
        <v>2074.63</v>
      </c>
      <c r="H64" s="139">
        <f t="shared" si="10"/>
        <v>45.641860000000001</v>
      </c>
      <c r="I64" s="41">
        <v>0</v>
      </c>
      <c r="J64" s="41">
        <v>0</v>
      </c>
      <c r="K64" s="41">
        <v>0</v>
      </c>
      <c r="L64" s="41">
        <v>0</v>
      </c>
      <c r="M64" s="41">
        <f>F64*G64</f>
        <v>45641.86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f t="shared" si="11"/>
        <v>45641.86</v>
      </c>
    </row>
    <row r="65" spans="1:21">
      <c r="A65" s="73"/>
      <c r="B65" s="17" t="s">
        <v>145</v>
      </c>
      <c r="C65" s="73" t="s">
        <v>52</v>
      </c>
      <c r="D65" s="8"/>
      <c r="E65" s="38">
        <v>9.4</v>
      </c>
      <c r="F65" s="62">
        <f>SUM(E65)</f>
        <v>9.4</v>
      </c>
      <c r="G65" s="62">
        <v>42.67</v>
      </c>
      <c r="H65" s="139">
        <f t="shared" si="10"/>
        <v>0.40109800000000001</v>
      </c>
      <c r="I65" s="41">
        <v>0</v>
      </c>
      <c r="J65" s="41">
        <v>0</v>
      </c>
      <c r="K65" s="41">
        <v>0</v>
      </c>
      <c r="L65" s="41">
        <v>0</v>
      </c>
      <c r="M65" s="41">
        <f>F65*G65</f>
        <v>401.09800000000001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f t="shared" si="11"/>
        <v>401.09800000000001</v>
      </c>
    </row>
    <row r="66" spans="1:21">
      <c r="A66" s="75"/>
      <c r="B66" s="17" t="s">
        <v>146</v>
      </c>
      <c r="C66" s="73" t="s">
        <v>52</v>
      </c>
      <c r="D66" s="8"/>
      <c r="E66" s="38">
        <v>9.4</v>
      </c>
      <c r="F66" s="62">
        <f>SUM(E66)</f>
        <v>9.4</v>
      </c>
      <c r="G66" s="62">
        <v>39.81</v>
      </c>
      <c r="H66" s="139">
        <f t="shared" si="10"/>
        <v>0.37421400000000005</v>
      </c>
      <c r="I66" s="41">
        <v>0</v>
      </c>
      <c r="J66" s="41">
        <v>0</v>
      </c>
      <c r="K66" s="41">
        <v>0</v>
      </c>
      <c r="L66" s="41">
        <v>0</v>
      </c>
      <c r="M66" s="41">
        <f>F66*G66</f>
        <v>374.21400000000006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f t="shared" si="11"/>
        <v>374.21400000000006</v>
      </c>
    </row>
    <row r="67" spans="1:21">
      <c r="A67" s="73" t="s">
        <v>118</v>
      </c>
      <c r="B67" s="8" t="s">
        <v>119</v>
      </c>
      <c r="C67" s="73" t="s">
        <v>120</v>
      </c>
      <c r="D67" s="8" t="s">
        <v>45</v>
      </c>
      <c r="E67" s="45">
        <v>5</v>
      </c>
      <c r="F67" s="39">
        <v>5</v>
      </c>
      <c r="G67" s="62">
        <v>49.88</v>
      </c>
      <c r="H67" s="139">
        <f t="shared" si="10"/>
        <v>0.24940000000000001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f>F67*G67</f>
        <v>249.4</v>
      </c>
      <c r="R67" s="41">
        <v>0</v>
      </c>
      <c r="S67" s="41">
        <v>0</v>
      </c>
      <c r="T67" s="41">
        <v>0</v>
      </c>
      <c r="U67" s="41">
        <f t="shared" si="11"/>
        <v>249.4</v>
      </c>
    </row>
    <row r="68" spans="1:21">
      <c r="A68" s="75"/>
      <c r="B68" s="18" t="s">
        <v>121</v>
      </c>
      <c r="C68" s="73"/>
      <c r="D68" s="8"/>
      <c r="E68" s="45"/>
      <c r="F68" s="62"/>
      <c r="G68" s="62"/>
      <c r="H68" s="139" t="s">
        <v>62</v>
      </c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</row>
    <row r="69" spans="1:21">
      <c r="A69" s="73" t="s">
        <v>122</v>
      </c>
      <c r="B69" s="8" t="s">
        <v>123</v>
      </c>
      <c r="C69" s="73" t="s">
        <v>124</v>
      </c>
      <c r="D69" s="8"/>
      <c r="E69" s="45">
        <v>3</v>
      </c>
      <c r="F69" s="62">
        <v>0.3</v>
      </c>
      <c r="G69" s="62">
        <v>501.62</v>
      </c>
      <c r="H69" s="139">
        <f t="shared" si="10"/>
        <v>0.15048599999999998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f>SUM(I69:T69)</f>
        <v>0</v>
      </c>
    </row>
    <row r="70" spans="1:21">
      <c r="A70" s="73" t="s">
        <v>147</v>
      </c>
      <c r="B70" s="8" t="s">
        <v>148</v>
      </c>
      <c r="C70" s="73" t="s">
        <v>48</v>
      </c>
      <c r="D70" s="8"/>
      <c r="E70" s="45">
        <v>1</v>
      </c>
      <c r="F70" s="76">
        <v>1</v>
      </c>
      <c r="G70" s="62">
        <v>852.99</v>
      </c>
      <c r="H70" s="139">
        <f>F70*G70/1000</f>
        <v>0.85299000000000003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f>SUM(I70:T70)</f>
        <v>0</v>
      </c>
    </row>
    <row r="71" spans="1:21">
      <c r="A71" s="73" t="s">
        <v>125</v>
      </c>
      <c r="B71" s="8" t="s">
        <v>150</v>
      </c>
      <c r="C71" s="73" t="s">
        <v>48</v>
      </c>
      <c r="D71" s="8"/>
      <c r="E71" s="45">
        <v>1</v>
      </c>
      <c r="F71" s="62">
        <v>1</v>
      </c>
      <c r="G71" s="62">
        <v>358.51</v>
      </c>
      <c r="H71" s="139">
        <f>G71*F71/1000</f>
        <v>0.35851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f>SUM(I71:T71)</f>
        <v>0</v>
      </c>
    </row>
    <row r="72" spans="1:21" ht="25.5">
      <c r="A72" s="77" t="s">
        <v>171</v>
      </c>
      <c r="B72" s="8" t="s">
        <v>172</v>
      </c>
      <c r="C72" s="73" t="s">
        <v>48</v>
      </c>
      <c r="D72" s="8"/>
      <c r="E72" s="45">
        <v>2</v>
      </c>
      <c r="F72" s="62">
        <v>2</v>
      </c>
      <c r="G72" s="62">
        <v>784.67</v>
      </c>
      <c r="H72" s="139">
        <f>G72*F72/1000</f>
        <v>1.56934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f>SUM(I72:T72)</f>
        <v>0</v>
      </c>
    </row>
    <row r="73" spans="1:21">
      <c r="A73" s="73" t="s">
        <v>167</v>
      </c>
      <c r="B73" s="8" t="s">
        <v>173</v>
      </c>
      <c r="C73" s="73" t="s">
        <v>174</v>
      </c>
      <c r="D73" s="8"/>
      <c r="E73" s="45">
        <v>2</v>
      </c>
      <c r="F73" s="62">
        <v>2</v>
      </c>
      <c r="G73" s="62">
        <v>1000</v>
      </c>
      <c r="H73" s="139">
        <f>G73*F73/1000</f>
        <v>2</v>
      </c>
      <c r="I73" s="41">
        <f>G73*1</f>
        <v>1000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f>SUM(I73:T73)</f>
        <v>1000</v>
      </c>
    </row>
    <row r="74" spans="1:21">
      <c r="A74" s="78"/>
      <c r="B74" s="79" t="s">
        <v>127</v>
      </c>
      <c r="C74" s="73"/>
      <c r="D74" s="8"/>
      <c r="E74" s="45"/>
      <c r="F74" s="62"/>
      <c r="G74" s="62" t="s">
        <v>62</v>
      </c>
      <c r="H74" s="139" t="s">
        <v>62</v>
      </c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</row>
    <row r="75" spans="1:21" s="1" customFormat="1">
      <c r="A75" s="74" t="s">
        <v>128</v>
      </c>
      <c r="B75" s="80" t="s">
        <v>129</v>
      </c>
      <c r="C75" s="74" t="s">
        <v>117</v>
      </c>
      <c r="D75" s="16"/>
      <c r="E75" s="81"/>
      <c r="F75" s="63">
        <v>1</v>
      </c>
      <c r="G75" s="63">
        <v>2579.44</v>
      </c>
      <c r="H75" s="139">
        <f t="shared" si="10"/>
        <v>2.57944</v>
      </c>
      <c r="I75" s="61">
        <v>0</v>
      </c>
      <c r="J75" s="61">
        <v>0</v>
      </c>
      <c r="K75" s="61">
        <v>0</v>
      </c>
      <c r="L75" s="61">
        <v>0</v>
      </c>
      <c r="M75" s="61">
        <v>0</v>
      </c>
      <c r="N75" s="61">
        <v>0</v>
      </c>
      <c r="O75" s="61">
        <v>0</v>
      </c>
      <c r="P75" s="61">
        <v>0</v>
      </c>
      <c r="Q75" s="61">
        <v>0</v>
      </c>
      <c r="R75" s="61">
        <v>0</v>
      </c>
      <c r="S75" s="61">
        <v>0</v>
      </c>
      <c r="T75" s="61">
        <v>0</v>
      </c>
      <c r="U75" s="41">
        <f>SUM(I75:T75)</f>
        <v>0</v>
      </c>
    </row>
    <row r="76" spans="1:21" s="21" customFormat="1">
      <c r="A76" s="82"/>
      <c r="B76" s="20" t="s">
        <v>33</v>
      </c>
      <c r="C76" s="83"/>
      <c r="D76" s="84"/>
      <c r="E76" s="85"/>
      <c r="F76" s="67"/>
      <c r="G76" s="67"/>
      <c r="H76" s="86">
        <f>SUM(H56:H75)</f>
        <v>98.476136213999993</v>
      </c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>
        <f>SUM(U56:U75)</f>
        <v>79474.000696483126</v>
      </c>
    </row>
    <row r="77" spans="1:21">
      <c r="A77" s="151" t="s">
        <v>199</v>
      </c>
      <c r="B77" s="11" t="s">
        <v>200</v>
      </c>
      <c r="C77" s="88" t="s">
        <v>201</v>
      </c>
      <c r="D77" s="89"/>
      <c r="E77" s="146"/>
      <c r="F77" s="90">
        <f>80/10</f>
        <v>8</v>
      </c>
      <c r="G77" s="91">
        <v>9</v>
      </c>
      <c r="H77" s="139">
        <f>G77*F77/1000</f>
        <v>7.1999999999999995E-2</v>
      </c>
      <c r="I77" s="41">
        <v>0</v>
      </c>
      <c r="J77" s="41">
        <v>0</v>
      </c>
      <c r="K77" s="41">
        <v>0</v>
      </c>
      <c r="L77" s="41">
        <v>0</v>
      </c>
      <c r="M77" s="42">
        <v>0</v>
      </c>
      <c r="N77" s="41">
        <f>F77*G77</f>
        <v>72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f>SUM(I77:T77)</f>
        <v>72</v>
      </c>
    </row>
    <row r="78" spans="1:21" ht="12.75" customHeight="1">
      <c r="A78" s="73"/>
      <c r="B78" s="87" t="s">
        <v>130</v>
      </c>
      <c r="C78" s="73" t="s">
        <v>131</v>
      </c>
      <c r="D78" s="92"/>
      <c r="E78" s="62">
        <v>2566.6</v>
      </c>
      <c r="F78" s="62">
        <f>SUM(E78*12)</f>
        <v>30799.199999999997</v>
      </c>
      <c r="G78" s="93">
        <v>2.1</v>
      </c>
      <c r="H78" s="139">
        <f>SUM(F78*G78/1000)</f>
        <v>64.678319999999999</v>
      </c>
      <c r="I78" s="41">
        <f>F78/12*G78</f>
        <v>5389.86</v>
      </c>
      <c r="J78" s="41">
        <f>F78/12*G78</f>
        <v>5389.86</v>
      </c>
      <c r="K78" s="41">
        <f>F78/12*G78</f>
        <v>5389.86</v>
      </c>
      <c r="L78" s="41">
        <f>F78/12*G78</f>
        <v>5389.86</v>
      </c>
      <c r="M78" s="41">
        <f>F78/12*G78</f>
        <v>5389.86</v>
      </c>
      <c r="N78" s="41">
        <f>F78/12*G78</f>
        <v>5389.86</v>
      </c>
      <c r="O78" s="41">
        <f>F78/12*G78</f>
        <v>5389.86</v>
      </c>
      <c r="P78" s="41">
        <f>F78/12*G78</f>
        <v>5389.86</v>
      </c>
      <c r="Q78" s="41">
        <f>F78/12*G78</f>
        <v>5389.86</v>
      </c>
      <c r="R78" s="41">
        <f>F78/12*G78</f>
        <v>5389.86</v>
      </c>
      <c r="S78" s="41">
        <f>F78/12*G78</f>
        <v>5389.86</v>
      </c>
      <c r="T78" s="41">
        <f>F78/12*G78</f>
        <v>5389.86</v>
      </c>
      <c r="U78" s="41">
        <f>SUM(I78:T78)</f>
        <v>64678.32</v>
      </c>
    </row>
    <row r="79" spans="1:21" s="19" customFormat="1">
      <c r="A79" s="94"/>
      <c r="B79" s="20" t="s">
        <v>33</v>
      </c>
      <c r="C79" s="95"/>
      <c r="D79" s="96"/>
      <c r="E79" s="97"/>
      <c r="F79" s="53"/>
      <c r="G79" s="98"/>
      <c r="H79" s="54">
        <f>SUM(H77:H78)</f>
        <v>64.750320000000002</v>
      </c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>
        <f>SUM(U77:U78)</f>
        <v>64750.32</v>
      </c>
    </row>
    <row r="80" spans="1:21" ht="28.5" customHeight="1">
      <c r="A80" s="75"/>
      <c r="B80" s="8" t="s">
        <v>132</v>
      </c>
      <c r="C80" s="73"/>
      <c r="D80" s="99"/>
      <c r="E80" s="38">
        <f>E78</f>
        <v>2566.6</v>
      </c>
      <c r="F80" s="62">
        <f>E80*12</f>
        <v>30799.199999999997</v>
      </c>
      <c r="G80" s="62">
        <v>1.63</v>
      </c>
      <c r="H80" s="139">
        <f>F80*G80/1000</f>
        <v>50.202695999999989</v>
      </c>
      <c r="I80" s="41">
        <f>F80/12*G80</f>
        <v>4183.558</v>
      </c>
      <c r="J80" s="41">
        <f>F80/12*G80</f>
        <v>4183.558</v>
      </c>
      <c r="K80" s="41">
        <f>F80/12*G80</f>
        <v>4183.558</v>
      </c>
      <c r="L80" s="41">
        <f>F80/12*G80</f>
        <v>4183.558</v>
      </c>
      <c r="M80" s="41">
        <f>F80/12*G80</f>
        <v>4183.558</v>
      </c>
      <c r="N80" s="41">
        <f>F80/12*G80</f>
        <v>4183.558</v>
      </c>
      <c r="O80" s="41">
        <f>F80/12*G80</f>
        <v>4183.558</v>
      </c>
      <c r="P80" s="41">
        <f>F80/12*G80</f>
        <v>4183.558</v>
      </c>
      <c r="Q80" s="41">
        <f>F80/12*G80</f>
        <v>4183.558</v>
      </c>
      <c r="R80" s="41">
        <f>F80/12*G80</f>
        <v>4183.558</v>
      </c>
      <c r="S80" s="41">
        <f>F80/12*G80</f>
        <v>4183.558</v>
      </c>
      <c r="T80" s="41">
        <f>F80/12*G80</f>
        <v>4183.558</v>
      </c>
      <c r="U80" s="41">
        <f>SUM(I80:T80)</f>
        <v>50202.695999999989</v>
      </c>
    </row>
    <row r="81" spans="1:27" s="19" customFormat="1">
      <c r="A81" s="94"/>
      <c r="B81" s="100" t="s">
        <v>133</v>
      </c>
      <c r="C81" s="101"/>
      <c r="D81" s="100"/>
      <c r="E81" s="53"/>
      <c r="F81" s="53"/>
      <c r="G81" s="53"/>
      <c r="H81" s="86">
        <f>H80</f>
        <v>50.202695999999989</v>
      </c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147">
        <f>U80</f>
        <v>50202.695999999989</v>
      </c>
    </row>
    <row r="82" spans="1:27" s="19" customFormat="1">
      <c r="A82" s="94"/>
      <c r="B82" s="100" t="s">
        <v>134</v>
      </c>
      <c r="C82" s="102"/>
      <c r="D82" s="103"/>
      <c r="E82" s="104"/>
      <c r="F82" s="104"/>
      <c r="G82" s="104"/>
      <c r="H82" s="86">
        <f>SUM(H81+H79+H76+H54+H41+H31+H21)</f>
        <v>584.43518704103337</v>
      </c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47">
        <f>SUM(U81+U79+U76+U54+U41+U31+U21)*1.064</f>
        <v>582520.90922452824</v>
      </c>
      <c r="X82" s="159"/>
      <c r="Y82" s="159"/>
      <c r="Z82" s="159"/>
      <c r="AA82" s="159"/>
    </row>
    <row r="83" spans="1:27" s="135" customFormat="1" ht="50.25" customHeight="1">
      <c r="A83" s="133"/>
      <c r="B83" s="79"/>
      <c r="C83" s="73"/>
      <c r="D83" s="99"/>
      <c r="E83" s="62"/>
      <c r="F83" s="62"/>
      <c r="G83" s="62"/>
      <c r="H83" s="134"/>
      <c r="I83" s="62"/>
      <c r="J83" s="62"/>
      <c r="K83" s="62"/>
      <c r="L83" s="62"/>
      <c r="M83" s="62"/>
      <c r="N83" s="62"/>
      <c r="O83" s="62"/>
      <c r="P83" s="62"/>
      <c r="Q83" s="62"/>
      <c r="R83" s="158"/>
      <c r="S83" s="158"/>
      <c r="T83" s="158"/>
      <c r="U83" s="157" t="s">
        <v>207</v>
      </c>
    </row>
    <row r="84" spans="1:27">
      <c r="A84" s="155"/>
      <c r="B84" s="99" t="s">
        <v>135</v>
      </c>
      <c r="C84" s="73"/>
      <c r="D84" s="99"/>
      <c r="E84" s="62"/>
      <c r="F84" s="62"/>
      <c r="G84" s="62" t="s">
        <v>136</v>
      </c>
      <c r="H84" s="105">
        <f>E80</f>
        <v>2566.6</v>
      </c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</row>
    <row r="85" spans="1:27" s="19" customFormat="1">
      <c r="A85" s="94"/>
      <c r="B85" s="103" t="s">
        <v>137</v>
      </c>
      <c r="C85" s="102"/>
      <c r="D85" s="103"/>
      <c r="E85" s="104"/>
      <c r="F85" s="104"/>
      <c r="G85" s="104"/>
      <c r="H85" s="106">
        <f>SUM(H82/H84/12*1000)</f>
        <v>18.975661284742245</v>
      </c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48"/>
    </row>
    <row r="86" spans="1:27">
      <c r="A86" s="107"/>
      <c r="B86" s="99"/>
      <c r="C86" s="73"/>
      <c r="D86" s="99"/>
      <c r="E86" s="62"/>
      <c r="F86" s="62"/>
      <c r="G86" s="62"/>
      <c r="H86" s="108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149"/>
    </row>
    <row r="87" spans="1:27">
      <c r="A87" s="75"/>
      <c r="B87" s="79" t="s">
        <v>138</v>
      </c>
      <c r="C87" s="73"/>
      <c r="D87" s="99"/>
      <c r="E87" s="62"/>
      <c r="F87" s="62"/>
      <c r="G87" s="62"/>
      <c r="H87" s="62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</row>
    <row r="88" spans="1:27" ht="25.5">
      <c r="A88" s="26" t="s">
        <v>160</v>
      </c>
      <c r="B88" s="27" t="s">
        <v>159</v>
      </c>
      <c r="C88" s="28" t="s">
        <v>95</v>
      </c>
      <c r="D88" s="8"/>
      <c r="E88" s="45"/>
      <c r="F88" s="62">
        <v>9</v>
      </c>
      <c r="G88" s="62">
        <v>72.290000000000006</v>
      </c>
      <c r="H88" s="62">
        <f>SUM(G88*F88/1000)</f>
        <v>0.65061000000000002</v>
      </c>
      <c r="I88" s="109">
        <f>G88</f>
        <v>72.290000000000006</v>
      </c>
      <c r="J88" s="109">
        <f>G88</f>
        <v>72.290000000000006</v>
      </c>
      <c r="K88" s="109">
        <v>0</v>
      </c>
      <c r="L88" s="109">
        <f>G88*3</f>
        <v>216.87</v>
      </c>
      <c r="M88" s="109">
        <f>G88</f>
        <v>72.290000000000006</v>
      </c>
      <c r="N88" s="109">
        <f>G88</f>
        <v>72.290000000000006</v>
      </c>
      <c r="O88" s="109">
        <v>0</v>
      </c>
      <c r="P88" s="109">
        <v>0</v>
      </c>
      <c r="Q88" s="109">
        <v>0</v>
      </c>
      <c r="R88" s="109">
        <v>0</v>
      </c>
      <c r="S88" s="109">
        <f>G88</f>
        <v>72.290000000000006</v>
      </c>
      <c r="T88" s="109">
        <f>G88</f>
        <v>72.290000000000006</v>
      </c>
      <c r="U88" s="109">
        <f t="shared" ref="U88:U93" si="12">SUM(I88:T88)</f>
        <v>650.61</v>
      </c>
    </row>
    <row r="89" spans="1:27">
      <c r="A89" s="131" t="s">
        <v>187</v>
      </c>
      <c r="B89" s="132" t="s">
        <v>126</v>
      </c>
      <c r="C89" s="29" t="s">
        <v>188</v>
      </c>
      <c r="D89" s="8"/>
      <c r="E89" s="45"/>
      <c r="F89" s="62">
        <v>1</v>
      </c>
      <c r="G89" s="62">
        <v>16.45</v>
      </c>
      <c r="H89" s="139">
        <f t="shared" ref="H89:H95" si="13">G89*F89/1000</f>
        <v>1.6449999999999999E-2</v>
      </c>
      <c r="I89" s="109">
        <f>G89</f>
        <v>16.45</v>
      </c>
      <c r="J89" s="109">
        <v>0</v>
      </c>
      <c r="K89" s="109">
        <v>0</v>
      </c>
      <c r="L89" s="109">
        <v>0</v>
      </c>
      <c r="M89" s="109">
        <v>0</v>
      </c>
      <c r="N89" s="109">
        <v>0</v>
      </c>
      <c r="O89" s="109">
        <v>0</v>
      </c>
      <c r="P89" s="109">
        <v>0</v>
      </c>
      <c r="Q89" s="109">
        <v>0</v>
      </c>
      <c r="R89" s="109">
        <v>0</v>
      </c>
      <c r="S89" s="109">
        <v>0</v>
      </c>
      <c r="T89" s="109">
        <v>0</v>
      </c>
      <c r="U89" s="109">
        <f t="shared" si="12"/>
        <v>16.45</v>
      </c>
    </row>
    <row r="90" spans="1:27">
      <c r="A90" s="131" t="s">
        <v>189</v>
      </c>
      <c r="B90" s="132" t="s">
        <v>190</v>
      </c>
      <c r="C90" s="29" t="s">
        <v>191</v>
      </c>
      <c r="D90" s="8"/>
      <c r="E90" s="45"/>
      <c r="F90" s="62">
        <v>10</v>
      </c>
      <c r="G90" s="62">
        <v>1372</v>
      </c>
      <c r="H90" s="139">
        <f t="shared" si="13"/>
        <v>13.72</v>
      </c>
      <c r="I90" s="109">
        <v>0</v>
      </c>
      <c r="J90" s="109">
        <f>G90*2</f>
        <v>2744</v>
      </c>
      <c r="K90" s="109">
        <f>G90</f>
        <v>1372</v>
      </c>
      <c r="L90" s="109">
        <v>0</v>
      </c>
      <c r="M90" s="109">
        <v>0</v>
      </c>
      <c r="N90" s="109">
        <v>0</v>
      </c>
      <c r="O90" s="109">
        <v>0</v>
      </c>
      <c r="P90" s="109">
        <v>0</v>
      </c>
      <c r="Q90" s="109">
        <v>0</v>
      </c>
      <c r="R90" s="109">
        <v>0</v>
      </c>
      <c r="S90" s="109">
        <f>G90*3</f>
        <v>4116</v>
      </c>
      <c r="T90" s="109">
        <f>G90*4</f>
        <v>5488</v>
      </c>
      <c r="U90" s="109">
        <f t="shared" si="12"/>
        <v>13720</v>
      </c>
    </row>
    <row r="91" spans="1:27" ht="25.5">
      <c r="A91" s="26" t="s">
        <v>193</v>
      </c>
      <c r="B91" s="27" t="s">
        <v>192</v>
      </c>
      <c r="C91" s="28" t="s">
        <v>95</v>
      </c>
      <c r="D91" s="8"/>
      <c r="E91" s="45"/>
      <c r="F91" s="62">
        <v>1</v>
      </c>
      <c r="G91" s="62">
        <v>1992.08</v>
      </c>
      <c r="H91" s="139">
        <f t="shared" si="13"/>
        <v>1.9920799999999999</v>
      </c>
      <c r="I91" s="109">
        <v>0</v>
      </c>
      <c r="J91" s="109">
        <f>G91</f>
        <v>1992.08</v>
      </c>
      <c r="K91" s="109">
        <v>0</v>
      </c>
      <c r="L91" s="109">
        <v>0</v>
      </c>
      <c r="M91" s="109">
        <v>0</v>
      </c>
      <c r="N91" s="109">
        <v>0</v>
      </c>
      <c r="O91" s="109">
        <v>0</v>
      </c>
      <c r="P91" s="109">
        <v>0</v>
      </c>
      <c r="Q91" s="109">
        <v>0</v>
      </c>
      <c r="R91" s="109">
        <v>0</v>
      </c>
      <c r="S91" s="109">
        <v>0</v>
      </c>
      <c r="T91" s="109">
        <v>0</v>
      </c>
      <c r="U91" s="109">
        <f t="shared" si="12"/>
        <v>1992.08</v>
      </c>
    </row>
    <row r="92" spans="1:27" ht="25.5">
      <c r="A92" s="136" t="s">
        <v>189</v>
      </c>
      <c r="B92" s="137" t="s">
        <v>194</v>
      </c>
      <c r="C92" s="138" t="s">
        <v>195</v>
      </c>
      <c r="D92" s="8"/>
      <c r="E92" s="45"/>
      <c r="F92" s="62">
        <v>1</v>
      </c>
      <c r="G92" s="62">
        <v>1678.06</v>
      </c>
      <c r="H92" s="139">
        <f t="shared" si="13"/>
        <v>1.6780599999999999</v>
      </c>
      <c r="I92" s="109">
        <v>0</v>
      </c>
      <c r="J92" s="109">
        <f>G92</f>
        <v>1678.06</v>
      </c>
      <c r="K92" s="109">
        <v>0</v>
      </c>
      <c r="L92" s="109">
        <v>0</v>
      </c>
      <c r="M92" s="109">
        <v>0</v>
      </c>
      <c r="N92" s="109">
        <v>0</v>
      </c>
      <c r="O92" s="109">
        <v>0</v>
      </c>
      <c r="P92" s="109">
        <v>0</v>
      </c>
      <c r="Q92" s="109">
        <v>0</v>
      </c>
      <c r="R92" s="109">
        <v>0</v>
      </c>
      <c r="S92" s="109">
        <v>0</v>
      </c>
      <c r="T92" s="109">
        <v>0</v>
      </c>
      <c r="U92" s="109">
        <f t="shared" si="12"/>
        <v>1678.06</v>
      </c>
    </row>
    <row r="93" spans="1:27" ht="25.5">
      <c r="A93" s="131" t="s">
        <v>89</v>
      </c>
      <c r="B93" s="132" t="s">
        <v>202</v>
      </c>
      <c r="C93" s="131" t="s">
        <v>91</v>
      </c>
      <c r="D93" s="8"/>
      <c r="E93" s="45"/>
      <c r="F93" s="62">
        <v>0.03</v>
      </c>
      <c r="G93" s="62">
        <v>3105.72</v>
      </c>
      <c r="H93" s="141">
        <f t="shared" si="13"/>
        <v>9.3171599999999979E-2</v>
      </c>
      <c r="I93" s="109">
        <v>0</v>
      </c>
      <c r="J93" s="109">
        <v>0</v>
      </c>
      <c r="K93" s="109">
        <f>G93*0.01</f>
        <v>31.057199999999998</v>
      </c>
      <c r="L93" s="109">
        <v>0</v>
      </c>
      <c r="M93" s="109">
        <v>0</v>
      </c>
      <c r="N93" s="109">
        <v>0</v>
      </c>
      <c r="O93" s="109">
        <v>0</v>
      </c>
      <c r="P93" s="109">
        <v>0</v>
      </c>
      <c r="Q93" s="109">
        <v>0</v>
      </c>
      <c r="R93" s="109">
        <v>0</v>
      </c>
      <c r="S93" s="109">
        <v>0</v>
      </c>
      <c r="T93" s="109">
        <f>G93*0.02</f>
        <v>62.114399999999996</v>
      </c>
      <c r="U93" s="109">
        <f t="shared" si="12"/>
        <v>93.171599999999998</v>
      </c>
    </row>
    <row r="94" spans="1:27">
      <c r="A94" s="153" t="s">
        <v>204</v>
      </c>
      <c r="B94" s="154" t="s">
        <v>203</v>
      </c>
      <c r="C94" s="28" t="s">
        <v>95</v>
      </c>
      <c r="D94" s="8"/>
      <c r="E94" s="45"/>
      <c r="F94" s="62">
        <v>3</v>
      </c>
      <c r="G94" s="62">
        <v>277.95</v>
      </c>
      <c r="H94" s="152">
        <f t="shared" si="13"/>
        <v>0.83384999999999987</v>
      </c>
      <c r="I94" s="109">
        <v>0</v>
      </c>
      <c r="J94" s="109">
        <v>0</v>
      </c>
      <c r="K94" s="109">
        <v>0</v>
      </c>
      <c r="L94" s="109">
        <f>G94</f>
        <v>277.95</v>
      </c>
      <c r="M94" s="109">
        <f>G94</f>
        <v>277.95</v>
      </c>
      <c r="N94" s="109">
        <v>0</v>
      </c>
      <c r="O94" s="109">
        <f>G94</f>
        <v>277.95</v>
      </c>
      <c r="P94" s="109">
        <v>0</v>
      </c>
      <c r="Q94" s="109">
        <v>0</v>
      </c>
      <c r="R94" s="109">
        <v>0</v>
      </c>
      <c r="S94" s="109">
        <v>0</v>
      </c>
      <c r="T94" s="109">
        <v>0</v>
      </c>
      <c r="U94" s="109">
        <f>SUM(I94:T94)</f>
        <v>833.84999999999991</v>
      </c>
    </row>
    <row r="95" spans="1:27">
      <c r="A95" s="153"/>
      <c r="B95" s="154" t="s">
        <v>206</v>
      </c>
      <c r="C95" s="28" t="s">
        <v>48</v>
      </c>
      <c r="D95" s="8"/>
      <c r="E95" s="45"/>
      <c r="F95" s="62">
        <v>2</v>
      </c>
      <c r="G95" s="62">
        <v>4879</v>
      </c>
      <c r="H95" s="156">
        <f t="shared" si="13"/>
        <v>9.7579999999999991</v>
      </c>
      <c r="I95" s="109">
        <v>0</v>
      </c>
      <c r="J95" s="109">
        <v>0</v>
      </c>
      <c r="K95" s="109">
        <v>0</v>
      </c>
      <c r="L95" s="109">
        <v>0</v>
      </c>
      <c r="M95" s="109">
        <f>G95*2</f>
        <v>9758</v>
      </c>
      <c r="N95" s="109">
        <v>0</v>
      </c>
      <c r="O95" s="109">
        <v>0</v>
      </c>
      <c r="P95" s="109">
        <v>0</v>
      </c>
      <c r="Q95" s="109">
        <v>0</v>
      </c>
      <c r="R95" s="109">
        <v>0</v>
      </c>
      <c r="S95" s="109">
        <v>0</v>
      </c>
      <c r="T95" s="109">
        <v>0</v>
      </c>
      <c r="U95" s="109">
        <f>SUM(I95:T95)</f>
        <v>9758</v>
      </c>
    </row>
    <row r="96" spans="1:27">
      <c r="A96" s="153" t="s">
        <v>208</v>
      </c>
      <c r="B96" s="27" t="s">
        <v>209</v>
      </c>
      <c r="C96" s="28" t="s">
        <v>174</v>
      </c>
      <c r="D96" s="8"/>
      <c r="E96" s="45"/>
      <c r="F96" s="62">
        <v>1</v>
      </c>
      <c r="G96" s="62">
        <v>27710</v>
      </c>
      <c r="H96" s="156">
        <f>G96*F96/1000</f>
        <v>27.71</v>
      </c>
      <c r="I96" s="109">
        <v>0</v>
      </c>
      <c r="J96" s="109">
        <v>0</v>
      </c>
      <c r="K96" s="109">
        <v>0</v>
      </c>
      <c r="L96" s="109">
        <v>0</v>
      </c>
      <c r="M96" s="109">
        <v>0</v>
      </c>
      <c r="N96" s="109">
        <v>0</v>
      </c>
      <c r="O96" s="109">
        <v>0</v>
      </c>
      <c r="P96" s="109">
        <v>0</v>
      </c>
      <c r="Q96" s="109">
        <v>0</v>
      </c>
      <c r="R96" s="109">
        <f>G96</f>
        <v>27710</v>
      </c>
      <c r="S96" s="109">
        <v>0</v>
      </c>
      <c r="T96" s="109">
        <v>0</v>
      </c>
      <c r="U96" s="109">
        <f>SUM(I96:T96)</f>
        <v>27710</v>
      </c>
    </row>
    <row r="97" spans="1:21">
      <c r="A97" s="28" t="s">
        <v>218</v>
      </c>
      <c r="B97" s="27" t="s">
        <v>217</v>
      </c>
      <c r="C97" s="28" t="s">
        <v>95</v>
      </c>
      <c r="D97" s="8"/>
      <c r="E97" s="45"/>
      <c r="F97" s="62">
        <v>1</v>
      </c>
      <c r="G97" s="62">
        <v>115.26</v>
      </c>
      <c r="H97" s="156">
        <f>G97*F97/1000</f>
        <v>0.11526</v>
      </c>
      <c r="I97" s="109">
        <v>0</v>
      </c>
      <c r="J97" s="109">
        <v>0</v>
      </c>
      <c r="K97" s="109">
        <v>0</v>
      </c>
      <c r="L97" s="109">
        <v>0</v>
      </c>
      <c r="M97" s="109">
        <v>0</v>
      </c>
      <c r="N97" s="109">
        <v>0</v>
      </c>
      <c r="O97" s="109">
        <v>0</v>
      </c>
      <c r="P97" s="109">
        <v>0</v>
      </c>
      <c r="Q97" s="109">
        <v>0</v>
      </c>
      <c r="R97" s="109">
        <v>0</v>
      </c>
      <c r="S97" s="109">
        <v>0</v>
      </c>
      <c r="T97" s="109">
        <f>G97</f>
        <v>115.26</v>
      </c>
      <c r="U97" s="109">
        <f>SUM(I97:T97)</f>
        <v>115.26</v>
      </c>
    </row>
    <row r="98" spans="1:21" ht="25.5">
      <c r="A98" s="153" t="s">
        <v>220</v>
      </c>
      <c r="B98" s="27" t="s">
        <v>219</v>
      </c>
      <c r="C98" s="28" t="s">
        <v>95</v>
      </c>
      <c r="D98" s="8"/>
      <c r="E98" s="45"/>
      <c r="F98" s="62">
        <v>2</v>
      </c>
      <c r="G98" s="62">
        <v>167.91</v>
      </c>
      <c r="H98" s="156">
        <f>G98*F98/1000</f>
        <v>0.33582000000000001</v>
      </c>
      <c r="I98" s="109">
        <v>0</v>
      </c>
      <c r="J98" s="109">
        <v>0</v>
      </c>
      <c r="K98" s="109">
        <v>0</v>
      </c>
      <c r="L98" s="109">
        <v>0</v>
      </c>
      <c r="M98" s="109">
        <v>0</v>
      </c>
      <c r="N98" s="109">
        <v>0</v>
      </c>
      <c r="O98" s="109">
        <f>G98*2</f>
        <v>335.82</v>
      </c>
      <c r="P98" s="109">
        <v>0</v>
      </c>
      <c r="Q98" s="109">
        <v>0</v>
      </c>
      <c r="R98" s="109">
        <v>0</v>
      </c>
      <c r="S98" s="109">
        <v>0</v>
      </c>
      <c r="T98" s="109">
        <v>0</v>
      </c>
      <c r="U98" s="109">
        <f>SUM(I98:T98)</f>
        <v>335.82</v>
      </c>
    </row>
    <row r="99" spans="1:21" ht="25.5">
      <c r="A99" s="153" t="s">
        <v>221</v>
      </c>
      <c r="B99" s="27" t="s">
        <v>222</v>
      </c>
      <c r="C99" s="26" t="s">
        <v>124</v>
      </c>
      <c r="D99" s="8"/>
      <c r="E99" s="45"/>
      <c r="F99" s="62">
        <v>0.1</v>
      </c>
      <c r="G99" s="62">
        <v>8928.25</v>
      </c>
      <c r="H99" s="156">
        <f>G99*F99/1000</f>
        <v>0.89282500000000009</v>
      </c>
      <c r="I99" s="109">
        <v>0</v>
      </c>
      <c r="J99" s="109">
        <v>0</v>
      </c>
      <c r="K99" s="109">
        <v>0</v>
      </c>
      <c r="L99" s="109">
        <v>0</v>
      </c>
      <c r="M99" s="109">
        <v>0</v>
      </c>
      <c r="N99" s="109">
        <v>0</v>
      </c>
      <c r="O99" s="109">
        <v>0</v>
      </c>
      <c r="P99" s="109">
        <v>0</v>
      </c>
      <c r="Q99" s="109">
        <v>0</v>
      </c>
      <c r="R99" s="109">
        <v>0</v>
      </c>
      <c r="S99" s="109">
        <f>G99*0.1</f>
        <v>892.82500000000005</v>
      </c>
      <c r="T99" s="109">
        <v>0</v>
      </c>
      <c r="U99" s="109">
        <f>SUM(I99:T99)</f>
        <v>892.82500000000005</v>
      </c>
    </row>
    <row r="100" spans="1:21" ht="25.5">
      <c r="A100" s="28" t="s">
        <v>225</v>
      </c>
      <c r="B100" s="27" t="s">
        <v>223</v>
      </c>
      <c r="C100" s="28" t="s">
        <v>224</v>
      </c>
      <c r="D100" s="8"/>
      <c r="E100" s="45"/>
      <c r="F100" s="62">
        <v>1</v>
      </c>
      <c r="G100" s="62">
        <v>179.12</v>
      </c>
      <c r="H100" s="156">
        <f>G100*F100/1000</f>
        <v>0.17912</v>
      </c>
      <c r="I100" s="109">
        <v>0</v>
      </c>
      <c r="J100" s="109">
        <v>0</v>
      </c>
      <c r="K100" s="109">
        <v>0</v>
      </c>
      <c r="L100" s="109">
        <v>0</v>
      </c>
      <c r="M100" s="109">
        <v>0</v>
      </c>
      <c r="N100" s="109">
        <v>0</v>
      </c>
      <c r="O100" s="109">
        <v>0</v>
      </c>
      <c r="P100" s="109">
        <v>0</v>
      </c>
      <c r="Q100" s="109">
        <v>0</v>
      </c>
      <c r="R100" s="109">
        <v>0</v>
      </c>
      <c r="S100" s="109">
        <v>0</v>
      </c>
      <c r="T100" s="109">
        <f>G100</f>
        <v>179.12</v>
      </c>
      <c r="U100" s="109">
        <f>SUM(I100:T100)</f>
        <v>179.12</v>
      </c>
    </row>
    <row r="101" spans="1:21" ht="25.5">
      <c r="A101" s="28" t="s">
        <v>228</v>
      </c>
      <c r="B101" s="27" t="s">
        <v>226</v>
      </c>
      <c r="C101" s="26" t="s">
        <v>227</v>
      </c>
      <c r="D101" s="8"/>
      <c r="E101" s="45"/>
      <c r="F101" s="62">
        <v>1</v>
      </c>
      <c r="G101" s="62">
        <v>167.43</v>
      </c>
      <c r="H101" s="156">
        <f>G101*F101/1000</f>
        <v>0.16743</v>
      </c>
      <c r="I101" s="109">
        <v>0</v>
      </c>
      <c r="J101" s="109">
        <v>0</v>
      </c>
      <c r="K101" s="109">
        <v>0</v>
      </c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  <c r="R101" s="109">
        <v>0</v>
      </c>
      <c r="S101" s="109">
        <v>0</v>
      </c>
      <c r="T101" s="109">
        <f>G101</f>
        <v>167.43</v>
      </c>
      <c r="U101" s="109">
        <f>SUM(I101:T101)</f>
        <v>167.43</v>
      </c>
    </row>
    <row r="102" spans="1:21" s="19" customFormat="1">
      <c r="A102" s="110"/>
      <c r="B102" s="111" t="s">
        <v>139</v>
      </c>
      <c r="C102" s="110"/>
      <c r="D102" s="110"/>
      <c r="E102" s="104"/>
      <c r="F102" s="104"/>
      <c r="G102" s="104"/>
      <c r="H102" s="54">
        <f>SUM(H88:H101)</f>
        <v>58.142676600000001</v>
      </c>
      <c r="I102" s="104"/>
      <c r="J102" s="104"/>
      <c r="K102" s="104"/>
      <c r="L102" s="104"/>
      <c r="M102" s="104"/>
      <c r="N102" s="104"/>
      <c r="O102" s="104"/>
      <c r="P102" s="104"/>
      <c r="Q102" s="104"/>
      <c r="R102" s="104"/>
      <c r="S102" s="104"/>
      <c r="T102" s="104"/>
      <c r="U102" s="53">
        <f>SUM(U88:U101)</f>
        <v>58142.676600000006</v>
      </c>
    </row>
    <row r="103" spans="1:21">
      <c r="A103" s="107"/>
      <c r="B103" s="112"/>
      <c r="C103" s="113"/>
      <c r="D103" s="113"/>
      <c r="E103" s="62"/>
      <c r="F103" s="62"/>
      <c r="G103" s="62"/>
      <c r="H103" s="114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150"/>
    </row>
    <row r="104" spans="1:21" ht="12" customHeight="1">
      <c r="A104" s="75"/>
      <c r="B104" s="18" t="s">
        <v>140</v>
      </c>
      <c r="C104" s="73"/>
      <c r="D104" s="99"/>
      <c r="E104" s="62"/>
      <c r="F104" s="62"/>
      <c r="G104" s="62"/>
      <c r="H104" s="115">
        <f>H102/E105/12*1000</f>
        <v>1.8877982739811427</v>
      </c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150"/>
    </row>
    <row r="105" spans="1:21" s="19" customFormat="1">
      <c r="A105" s="94"/>
      <c r="B105" s="116" t="s">
        <v>141</v>
      </c>
      <c r="C105" s="117"/>
      <c r="D105" s="116"/>
      <c r="E105" s="118">
        <v>2566.6</v>
      </c>
      <c r="F105" s="119">
        <f>SUM(E105*12)</f>
        <v>30799.199999999997</v>
      </c>
      <c r="G105" s="120">
        <f>H85+H104</f>
        <v>20.863459558723388</v>
      </c>
      <c r="H105" s="121">
        <f>SUM(F105*G105/1000)</f>
        <v>642.57786364103333</v>
      </c>
      <c r="I105" s="104">
        <f t="shared" ref="I105:R105" si="14">SUM(I11:I104)</f>
        <v>55337.103331516664</v>
      </c>
      <c r="J105" s="104">
        <f t="shared" si="14"/>
        <v>44263.340649850004</v>
      </c>
      <c r="K105" s="104">
        <f t="shared" si="14"/>
        <v>44405.011113999797</v>
      </c>
      <c r="L105" s="104">
        <f t="shared" si="14"/>
        <v>56187.980481716666</v>
      </c>
      <c r="M105" s="104">
        <f t="shared" si="14"/>
        <v>113894.17733758889</v>
      </c>
      <c r="N105" s="104">
        <f t="shared" si="14"/>
        <v>32633.071735588888</v>
      </c>
      <c r="O105" s="104">
        <f t="shared" si="14"/>
        <v>31323.142199588889</v>
      </c>
      <c r="P105" s="104">
        <f t="shared" si="14"/>
        <v>30709.372199588888</v>
      </c>
      <c r="Q105" s="104">
        <f t="shared" si="14"/>
        <v>52491.300719788887</v>
      </c>
      <c r="R105" s="104">
        <f t="shared" si="14"/>
        <v>58495.622199588892</v>
      </c>
      <c r="S105" s="104">
        <f>SUM(S11:S104)</f>
        <v>41899.634441516668</v>
      </c>
      <c r="T105" s="104">
        <f>SUM(T11:T104)</f>
        <v>43984.977731516672</v>
      </c>
      <c r="U105" s="53">
        <f>U82+U102</f>
        <v>640663.58582452824</v>
      </c>
    </row>
    <row r="106" spans="1:21">
      <c r="A106" s="75"/>
      <c r="B106" s="75"/>
      <c r="C106" s="75"/>
      <c r="D106" s="75"/>
      <c r="E106" s="122"/>
      <c r="F106" s="122"/>
      <c r="G106" s="122"/>
      <c r="H106" s="122"/>
      <c r="I106" s="122"/>
      <c r="J106" s="122"/>
      <c r="K106" s="122"/>
      <c r="L106" s="122"/>
      <c r="M106" s="75"/>
      <c r="N106" s="122"/>
      <c r="O106" s="75"/>
      <c r="P106" s="75"/>
      <c r="Q106" s="75"/>
      <c r="R106" s="75"/>
      <c r="S106" s="75"/>
      <c r="T106" s="75"/>
      <c r="U106" s="75"/>
    </row>
    <row r="107" spans="1:21">
      <c r="A107" s="75"/>
      <c r="B107" s="75"/>
      <c r="C107" s="75"/>
      <c r="D107" s="75"/>
      <c r="E107" s="122"/>
      <c r="F107" s="122"/>
      <c r="G107" s="122"/>
      <c r="H107" s="122"/>
      <c r="I107" s="122"/>
      <c r="J107" s="123"/>
      <c r="K107" s="124"/>
      <c r="L107" s="123"/>
      <c r="M107" s="122"/>
      <c r="N107" s="75"/>
      <c r="O107" s="75"/>
      <c r="P107" s="75"/>
      <c r="Q107" s="75"/>
      <c r="R107" s="75"/>
      <c r="S107" s="75"/>
      <c r="T107" s="75"/>
      <c r="U107" s="75"/>
    </row>
    <row r="108" spans="1:21" ht="45">
      <c r="A108" s="75"/>
      <c r="B108" s="125" t="s">
        <v>185</v>
      </c>
      <c r="C108" s="172">
        <v>98143.46</v>
      </c>
      <c r="D108" s="161"/>
      <c r="E108" s="161"/>
      <c r="F108" s="162"/>
      <c r="G108" s="122"/>
      <c r="H108" s="122"/>
      <c r="I108" s="122"/>
      <c r="J108" s="123"/>
      <c r="K108" s="124"/>
      <c r="L108" s="123"/>
      <c r="M108" s="122"/>
      <c r="N108" s="75"/>
      <c r="O108" s="75"/>
      <c r="P108" s="75"/>
      <c r="Q108" s="75"/>
      <c r="R108" s="75"/>
      <c r="S108" s="75"/>
      <c r="T108" s="75"/>
      <c r="U108" s="75"/>
    </row>
    <row r="109" spans="1:21" ht="30">
      <c r="A109" s="75"/>
      <c r="B109" s="22" t="s">
        <v>211</v>
      </c>
      <c r="C109" s="163">
        <v>701878.68</v>
      </c>
      <c r="D109" s="164"/>
      <c r="E109" s="164"/>
      <c r="F109" s="165"/>
      <c r="G109" s="122"/>
      <c r="H109" s="122"/>
      <c r="I109" s="122"/>
      <c r="J109" s="123"/>
      <c r="K109" s="124"/>
      <c r="L109" s="123"/>
      <c r="M109" s="122"/>
      <c r="N109" s="75"/>
      <c r="O109" s="75"/>
      <c r="P109" s="75"/>
      <c r="Q109" s="75"/>
      <c r="R109" s="75"/>
      <c r="S109" s="75"/>
      <c r="T109" s="75"/>
      <c r="U109" s="75"/>
    </row>
    <row r="110" spans="1:21" ht="30">
      <c r="A110" s="75"/>
      <c r="B110" s="22" t="s">
        <v>212</v>
      </c>
      <c r="C110" s="163">
        <f>SUM(U105-U102)</f>
        <v>582520.90922452824</v>
      </c>
      <c r="D110" s="164"/>
      <c r="E110" s="164"/>
      <c r="F110" s="165"/>
      <c r="G110" s="122"/>
      <c r="H110" s="122"/>
      <c r="I110" s="122"/>
      <c r="J110" s="123"/>
      <c r="K110" s="124"/>
      <c r="L110" s="123"/>
      <c r="M110" s="122"/>
      <c r="N110" s="75"/>
      <c r="O110" s="75"/>
      <c r="P110" s="75"/>
      <c r="Q110" s="75"/>
      <c r="R110" s="75"/>
      <c r="S110" s="75"/>
      <c r="T110" s="75"/>
      <c r="U110" s="75"/>
    </row>
    <row r="111" spans="1:21" ht="30">
      <c r="A111" s="75"/>
      <c r="B111" s="22" t="s">
        <v>213</v>
      </c>
      <c r="C111" s="163">
        <f>SUM(U102)</f>
        <v>58142.676600000006</v>
      </c>
      <c r="D111" s="164"/>
      <c r="E111" s="164"/>
      <c r="F111" s="165"/>
      <c r="G111" s="122"/>
      <c r="H111" s="122"/>
      <c r="I111" s="122"/>
      <c r="J111" s="123"/>
      <c r="K111" s="124"/>
      <c r="L111" s="123"/>
      <c r="M111" s="122"/>
      <c r="N111" s="75"/>
      <c r="O111" s="75"/>
      <c r="P111" s="75"/>
      <c r="Q111" s="75"/>
      <c r="R111" s="75"/>
      <c r="S111" s="75"/>
      <c r="T111" s="75"/>
      <c r="U111" s="75"/>
    </row>
    <row r="112" spans="1:21" ht="18">
      <c r="A112" s="75"/>
      <c r="B112" s="140" t="s">
        <v>214</v>
      </c>
      <c r="C112" s="163">
        <v>719590.5</v>
      </c>
      <c r="D112" s="164"/>
      <c r="E112" s="164"/>
      <c r="F112" s="165"/>
      <c r="G112" s="75"/>
      <c r="H112" s="126" t="s">
        <v>149</v>
      </c>
      <c r="I112" s="127"/>
      <c r="J112" s="127"/>
      <c r="K112" s="128"/>
      <c r="L112" s="129"/>
      <c r="M112" s="126"/>
      <c r="N112" s="126"/>
      <c r="O112" s="75"/>
      <c r="P112" s="75"/>
      <c r="Q112" s="75"/>
      <c r="R112" s="75"/>
      <c r="S112" s="75"/>
      <c r="T112" s="75"/>
      <c r="U112" s="75"/>
    </row>
    <row r="113" spans="1:21" ht="69" customHeight="1">
      <c r="A113" s="75"/>
      <c r="B113" s="23" t="s">
        <v>215</v>
      </c>
      <c r="C113" s="166">
        <v>167616.78</v>
      </c>
      <c r="D113" s="167"/>
      <c r="E113" s="167"/>
      <c r="F113" s="168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</row>
    <row r="114" spans="1:21" ht="45">
      <c r="A114" s="75"/>
      <c r="B114" s="130" t="s">
        <v>216</v>
      </c>
      <c r="C114" s="160">
        <f>SUM(U105-C109)+C108</f>
        <v>36928.365824528199</v>
      </c>
      <c r="D114" s="161"/>
      <c r="E114" s="161"/>
      <c r="F114" s="162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</row>
    <row r="116" spans="1:21">
      <c r="J116" s="3"/>
      <c r="K116" s="4"/>
      <c r="L116" s="4"/>
      <c r="M116" s="2"/>
    </row>
    <row r="117" spans="1:21">
      <c r="G117" s="5"/>
      <c r="H117" s="5"/>
    </row>
    <row r="118" spans="1:21">
      <c r="G118" s="6"/>
    </row>
  </sheetData>
  <mergeCells count="12">
    <mergeCell ref="B3:L3"/>
    <mergeCell ref="B4:L4"/>
    <mergeCell ref="B5:L5"/>
    <mergeCell ref="B6:L6"/>
    <mergeCell ref="C108:F108"/>
    <mergeCell ref="X82:AA82"/>
    <mergeCell ref="C114:F114"/>
    <mergeCell ref="C109:F109"/>
    <mergeCell ref="C110:F110"/>
    <mergeCell ref="C111:F111"/>
    <mergeCell ref="C112:F112"/>
    <mergeCell ref="C113:F113"/>
  </mergeCells>
  <pageMargins left="0.31496062992125984" right="0.31496062992125984" top="0.15748031496062992" bottom="0.19685039370078741" header="0.15748031496062992" footer="0.15748031496062992"/>
  <pageSetup paperSize="9" scale="37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Шахт.,7</vt:lpstr>
      <vt:lpstr>'Шахт.,7'!Область_печати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Партнёр</dc:creator>
  <cp:lastModifiedBy>user</cp:lastModifiedBy>
  <dcterms:created xsi:type="dcterms:W3CDTF">2014-02-05T12:20:20Z</dcterms:created>
  <dcterms:modified xsi:type="dcterms:W3CDTF">2016-03-10T13:38:13Z</dcterms:modified>
</cp:coreProperties>
</file>