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8" sheetId="1" r:id="rId1"/>
  </sheets>
  <definedNames>
    <definedName name="_xlnm.Print_Area" localSheetId="0">Нефт.8!$A$1:$U$122</definedName>
  </definedNames>
  <calcPr calcId="124519"/>
</workbook>
</file>

<file path=xl/calcChain.xml><?xml version="1.0" encoding="utf-8"?>
<calcChain xmlns="http://schemas.openxmlformats.org/spreadsheetml/2006/main">
  <c r="S99" i="1"/>
  <c r="S109"/>
  <c r="U109" s="1"/>
  <c r="H109"/>
  <c r="T89"/>
  <c r="R95"/>
  <c r="T95"/>
  <c r="T73"/>
  <c r="T88"/>
  <c r="T104"/>
  <c r="S104"/>
  <c r="S62"/>
  <c r="T62"/>
  <c r="T106"/>
  <c r="U108"/>
  <c r="S108"/>
  <c r="H108"/>
  <c r="Q95"/>
  <c r="U107"/>
  <c r="O107"/>
  <c r="H107"/>
  <c r="O105"/>
  <c r="Q104"/>
  <c r="U106"/>
  <c r="Q106"/>
  <c r="H106"/>
  <c r="P99"/>
  <c r="P105"/>
  <c r="U105" s="1"/>
  <c r="R105"/>
  <c r="H105"/>
  <c r="R91"/>
  <c r="U104"/>
  <c r="U103"/>
  <c r="N104"/>
  <c r="N103"/>
  <c r="H104"/>
  <c r="H103"/>
  <c r="R92"/>
  <c r="U102"/>
  <c r="R102"/>
  <c r="H102"/>
  <c r="R73"/>
  <c r="U101"/>
  <c r="Q101"/>
  <c r="H101"/>
  <c r="R100"/>
  <c r="U100"/>
  <c r="H100"/>
  <c r="U99" l="1"/>
  <c r="U110" s="1"/>
  <c r="R99"/>
  <c r="H99"/>
  <c r="H110" s="1"/>
  <c r="R62"/>
  <c r="R63"/>
  <c r="P62"/>
  <c r="N62"/>
  <c r="Q63"/>
  <c r="Q62"/>
  <c r="O62"/>
  <c r="R88"/>
  <c r="P88"/>
  <c r="S95"/>
  <c r="O95"/>
  <c r="U98"/>
  <c r="T98"/>
  <c r="H98"/>
  <c r="T113"/>
  <c r="S113"/>
  <c r="U89"/>
  <c r="U88"/>
  <c r="U97"/>
  <c r="T80"/>
  <c r="S80"/>
  <c r="T78"/>
  <c r="S78"/>
  <c r="T59"/>
  <c r="S59"/>
  <c r="T56"/>
  <c r="S56"/>
  <c r="T55"/>
  <c r="S55"/>
  <c r="T48"/>
  <c r="T41"/>
  <c r="S41"/>
  <c r="T40"/>
  <c r="S40"/>
  <c r="T39"/>
  <c r="S39"/>
  <c r="T38"/>
  <c r="S38"/>
  <c r="T37"/>
  <c r="S37"/>
  <c r="T36"/>
  <c r="S36"/>
  <c r="T35"/>
  <c r="S35"/>
  <c r="T32"/>
  <c r="S32"/>
  <c r="T29"/>
  <c r="S29"/>
  <c r="T13"/>
  <c r="S13"/>
  <c r="T12"/>
  <c r="S12"/>
  <c r="R12"/>
  <c r="T11"/>
  <c r="S11"/>
  <c r="N97"/>
  <c r="H97"/>
  <c r="R113"/>
  <c r="Q113"/>
  <c r="P113"/>
  <c r="O113"/>
  <c r="N113"/>
  <c r="M113"/>
  <c r="R80"/>
  <c r="Q80"/>
  <c r="P80"/>
  <c r="O80"/>
  <c r="N80"/>
  <c r="M80"/>
  <c r="R78"/>
  <c r="Q78"/>
  <c r="P78"/>
  <c r="O78"/>
  <c r="N78"/>
  <c r="M78"/>
  <c r="N77"/>
  <c r="Q69"/>
  <c r="M68"/>
  <c r="M67"/>
  <c r="M66"/>
  <c r="M65"/>
  <c r="M64"/>
  <c r="R59"/>
  <c r="Q59"/>
  <c r="P59"/>
  <c r="O59"/>
  <c r="N59"/>
  <c r="M59"/>
  <c r="P52"/>
  <c r="L52"/>
  <c r="N51"/>
  <c r="N50"/>
  <c r="N49"/>
  <c r="Q48"/>
  <c r="M48"/>
  <c r="R47"/>
  <c r="R46"/>
  <c r="R45"/>
  <c r="R44"/>
  <c r="R32"/>
  <c r="Q32"/>
  <c r="P32"/>
  <c r="O32"/>
  <c r="N32"/>
  <c r="M32"/>
  <c r="R29"/>
  <c r="Q29"/>
  <c r="P29"/>
  <c r="O29"/>
  <c r="N29"/>
  <c r="M29"/>
  <c r="R28"/>
  <c r="Q28"/>
  <c r="P28"/>
  <c r="O28"/>
  <c r="N28"/>
  <c r="M28"/>
  <c r="R27"/>
  <c r="Q27"/>
  <c r="P27"/>
  <c r="O27"/>
  <c r="N27"/>
  <c r="M27"/>
  <c r="M26"/>
  <c r="R25"/>
  <c r="Q25"/>
  <c r="P25"/>
  <c r="O25"/>
  <c r="N25"/>
  <c r="M25"/>
  <c r="R24"/>
  <c r="Q24"/>
  <c r="P24"/>
  <c r="O24"/>
  <c r="N24"/>
  <c r="M24"/>
  <c r="N21"/>
  <c r="N20"/>
  <c r="N19"/>
  <c r="N18"/>
  <c r="N17"/>
  <c r="N16"/>
  <c r="N15"/>
  <c r="N14"/>
  <c r="R13"/>
  <c r="Q13"/>
  <c r="P13"/>
  <c r="O13"/>
  <c r="N13"/>
  <c r="M13"/>
  <c r="Q12"/>
  <c r="P12"/>
  <c r="O12"/>
  <c r="N12"/>
  <c r="M12"/>
  <c r="R11"/>
  <c r="Q11"/>
  <c r="P11"/>
  <c r="O11"/>
  <c r="N11"/>
  <c r="M11"/>
  <c r="M96"/>
  <c r="U96" s="1"/>
  <c r="H96"/>
  <c r="M93"/>
  <c r="M88"/>
  <c r="M62"/>
  <c r="L95"/>
  <c r="U95" s="1"/>
  <c r="H95"/>
  <c r="L88"/>
  <c r="L90"/>
  <c r="L89"/>
  <c r="L113"/>
  <c r="L80"/>
  <c r="L78"/>
  <c r="L59"/>
  <c r="L56"/>
  <c r="L55"/>
  <c r="L47"/>
  <c r="L46"/>
  <c r="L45"/>
  <c r="L44"/>
  <c r="L41"/>
  <c r="L40"/>
  <c r="L39"/>
  <c r="L38"/>
  <c r="L37"/>
  <c r="L36"/>
  <c r="L35"/>
  <c r="L32"/>
  <c r="L29"/>
  <c r="L13"/>
  <c r="L12"/>
  <c r="L11"/>
  <c r="K80"/>
  <c r="K78"/>
  <c r="K59"/>
  <c r="K56"/>
  <c r="K55"/>
  <c r="K41"/>
  <c r="K40"/>
  <c r="K39"/>
  <c r="K38"/>
  <c r="K37"/>
  <c r="K36"/>
  <c r="K35"/>
  <c r="K32"/>
  <c r="K29"/>
  <c r="K13"/>
  <c r="K12"/>
  <c r="K11"/>
  <c r="U94"/>
  <c r="K94"/>
  <c r="H94"/>
  <c r="U93"/>
  <c r="K93"/>
  <c r="H93"/>
  <c r="K62"/>
  <c r="F77"/>
  <c r="U77"/>
  <c r="H77"/>
  <c r="J91"/>
  <c r="I88"/>
  <c r="J88"/>
  <c r="J113"/>
  <c r="J80"/>
  <c r="J78"/>
  <c r="J59"/>
  <c r="F59"/>
  <c r="H59" s="1"/>
  <c r="J56"/>
  <c r="J55"/>
  <c r="J52"/>
  <c r="J48"/>
  <c r="J41"/>
  <c r="J40"/>
  <c r="J39"/>
  <c r="J38"/>
  <c r="J37"/>
  <c r="J36"/>
  <c r="J35"/>
  <c r="J32"/>
  <c r="J29"/>
  <c r="J13"/>
  <c r="J12"/>
  <c r="J11"/>
  <c r="I11"/>
  <c r="I80"/>
  <c r="I78"/>
  <c r="I59"/>
  <c r="I56"/>
  <c r="I55"/>
  <c r="I51"/>
  <c r="I50"/>
  <c r="I49"/>
  <c r="I48"/>
  <c r="I41"/>
  <c r="I40"/>
  <c r="I39"/>
  <c r="I38"/>
  <c r="I37"/>
  <c r="I36"/>
  <c r="I35"/>
  <c r="I32"/>
  <c r="I29"/>
  <c r="I13"/>
  <c r="I12"/>
  <c r="U80"/>
  <c r="U71"/>
  <c r="U56"/>
  <c r="U55"/>
  <c r="U50"/>
  <c r="U48"/>
  <c r="U47"/>
  <c r="U46"/>
  <c r="U45"/>
  <c r="U44"/>
  <c r="U41"/>
  <c r="U40"/>
  <c r="U39"/>
  <c r="U38"/>
  <c r="U37"/>
  <c r="U36"/>
  <c r="U35"/>
  <c r="U32"/>
  <c r="U31"/>
  <c r="U30"/>
  <c r="U29"/>
  <c r="U28"/>
  <c r="U27"/>
  <c r="U26"/>
  <c r="U25"/>
  <c r="U24"/>
  <c r="U21"/>
  <c r="U20"/>
  <c r="U19"/>
  <c r="U18"/>
  <c r="U17"/>
  <c r="U16"/>
  <c r="U15"/>
  <c r="U14"/>
  <c r="U13"/>
  <c r="U12"/>
  <c r="U11"/>
  <c r="U92"/>
  <c r="I92"/>
  <c r="H92"/>
  <c r="U90"/>
  <c r="I91"/>
  <c r="U91" s="1"/>
  <c r="H91"/>
  <c r="U75"/>
  <c r="U73"/>
  <c r="U72"/>
  <c r="U69"/>
  <c r="U68"/>
  <c r="U67"/>
  <c r="U66"/>
  <c r="U65"/>
  <c r="U64"/>
  <c r="U63"/>
  <c r="U60"/>
  <c r="U57"/>
  <c r="I90"/>
  <c r="I89"/>
  <c r="U62"/>
  <c r="U59"/>
  <c r="K113" l="1"/>
  <c r="U33"/>
  <c r="U42"/>
  <c r="F56"/>
  <c r="F39" l="1"/>
  <c r="F37"/>
  <c r="F36"/>
  <c r="H36" s="1"/>
  <c r="H90" l="1"/>
  <c r="H89"/>
  <c r="H88"/>
  <c r="H71"/>
  <c r="F60" l="1"/>
  <c r="H60" s="1"/>
  <c r="H56" l="1"/>
  <c r="F55" l="1"/>
  <c r="H28"/>
  <c r="F24" l="1"/>
  <c r="F21"/>
  <c r="F20"/>
  <c r="F19"/>
  <c r="F17"/>
  <c r="F16"/>
  <c r="F15"/>
  <c r="H57"/>
  <c r="F52" l="1"/>
  <c r="U52"/>
  <c r="U51" l="1"/>
  <c r="H20" l="1"/>
  <c r="H19"/>
  <c r="H55"/>
  <c r="H73" l="1"/>
  <c r="U49"/>
  <c r="C119" l="1"/>
  <c r="H112"/>
  <c r="F113"/>
  <c r="E80"/>
  <c r="H84" s="1"/>
  <c r="F78"/>
  <c r="H75"/>
  <c r="U76"/>
  <c r="H72"/>
  <c r="F69"/>
  <c r="H69" s="1"/>
  <c r="F68"/>
  <c r="H68" s="1"/>
  <c r="F67"/>
  <c r="H67" s="1"/>
  <c r="F66"/>
  <c r="H66" s="1"/>
  <c r="F65"/>
  <c r="H65" s="1"/>
  <c r="F64"/>
  <c r="H64" s="1"/>
  <c r="H63"/>
  <c r="H62"/>
  <c r="H52"/>
  <c r="H51"/>
  <c r="F50"/>
  <c r="H50" s="1"/>
  <c r="F49"/>
  <c r="H49" s="1"/>
  <c r="F48"/>
  <c r="F47"/>
  <c r="H47" s="1"/>
  <c r="F46"/>
  <c r="H46" s="1"/>
  <c r="F45"/>
  <c r="H45" s="1"/>
  <c r="F44"/>
  <c r="H44" s="1"/>
  <c r="H41"/>
  <c r="F40"/>
  <c r="H40" s="1"/>
  <c r="H39"/>
  <c r="F38"/>
  <c r="H38" s="1"/>
  <c r="H37"/>
  <c r="H35"/>
  <c r="F32"/>
  <c r="H32" s="1"/>
  <c r="H31"/>
  <c r="H30"/>
  <c r="F29"/>
  <c r="F26"/>
  <c r="H26" s="1"/>
  <c r="F25"/>
  <c r="H25" s="1"/>
  <c r="H24"/>
  <c r="H21"/>
  <c r="F18"/>
  <c r="H18" s="1"/>
  <c r="H17"/>
  <c r="F14"/>
  <c r="H14" s="1"/>
  <c r="E13"/>
  <c r="F13" s="1"/>
  <c r="F12"/>
  <c r="F11"/>
  <c r="H78" l="1"/>
  <c r="H29"/>
  <c r="H48"/>
  <c r="H11"/>
  <c r="H12"/>
  <c r="H16"/>
  <c r="H13"/>
  <c r="H15"/>
  <c r="H33"/>
  <c r="H79"/>
  <c r="H53"/>
  <c r="F80"/>
  <c r="H22"/>
  <c r="H42"/>
  <c r="H76"/>
  <c r="U53" l="1"/>
  <c r="U78"/>
  <c r="U79" s="1"/>
  <c r="U22"/>
  <c r="H80"/>
  <c r="H81" s="1"/>
  <c r="U81"/>
  <c r="H82"/>
  <c r="H85" s="1"/>
  <c r="G113" s="1"/>
  <c r="H113" s="1"/>
  <c r="U82" l="1"/>
  <c r="U113" s="1"/>
  <c r="I113"/>
  <c r="C122" l="1"/>
  <c r="C118"/>
</calcChain>
</file>

<file path=xl/sharedStrings.xml><?xml version="1.0" encoding="utf-8"?>
<sst xmlns="http://schemas.openxmlformats.org/spreadsheetml/2006/main" count="336" uniqueCount="245">
  <si>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</si>
  <si>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</si>
  <si>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</si>
  <si>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</si>
  <si>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</si>
  <si>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</si>
  <si>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</si>
  <si>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</si>
  <si>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</si>
  <si>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</si>
  <si>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</si>
  <si>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</si>
  <si>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</si>
  <si>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</si>
  <si>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</si>
  <si>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</si>
  <si>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</si>
  <si>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</si>
  <si>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</si>
  <si>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</si>
  <si>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</si>
  <si>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</si>
  <si>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</si>
  <si>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</si>
  <si>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</si>
  <si>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</si>
  <si>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</si>
  <si>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</si>
  <si>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</si>
  <si>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</si>
  <si>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</si>
  <si>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</si>
  <si>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</si>
  <si>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</si>
  <si>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</si>
  <si>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</si>
  <si>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</si>
  <si>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</si>
  <si>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</si>
  <si>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</si>
  <si>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</si>
  <si>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</si>
  <si>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</si>
  <si>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</si>
  <si>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</si>
  <si>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</si>
  <si>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</si>
  <si>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</si>
  <si>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</si>
  <si>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</si>
  <si>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</si>
  <si>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</si>
  <si>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</si>
  <si>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</si>
  <si>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</si>
  <si>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</si>
  <si>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</si>
  <si>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</si>
  <si>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</si>
  <si>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</si>
  <si>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</si>
  <si>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</si>
  <si>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</si>
  <si>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</si>
  <si>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</si>
  <si>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</si>
  <si>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</si>
  <si>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</si>
  <si>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</si>
  <si>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</si>
  <si>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</si>
  <si>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</si>
  <si>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</si>
  <si>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</si>
  <si>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</si>
  <si>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</si>
  <si>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</si>
  <si>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</si>
  <si>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</si>
  <si>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</si>
  <si>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</si>
  <si>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</si>
  <si>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</si>
  <si>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</si>
  <si>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</si>
  <si>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</si>
  <si>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</si>
  <si>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</si>
  <si>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</si>
  <si>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</si>
  <si>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</si>
  <si>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</si>
  <si>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</si>
  <si>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</si>
  <si>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</si>
  <si>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</si>
  <si>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</si>
  <si>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</si>
  <si>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</si>
  <si>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</si>
  <si>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ТЭР 51-034</t>
  </si>
  <si>
    <t>м2</t>
  </si>
  <si>
    <t>12 раз в год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</si>
  <si>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</si>
  <si>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</si>
  <si>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</si>
  <si>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</si>
  <si>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</si>
  <si>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</si>
  <si>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</si>
  <si>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</si>
  <si>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</si>
  <si>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</si>
  <si>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</si>
  <si>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</si>
  <si>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</si>
  <si>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</si>
  <si>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</si>
  <si>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</si>
  <si>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</si>
  <si>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</si>
  <si>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</si>
  <si>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</si>
  <si>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</si>
  <si>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</si>
  <si>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</si>
  <si>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</si>
  <si>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</si>
  <si>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</si>
  <si>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</si>
  <si>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</si>
  <si>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</si>
  <si>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</si>
  <si>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</si>
  <si>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</si>
  <si>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</si>
  <si>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</si>
  <si>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</si>
  <si>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</si>
  <si>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</si>
  <si>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</si>
  <si>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</si>
  <si>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</si>
  <si>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</si>
  <si>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</si>
  <si>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ТЭР42-002</t>
  </si>
  <si>
    <t>Осмотр рулонной  кровли</t>
  </si>
  <si>
    <t>ТЭР 31-066</t>
  </si>
  <si>
    <t>Очистка внутреннего водостока</t>
  </si>
  <si>
    <t>водосток</t>
  </si>
  <si>
    <t>Дератизация</t>
  </si>
  <si>
    <t>ТЭР 33-030</t>
  </si>
  <si>
    <t>Ремонт групповых щитков на лестничной клетке без ремонта автоматов</t>
  </si>
  <si>
    <t>калькуляция</t>
  </si>
  <si>
    <t>Ремонт и регулировка доводчика (без стоимости доводчика)</t>
  </si>
  <si>
    <t>Ремонт и регулировка доводчика (со стоимостью доводчика)</t>
  </si>
  <si>
    <t>ТЭР 51-020</t>
  </si>
  <si>
    <t>Влажная протирка подоконников</t>
  </si>
  <si>
    <t>ТЭР 51-022</t>
  </si>
  <si>
    <t>ТЭР 54-041 и 42</t>
  </si>
  <si>
    <t xml:space="preserve">6 раз за сезон </t>
  </si>
  <si>
    <t>прим.ТЭР54-041</t>
  </si>
  <si>
    <t>Очистка водостоков от наледи</t>
  </si>
  <si>
    <t>Очистка от мусора</t>
  </si>
  <si>
    <t>Влажная протирка шкафов для щитов и слаботочн.устройств</t>
  </si>
  <si>
    <t>2 раза в неделю 52 раза в сезон</t>
  </si>
  <si>
    <t>ТЭР 55-003</t>
  </si>
  <si>
    <t>Очистка урн от мусора</t>
  </si>
  <si>
    <t>155 раз в год</t>
  </si>
  <si>
    <t>ТЭР 33-019</t>
  </si>
  <si>
    <t>Смена ламп накаливания</t>
  </si>
  <si>
    <t>10 шт.</t>
  </si>
  <si>
    <t>12 раз за сезон</t>
  </si>
  <si>
    <t>Сдвигание снега в дни снегопада ( проезды)</t>
  </si>
  <si>
    <t>Сдвигание снега в дни снегопада ( крыльца, тротуары)</t>
  </si>
  <si>
    <t>30 раз за сезон</t>
  </si>
  <si>
    <t>24 раза за сезон</t>
  </si>
  <si>
    <t xml:space="preserve"> Очистка края кровли от слежавшегося снега со сбрасыванием сосулек (10% от S кровли) и козырьки</t>
  </si>
  <si>
    <t xml:space="preserve">Выполнение    январь  </t>
  </si>
  <si>
    <t>Выполнение   март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</si>
  <si>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</si>
  <si>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</si>
  <si>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</si>
  <si>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</si>
  <si>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</si>
  <si>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</si>
  <si>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</si>
  <si>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</si>
  <si>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ТЭР 33-023</t>
  </si>
  <si>
    <t>Смена светильников ( со стоим-ю светильника)</t>
  </si>
  <si>
    <t>С учетом показателя инфляции ( К=1,064)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</si>
  <si>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8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</si>
  <si>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8 подъездов</t>
  </si>
  <si>
    <t>Стоимость (руб.)</t>
  </si>
  <si>
    <t>договор</t>
  </si>
  <si>
    <t>ТО внутридомового газ.оборудования</t>
  </si>
  <si>
    <t>10 м</t>
  </si>
  <si>
    <t>Работа автовышки</t>
  </si>
  <si>
    <t>маш/час</t>
  </si>
  <si>
    <t>Ремонт металлических парапетных решеток</t>
  </si>
  <si>
    <t>1 м</t>
  </si>
  <si>
    <t>прим. ТЭР 17-032</t>
  </si>
  <si>
    <t>Подключение и отключение сварочного аппарата</t>
  </si>
  <si>
    <t>ТЭР 33-060</t>
  </si>
  <si>
    <t>Внеплановый осмотр электросетей, арматуры и электрооборудования на лестничных клетках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</si>
  <si>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</si>
  <si>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</si>
  <si>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ТЭР 17-011</t>
  </si>
  <si>
    <t>С учетом показателя инфляции     ( К=1,064)</t>
  </si>
  <si>
    <t>смета</t>
  </si>
  <si>
    <t>тыс. руб.</t>
  </si>
  <si>
    <t>Начислено за содержание и текущий ремонт за 2015  г.</t>
  </si>
  <si>
    <t>Выполнено работ по содержанию за 2015 г.</t>
  </si>
  <si>
    <t>Выполнено работ по текущему ремонту за   2015 г.</t>
  </si>
  <si>
    <t>Фактически оплачено за  2015 г.</t>
  </si>
  <si>
    <t>Просроченная задолженность по Вашему дому по статье "Содержание и текущий ремонт МКД" на конец декабря    2015 г., составляет:</t>
  </si>
  <si>
    <t>Баланс выполненных работ на 01.01.2016 г. ( -долг за предприятием, +долг за населением)</t>
  </si>
  <si>
    <t>Замена окон в подъездах ( без откосов)</t>
  </si>
  <si>
    <t>Выполне  ние       май</t>
  </si>
  <si>
    <t>Выполне ние   февраль</t>
  </si>
  <si>
    <t>Выполне ние    апрель</t>
  </si>
  <si>
    <t>Окраска наружной поверхности эл. щита</t>
  </si>
  <si>
    <t>Смена арматуры - вентилей и клапанов обратных муфтовых диаметром до 20 мм</t>
  </si>
  <si>
    <t>1 шт</t>
  </si>
  <si>
    <t>ТЭР 32-027</t>
  </si>
  <si>
    <t xml:space="preserve">прим.ТЭР 31-010 </t>
  </si>
  <si>
    <t>Смена тройника (25*15*25)</t>
  </si>
  <si>
    <t>Ремонт силового предохранительного шкафа (без стоимости материалов)</t>
  </si>
  <si>
    <t>ТЭР 33-032</t>
  </si>
  <si>
    <t>Q2-2-1-3-3</t>
  </si>
  <si>
    <t>Мелкий ремонт электропроводки</t>
  </si>
  <si>
    <t>Смена трубопроводов на металл-полимерные трубы д=15</t>
  </si>
  <si>
    <t>Смена трубопроводов на металл-полимерные трубы д=20</t>
  </si>
  <si>
    <t xml:space="preserve">Смена сгонов у трубопроводов диаметром до 20 мм </t>
  </si>
  <si>
    <t>1 сгон</t>
  </si>
  <si>
    <t>ТЭР 31-009</t>
  </si>
  <si>
    <t>место</t>
  </si>
  <si>
    <t>ТЭР 32-098</t>
  </si>
  <si>
    <t>Ремонт внутренних трубопроводов и стояков д=до 50 мм (хомуты)</t>
  </si>
  <si>
    <t>прим. ТЭР 32-083</t>
  </si>
  <si>
    <t>Смена полиэтиленовых канализационных труб диаметром до 100 мм (Замена ливневой трубы)</t>
  </si>
  <si>
    <t>Заделка подвальных окон фанерой</t>
  </si>
  <si>
    <t>ТЭР 11-013</t>
  </si>
  <si>
    <t>Разборка обшивки неоштукатуренной (для замены стояка)</t>
  </si>
  <si>
    <t>прим.ТЭР 12-048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</si>
</sst>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12" borderId="3" xfId="0" applyNumberFormat="1" applyFont="1" applyFill="1" applyBorder="1" applyAlignment="1" applyProtection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26"/>
  <sheetViews>
    <sheetView tabSelected="1" view="pageBreakPreview" zoomScale="96" zoomScaleNormal="75" zoomScaleSheetLayoutView="96" workbookViewId="0">
      <pane ySplit="7" topLeftCell="A118" activePane="bottomLeft" state="frozen"/>
      <selection activeCell="B1" sqref="B1"/>
      <selection pane="bottomLeft" activeCell="S101" sqref="S101"/>
    </sheetView>
  </sheetViews>
  <sheetFormatPr defaultRowHeight="12.75"/>
  <cols>
    <col min="1" max="1" width="12.42578125" customWidth="1"/>
    <col min="2" max="2" width="45.85546875" customWidth="1"/>
    <col min="3" max="3" width="11.8554687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5703125" customWidth="1"/>
    <col min="10" max="10" width="11.140625" customWidth="1"/>
    <col min="11" max="11" width="10.140625" customWidth="1"/>
    <col min="12" max="12" width="11.28515625" customWidth="1"/>
    <col min="13" max="13" width="11.5703125" customWidth="1"/>
    <col min="14" max="14" width="9.7109375" customWidth="1"/>
    <col min="15" max="16" width="10.140625" customWidth="1"/>
    <col min="17" max="17" width="10.42578125" customWidth="1"/>
    <col min="18" max="18" width="10" customWidth="1"/>
    <col min="19" max="19" width="10.140625" customWidth="1"/>
    <col min="20" max="20" width="10.28515625" customWidth="1"/>
    <col min="21" max="21" width="12.28515625" customWidth="1"/>
  </cols>
  <sheetData>
    <row r="1" spans="1:21" ht="14.25" customHeight="1"/>
    <row r="3" spans="1:21" ht="18">
      <c r="A3" s="149"/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27"/>
      <c r="N3" s="127"/>
      <c r="O3" s="127"/>
      <c r="P3" s="127"/>
      <c r="Q3" s="127"/>
      <c r="R3" s="127"/>
      <c r="S3" s="127"/>
      <c r="T3" s="127"/>
      <c r="U3" s="127"/>
    </row>
    <row r="4" spans="1:21" ht="36" customHeight="1">
      <c r="A4" s="127"/>
      <c r="B4" s="164" t="s">
        <v>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27"/>
      <c r="N4" s="127"/>
      <c r="O4" s="127"/>
      <c r="P4" s="127"/>
      <c r="Q4" s="127"/>
      <c r="R4" s="127"/>
      <c r="S4" s="127"/>
      <c r="T4" s="127"/>
      <c r="U4" s="127"/>
    </row>
    <row r="5" spans="1:21" ht="18">
      <c r="A5" s="127"/>
      <c r="B5" s="164" t="s">
        <v>191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27"/>
      <c r="N5" s="127"/>
      <c r="O5" s="127"/>
      <c r="P5" s="127"/>
      <c r="Q5" s="127"/>
      <c r="R5" s="127"/>
      <c r="S5" s="127"/>
      <c r="T5" s="127"/>
      <c r="U5" s="127"/>
    </row>
    <row r="6" spans="1:21" ht="14.25">
      <c r="A6" s="127"/>
      <c r="B6" s="165" t="s">
        <v>192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27"/>
      <c r="N6" s="127"/>
      <c r="O6" s="127"/>
      <c r="P6" s="127"/>
      <c r="Q6" s="127"/>
      <c r="R6" s="127"/>
      <c r="S6" s="127"/>
      <c r="T6" s="127"/>
      <c r="U6" s="127"/>
    </row>
    <row r="7" spans="1:21" ht="46.5" customHeight="1">
      <c r="A7" s="34" t="s">
        <v>2</v>
      </c>
      <c r="B7" s="34" t="s">
        <v>3</v>
      </c>
      <c r="C7" s="34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5" t="s">
        <v>9</v>
      </c>
      <c r="I7" s="33" t="s">
        <v>178</v>
      </c>
      <c r="J7" s="33" t="s">
        <v>219</v>
      </c>
      <c r="K7" s="33" t="s">
        <v>179</v>
      </c>
      <c r="L7" s="33" t="s">
        <v>220</v>
      </c>
      <c r="M7" s="33" t="s">
        <v>218</v>
      </c>
      <c r="N7" s="33" t="s">
        <v>180</v>
      </c>
      <c r="O7" s="33" t="s">
        <v>181</v>
      </c>
      <c r="P7" s="33" t="s">
        <v>182</v>
      </c>
      <c r="Q7" s="33" t="s">
        <v>183</v>
      </c>
      <c r="R7" s="33" t="s">
        <v>184</v>
      </c>
      <c r="S7" s="33" t="s">
        <v>185</v>
      </c>
      <c r="T7" s="33" t="s">
        <v>186</v>
      </c>
      <c r="U7" s="33" t="s">
        <v>193</v>
      </c>
    </row>
    <row r="8" spans="1:21">
      <c r="A8" s="36">
        <v>1</v>
      </c>
      <c r="B8" s="8">
        <v>2</v>
      </c>
      <c r="C8" s="36">
        <v>3</v>
      </c>
      <c r="D8" s="8">
        <v>4</v>
      </c>
      <c r="E8" s="8">
        <v>5</v>
      </c>
      <c r="F8" s="36">
        <v>6</v>
      </c>
      <c r="G8" s="36">
        <v>7</v>
      </c>
      <c r="H8" s="37">
        <v>8</v>
      </c>
      <c r="I8" s="38">
        <v>10</v>
      </c>
      <c r="J8" s="38">
        <v>11</v>
      </c>
      <c r="K8" s="38">
        <v>12</v>
      </c>
      <c r="L8" s="38">
        <v>13</v>
      </c>
      <c r="M8" s="39">
        <v>14</v>
      </c>
      <c r="N8" s="38">
        <v>15</v>
      </c>
      <c r="O8" s="38">
        <v>16</v>
      </c>
      <c r="P8" s="38">
        <v>17</v>
      </c>
      <c r="Q8" s="38">
        <v>18</v>
      </c>
      <c r="R8" s="38">
        <v>19</v>
      </c>
      <c r="S8" s="38">
        <v>20</v>
      </c>
      <c r="T8" s="38">
        <v>21</v>
      </c>
      <c r="U8" s="38">
        <v>22</v>
      </c>
    </row>
    <row r="9" spans="1:21" ht="38.25">
      <c r="A9" s="36"/>
      <c r="B9" s="10" t="s">
        <v>10</v>
      </c>
      <c r="C9" s="36"/>
      <c r="D9" s="11"/>
      <c r="E9" s="11"/>
      <c r="F9" s="36"/>
      <c r="G9" s="36"/>
      <c r="H9" s="40"/>
      <c r="I9" s="41"/>
      <c r="J9" s="41"/>
      <c r="K9" s="41"/>
      <c r="L9" s="41"/>
      <c r="M9" s="42"/>
      <c r="N9" s="43"/>
      <c r="O9" s="43"/>
      <c r="P9" s="43"/>
      <c r="Q9" s="43"/>
      <c r="R9" s="43"/>
      <c r="S9" s="43"/>
      <c r="T9" s="43"/>
      <c r="U9" s="43"/>
    </row>
    <row r="10" spans="1:21">
      <c r="A10" s="36"/>
      <c r="B10" s="10" t="s">
        <v>11</v>
      </c>
      <c r="C10" s="36"/>
      <c r="D10" s="11"/>
      <c r="E10" s="11"/>
      <c r="F10" s="36"/>
      <c r="G10" s="36"/>
      <c r="H10" s="40"/>
      <c r="I10" s="41"/>
      <c r="J10" s="41"/>
      <c r="K10" s="41"/>
      <c r="L10" s="41"/>
      <c r="M10" s="42"/>
      <c r="N10" s="43"/>
      <c r="O10" s="43"/>
      <c r="P10" s="43"/>
      <c r="Q10" s="43"/>
      <c r="R10" s="43"/>
      <c r="S10" s="43"/>
      <c r="T10" s="43"/>
      <c r="U10" s="43"/>
    </row>
    <row r="11" spans="1:21" ht="25.5">
      <c r="A11" s="36" t="s">
        <v>12</v>
      </c>
      <c r="B11" s="11" t="s">
        <v>13</v>
      </c>
      <c r="C11" s="36" t="s">
        <v>14</v>
      </c>
      <c r="D11" s="11" t="s">
        <v>15</v>
      </c>
      <c r="E11" s="44">
        <v>169.2</v>
      </c>
      <c r="F11" s="45">
        <f>SUM(E11*156/100)</f>
        <v>263.952</v>
      </c>
      <c r="G11" s="45">
        <v>175.38</v>
      </c>
      <c r="H11" s="46">
        <f t="shared" ref="H11:H21" si="0">SUM(F11*G11/1000)</f>
        <v>46.291901760000002</v>
      </c>
      <c r="I11" s="47">
        <f>F11/12*G11</f>
        <v>3857.6584799999996</v>
      </c>
      <c r="J11" s="47">
        <f>F11/12*G11</f>
        <v>3857.6584799999996</v>
      </c>
      <c r="K11" s="47">
        <f>F11/12*G11</f>
        <v>3857.6584799999996</v>
      </c>
      <c r="L11" s="47">
        <f>F11/12*G11</f>
        <v>3857.6584799999996</v>
      </c>
      <c r="M11" s="47">
        <f>F11/12*G11</f>
        <v>3857.6584799999996</v>
      </c>
      <c r="N11" s="47">
        <f>F11/12*G11</f>
        <v>3857.6584799999996</v>
      </c>
      <c r="O11" s="47">
        <f>F11/12*G11</f>
        <v>3857.6584799999996</v>
      </c>
      <c r="P11" s="47">
        <f>F11/12*G11</f>
        <v>3857.6584799999996</v>
      </c>
      <c r="Q11" s="47">
        <f>F11/12*G11</f>
        <v>3857.6584799999996</v>
      </c>
      <c r="R11" s="47">
        <f>F11/12*G11</f>
        <v>3857.6584799999996</v>
      </c>
      <c r="S11" s="47">
        <f>F11/12*G11</f>
        <v>3857.6584799999996</v>
      </c>
      <c r="T11" s="47">
        <f>F11/12*G11</f>
        <v>3857.6584799999996</v>
      </c>
      <c r="U11" s="47">
        <f t="shared" ref="U11:U21" si="1">SUM(I11:T11)</f>
        <v>46291.901759999986</v>
      </c>
    </row>
    <row r="12" spans="1:21" ht="25.5">
      <c r="A12" s="36" t="s">
        <v>12</v>
      </c>
      <c r="B12" s="11" t="s">
        <v>16</v>
      </c>
      <c r="C12" s="36" t="s">
        <v>14</v>
      </c>
      <c r="D12" s="11" t="s">
        <v>17</v>
      </c>
      <c r="E12" s="44">
        <v>676.6</v>
      </c>
      <c r="F12" s="45">
        <f>SUM(E12*104/100)</f>
        <v>703.6640000000001</v>
      </c>
      <c r="G12" s="45">
        <v>175.38</v>
      </c>
      <c r="H12" s="46">
        <f t="shared" si="0"/>
        <v>123.40859232000001</v>
      </c>
      <c r="I12" s="47">
        <f>F12/12*G12</f>
        <v>10284.049360000001</v>
      </c>
      <c r="J12" s="47">
        <f>F12/12*G12</f>
        <v>10284.049360000001</v>
      </c>
      <c r="K12" s="47">
        <f>F12/12*G12</f>
        <v>10284.049360000001</v>
      </c>
      <c r="L12" s="47">
        <f>F12/12*G12</f>
        <v>10284.049360000001</v>
      </c>
      <c r="M12" s="47">
        <f>F12/12*G12</f>
        <v>10284.049360000001</v>
      </c>
      <c r="N12" s="47">
        <f>F12/12*G12</f>
        <v>10284.049360000001</v>
      </c>
      <c r="O12" s="47">
        <f>F12/12*G12</f>
        <v>10284.049360000001</v>
      </c>
      <c r="P12" s="47">
        <f>F12/12*G12</f>
        <v>10284.049360000001</v>
      </c>
      <c r="Q12" s="47">
        <f>F12/12*G12</f>
        <v>10284.049360000001</v>
      </c>
      <c r="R12" s="47">
        <f>F12/12*G12</f>
        <v>10284.049360000001</v>
      </c>
      <c r="S12" s="47">
        <f>F12/12*G12</f>
        <v>10284.049360000001</v>
      </c>
      <c r="T12" s="47">
        <f>F12/12*G12</f>
        <v>10284.049360000001</v>
      </c>
      <c r="U12" s="47">
        <f t="shared" si="1"/>
        <v>123408.59232000004</v>
      </c>
    </row>
    <row r="13" spans="1:21" ht="25.5">
      <c r="A13" s="36" t="s">
        <v>18</v>
      </c>
      <c r="B13" s="11" t="s">
        <v>19</v>
      </c>
      <c r="C13" s="36" t="s">
        <v>14</v>
      </c>
      <c r="D13" s="11" t="s">
        <v>20</v>
      </c>
      <c r="E13" s="44">
        <f>SUM(E11+E12)</f>
        <v>845.8</v>
      </c>
      <c r="F13" s="45">
        <f>SUM(E13*24/100)</f>
        <v>202.99199999999996</v>
      </c>
      <c r="G13" s="45">
        <v>504.5</v>
      </c>
      <c r="H13" s="46">
        <f t="shared" si="0"/>
        <v>102.40946399999997</v>
      </c>
      <c r="I13" s="47">
        <f>F13/12*G13</f>
        <v>8534.1219999999976</v>
      </c>
      <c r="J13" s="47">
        <f>F13/12*G13</f>
        <v>8534.1219999999976</v>
      </c>
      <c r="K13" s="47">
        <f>F13/12*G13</f>
        <v>8534.1219999999976</v>
      </c>
      <c r="L13" s="47">
        <f>F13/12*G13</f>
        <v>8534.1219999999976</v>
      </c>
      <c r="M13" s="47">
        <f>F13/12*G13</f>
        <v>8534.1219999999976</v>
      </c>
      <c r="N13" s="47">
        <f>F13/12*G13</f>
        <v>8534.1219999999976</v>
      </c>
      <c r="O13" s="47">
        <f>F13/12*G13</f>
        <v>8534.1219999999976</v>
      </c>
      <c r="P13" s="47">
        <f>F13/12*G13</f>
        <v>8534.1219999999976</v>
      </c>
      <c r="Q13" s="47">
        <f>F13/12*G13</f>
        <v>8534.1219999999976</v>
      </c>
      <c r="R13" s="47">
        <f>F13/12*G13</f>
        <v>8534.1219999999976</v>
      </c>
      <c r="S13" s="47">
        <f>F13/12*G13</f>
        <v>8534.1219999999976</v>
      </c>
      <c r="T13" s="47">
        <f>F13/12*G13</f>
        <v>8534.1219999999976</v>
      </c>
      <c r="U13" s="47">
        <f t="shared" si="1"/>
        <v>102409.46399999999</v>
      </c>
    </row>
    <row r="14" spans="1:21">
      <c r="A14" s="36" t="s">
        <v>21</v>
      </c>
      <c r="B14" s="11" t="s">
        <v>22</v>
      </c>
      <c r="C14" s="36" t="s">
        <v>23</v>
      </c>
      <c r="D14" s="11" t="s">
        <v>138</v>
      </c>
      <c r="E14" s="44">
        <v>51.2</v>
      </c>
      <c r="F14" s="45">
        <f>SUM(E14/10)</f>
        <v>5.12</v>
      </c>
      <c r="G14" s="45">
        <v>170.16</v>
      </c>
      <c r="H14" s="46">
        <f t="shared" si="0"/>
        <v>0.87121919999999997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2">F14*G14</f>
        <v>871.2192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f t="shared" si="1"/>
        <v>871.2192</v>
      </c>
    </row>
    <row r="15" spans="1:21">
      <c r="A15" s="36" t="s">
        <v>24</v>
      </c>
      <c r="B15" s="11" t="s">
        <v>25</v>
      </c>
      <c r="C15" s="36" t="s">
        <v>14</v>
      </c>
      <c r="D15" s="11" t="s">
        <v>45</v>
      </c>
      <c r="E15" s="44">
        <v>57.5</v>
      </c>
      <c r="F15" s="45">
        <f>SUM(E15/100)</f>
        <v>0.57499999999999996</v>
      </c>
      <c r="G15" s="45">
        <v>217.88</v>
      </c>
      <c r="H15" s="46">
        <f t="shared" si="0"/>
        <v>0.125281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125.28099999999999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f t="shared" si="1"/>
        <v>125.28099999999999</v>
      </c>
    </row>
    <row r="16" spans="1:21">
      <c r="A16" s="36" t="s">
        <v>26</v>
      </c>
      <c r="B16" s="11" t="s">
        <v>27</v>
      </c>
      <c r="C16" s="36" t="s">
        <v>14</v>
      </c>
      <c r="D16" s="11" t="s">
        <v>45</v>
      </c>
      <c r="E16" s="44">
        <v>13.41</v>
      </c>
      <c r="F16" s="45">
        <f>SUM(E16/100)</f>
        <v>0.1341</v>
      </c>
      <c r="G16" s="45">
        <v>216.12</v>
      </c>
      <c r="H16" s="46">
        <f t="shared" si="0"/>
        <v>2.8981692E-2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28.981691999999999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f t="shared" si="1"/>
        <v>28.981691999999999</v>
      </c>
    </row>
    <row r="17" spans="1:21">
      <c r="A17" s="36" t="s">
        <v>28</v>
      </c>
      <c r="B17" s="11" t="s">
        <v>29</v>
      </c>
      <c r="C17" s="36" t="s">
        <v>30</v>
      </c>
      <c r="D17" s="11" t="s">
        <v>138</v>
      </c>
      <c r="E17" s="44">
        <v>1025.5999999999999</v>
      </c>
      <c r="F17" s="45">
        <f>SUM(E17/100)</f>
        <v>10.255999999999998</v>
      </c>
      <c r="G17" s="45">
        <v>269.26</v>
      </c>
      <c r="H17" s="46">
        <f t="shared" si="0"/>
        <v>2.7615305599999997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2761.5305599999997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f t="shared" si="1"/>
        <v>2761.5305599999997</v>
      </c>
    </row>
    <row r="18" spans="1:21">
      <c r="A18" s="36" t="s">
        <v>31</v>
      </c>
      <c r="B18" s="11" t="s">
        <v>32</v>
      </c>
      <c r="C18" s="36" t="s">
        <v>30</v>
      </c>
      <c r="D18" s="11" t="s">
        <v>138</v>
      </c>
      <c r="E18" s="49">
        <v>60.5</v>
      </c>
      <c r="F18" s="45">
        <f>SUM(E18/100)</f>
        <v>0.60499999999999998</v>
      </c>
      <c r="G18" s="45">
        <v>44.29</v>
      </c>
      <c r="H18" s="46">
        <f t="shared" si="0"/>
        <v>2.6795449999999998E-2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26.795449999999999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f t="shared" si="1"/>
        <v>26.795449999999999</v>
      </c>
    </row>
    <row r="19" spans="1:21">
      <c r="A19" s="36" t="s">
        <v>156</v>
      </c>
      <c r="B19" s="11" t="s">
        <v>157</v>
      </c>
      <c r="C19" s="36" t="s">
        <v>30</v>
      </c>
      <c r="D19" s="11" t="s">
        <v>45</v>
      </c>
      <c r="E19" s="50">
        <v>19.149999999999999</v>
      </c>
      <c r="F19" s="45">
        <f>E19/100</f>
        <v>0.19149999999999998</v>
      </c>
      <c r="G19" s="45">
        <v>389.42</v>
      </c>
      <c r="H19" s="46">
        <f>G19*F19/100</f>
        <v>0.74573929999999988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74.57392999999999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f t="shared" si="1"/>
        <v>74.57392999999999</v>
      </c>
    </row>
    <row r="20" spans="1:21" ht="25.5">
      <c r="A20" s="36" t="s">
        <v>158</v>
      </c>
      <c r="B20" s="11" t="s">
        <v>164</v>
      </c>
      <c r="C20" s="36" t="s">
        <v>30</v>
      </c>
      <c r="D20" s="11" t="s">
        <v>45</v>
      </c>
      <c r="E20" s="51">
        <v>31.5</v>
      </c>
      <c r="F20" s="45">
        <f>E20/100</f>
        <v>0.315</v>
      </c>
      <c r="G20" s="45">
        <v>216.12</v>
      </c>
      <c r="H20" s="46">
        <f>G20*F20/1000</f>
        <v>6.8077799999999994E-2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68.077799999999996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f t="shared" si="1"/>
        <v>68.077799999999996</v>
      </c>
    </row>
    <row r="21" spans="1:21">
      <c r="A21" s="36" t="s">
        <v>33</v>
      </c>
      <c r="B21" s="11" t="s">
        <v>34</v>
      </c>
      <c r="C21" s="36" t="s">
        <v>30</v>
      </c>
      <c r="D21" s="11" t="s">
        <v>45</v>
      </c>
      <c r="E21" s="44">
        <v>37.5</v>
      </c>
      <c r="F21" s="45">
        <f>SUM(E21/100)</f>
        <v>0.375</v>
      </c>
      <c r="G21" s="45">
        <v>520.79999999999995</v>
      </c>
      <c r="H21" s="46">
        <f t="shared" si="0"/>
        <v>0.19529999999999997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195.29999999999998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f t="shared" si="1"/>
        <v>195.29999999999998</v>
      </c>
    </row>
    <row r="22" spans="1:21" s="19" customFormat="1">
      <c r="A22" s="52"/>
      <c r="B22" s="20" t="s">
        <v>35</v>
      </c>
      <c r="C22" s="53"/>
      <c r="D22" s="20"/>
      <c r="E22" s="54"/>
      <c r="F22" s="55"/>
      <c r="G22" s="55"/>
      <c r="H22" s="56">
        <f>SUM(H11:H21)</f>
        <v>276.93288308199993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>
        <f>SUM(U11:U21)</f>
        <v>276261.71771200001</v>
      </c>
    </row>
    <row r="23" spans="1:21">
      <c r="A23" s="36"/>
      <c r="B23" s="12" t="s">
        <v>36</v>
      </c>
      <c r="C23" s="36"/>
      <c r="D23" s="11"/>
      <c r="E23" s="44"/>
      <c r="F23" s="45"/>
      <c r="G23" s="45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 ht="25.5" customHeight="1">
      <c r="A24" s="36" t="s">
        <v>37</v>
      </c>
      <c r="B24" s="11" t="s">
        <v>38</v>
      </c>
      <c r="C24" s="36" t="s">
        <v>41</v>
      </c>
      <c r="D24" s="11" t="s">
        <v>165</v>
      </c>
      <c r="E24" s="45">
        <v>900.1</v>
      </c>
      <c r="F24" s="45">
        <f>SUM(E24*52/1000)</f>
        <v>46.805200000000006</v>
      </c>
      <c r="G24" s="45">
        <v>155.88999999999999</v>
      </c>
      <c r="H24" s="46">
        <f t="shared" ref="H24:H32" si="3">SUM(F24*G24/1000)</f>
        <v>7.2964626280000004</v>
      </c>
      <c r="I24" s="47">
        <v>0</v>
      </c>
      <c r="J24" s="47">
        <v>0</v>
      </c>
      <c r="K24" s="47">
        <v>0</v>
      </c>
      <c r="L24" s="47">
        <v>0</v>
      </c>
      <c r="M24" s="47">
        <f>F24/6*G24</f>
        <v>1216.0771046666666</v>
      </c>
      <c r="N24" s="47">
        <f>F24/6*G24</f>
        <v>1216.0771046666666</v>
      </c>
      <c r="O24" s="47">
        <f>F24/6*G24</f>
        <v>1216.0771046666666</v>
      </c>
      <c r="P24" s="47">
        <f>F24/6*G24</f>
        <v>1216.0771046666666</v>
      </c>
      <c r="Q24" s="47">
        <f>F24/6*G24</f>
        <v>1216.0771046666666</v>
      </c>
      <c r="R24" s="47">
        <f>F24/6*G24</f>
        <v>1216.0771046666666</v>
      </c>
      <c r="S24" s="47">
        <v>0</v>
      </c>
      <c r="T24" s="47">
        <v>0</v>
      </c>
      <c r="U24" s="47">
        <f t="shared" ref="U24:U32" si="4">SUM(I24:T24)</f>
        <v>7296.4626280000002</v>
      </c>
    </row>
    <row r="25" spans="1:21" ht="38.25" customHeight="1">
      <c r="A25" s="36" t="s">
        <v>39</v>
      </c>
      <c r="B25" s="11" t="s">
        <v>40</v>
      </c>
      <c r="C25" s="36" t="s">
        <v>41</v>
      </c>
      <c r="D25" s="11" t="s">
        <v>42</v>
      </c>
      <c r="E25" s="45">
        <v>289.39999999999998</v>
      </c>
      <c r="F25" s="45">
        <f>SUM(E25*78/1000)</f>
        <v>22.573199999999996</v>
      </c>
      <c r="G25" s="45">
        <v>258.63</v>
      </c>
      <c r="H25" s="46">
        <f t="shared" si="3"/>
        <v>5.8381067159999995</v>
      </c>
      <c r="I25" s="47">
        <v>0</v>
      </c>
      <c r="J25" s="47">
        <v>0</v>
      </c>
      <c r="K25" s="47">
        <v>0</v>
      </c>
      <c r="L25" s="47">
        <v>0</v>
      </c>
      <c r="M25" s="47">
        <f>F25/6*G25</f>
        <v>973.01778599999989</v>
      </c>
      <c r="N25" s="47">
        <f>F25/6*G25</f>
        <v>973.01778599999989</v>
      </c>
      <c r="O25" s="47">
        <f>F25/6*G25</f>
        <v>973.01778599999989</v>
      </c>
      <c r="P25" s="47">
        <f>F25/6*G25</f>
        <v>973.01778599999989</v>
      </c>
      <c r="Q25" s="47">
        <f>F25/6*G25</f>
        <v>973.01778599999989</v>
      </c>
      <c r="R25" s="47">
        <f>F25/6*G25</f>
        <v>973.01778599999989</v>
      </c>
      <c r="S25" s="47">
        <v>0</v>
      </c>
      <c r="T25" s="47">
        <v>0</v>
      </c>
      <c r="U25" s="47">
        <f t="shared" si="4"/>
        <v>5838.1067160000002</v>
      </c>
    </row>
    <row r="26" spans="1:21">
      <c r="A26" s="36" t="s">
        <v>43</v>
      </c>
      <c r="B26" s="11" t="s">
        <v>44</v>
      </c>
      <c r="C26" s="36" t="s">
        <v>41</v>
      </c>
      <c r="D26" s="11" t="s">
        <v>45</v>
      </c>
      <c r="E26" s="45">
        <v>900.1</v>
      </c>
      <c r="F26" s="45">
        <f>SUM(E26/1000)</f>
        <v>0.90010000000000001</v>
      </c>
      <c r="G26" s="45">
        <v>3020.33</v>
      </c>
      <c r="H26" s="46">
        <f t="shared" si="3"/>
        <v>2.7185990329999998</v>
      </c>
      <c r="I26" s="47">
        <v>0</v>
      </c>
      <c r="J26" s="47">
        <v>0</v>
      </c>
      <c r="K26" s="47">
        <v>0</v>
      </c>
      <c r="L26" s="47">
        <v>0</v>
      </c>
      <c r="M26" s="47">
        <f>F26*G26</f>
        <v>2718.599033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f t="shared" si="4"/>
        <v>2718.599033</v>
      </c>
    </row>
    <row r="27" spans="1:21">
      <c r="A27" s="36" t="s">
        <v>166</v>
      </c>
      <c r="B27" s="11" t="s">
        <v>167</v>
      </c>
      <c r="C27" s="36" t="s">
        <v>94</v>
      </c>
      <c r="D27" s="11" t="s">
        <v>168</v>
      </c>
      <c r="E27" s="45">
        <v>8</v>
      </c>
      <c r="F27" s="45">
        <v>12.4</v>
      </c>
      <c r="G27" s="45">
        <v>1302.02</v>
      </c>
      <c r="H27" s="46">
        <v>16.145</v>
      </c>
      <c r="I27" s="47">
        <v>0</v>
      </c>
      <c r="J27" s="47">
        <v>0</v>
      </c>
      <c r="K27" s="47">
        <v>0</v>
      </c>
      <c r="L27" s="47">
        <v>0</v>
      </c>
      <c r="M27" s="47">
        <f>F27/6*G27</f>
        <v>2690.8413333333338</v>
      </c>
      <c r="N27" s="47">
        <f>F27/6*G27</f>
        <v>2690.8413333333338</v>
      </c>
      <c r="O27" s="47">
        <f>F27/6*G27</f>
        <v>2690.8413333333338</v>
      </c>
      <c r="P27" s="47">
        <f>F27/6*G27</f>
        <v>2690.8413333333338</v>
      </c>
      <c r="Q27" s="47">
        <f>F27/6*G27</f>
        <v>2690.8413333333338</v>
      </c>
      <c r="R27" s="47">
        <f>F27/6*G27</f>
        <v>2690.8413333333338</v>
      </c>
      <c r="S27" s="47">
        <v>0</v>
      </c>
      <c r="T27" s="47">
        <v>0</v>
      </c>
      <c r="U27" s="47">
        <f t="shared" si="4"/>
        <v>16145.048000000003</v>
      </c>
    </row>
    <row r="28" spans="1:21">
      <c r="A28" s="36" t="s">
        <v>46</v>
      </c>
      <c r="B28" s="11" t="s">
        <v>47</v>
      </c>
      <c r="C28" s="36" t="s">
        <v>48</v>
      </c>
      <c r="D28" s="11" t="s">
        <v>49</v>
      </c>
      <c r="E28" s="59">
        <v>0.33</v>
      </c>
      <c r="F28" s="45">
        <v>51.666666666666664</v>
      </c>
      <c r="G28" s="45">
        <v>56.69</v>
      </c>
      <c r="H28" s="46">
        <f>SUM(G28*155/3/1000)</f>
        <v>2.9289833333333331</v>
      </c>
      <c r="I28" s="47">
        <v>0</v>
      </c>
      <c r="J28" s="47">
        <v>0</v>
      </c>
      <c r="K28" s="47">
        <v>0</v>
      </c>
      <c r="L28" s="47">
        <v>0</v>
      </c>
      <c r="M28" s="47">
        <f>F28/6*G28</f>
        <v>488.16388888888883</v>
      </c>
      <c r="N28" s="47">
        <f>F28/6*G28</f>
        <v>488.16388888888883</v>
      </c>
      <c r="O28" s="47">
        <f>F28/6*G28</f>
        <v>488.16388888888883</v>
      </c>
      <c r="P28" s="47">
        <f>F28/6*G28</f>
        <v>488.16388888888883</v>
      </c>
      <c r="Q28" s="47">
        <f>F28/6*G28</f>
        <v>488.16388888888883</v>
      </c>
      <c r="R28" s="47">
        <f>F28/6*G28</f>
        <v>488.16388888888883</v>
      </c>
      <c r="S28" s="47">
        <v>0</v>
      </c>
      <c r="T28" s="47">
        <v>0</v>
      </c>
      <c r="U28" s="47">
        <f t="shared" si="4"/>
        <v>2928.9833333333331</v>
      </c>
    </row>
    <row r="29" spans="1:21" ht="12.75" customHeight="1">
      <c r="A29" s="36" t="s">
        <v>50</v>
      </c>
      <c r="B29" s="11" t="s">
        <v>51</v>
      </c>
      <c r="C29" s="36" t="s">
        <v>52</v>
      </c>
      <c r="D29" s="11" t="s">
        <v>53</v>
      </c>
      <c r="E29" s="60">
        <v>0.1</v>
      </c>
      <c r="F29" s="45">
        <f>SUM(E29*365)</f>
        <v>36.5</v>
      </c>
      <c r="G29" s="45">
        <v>147.03</v>
      </c>
      <c r="H29" s="46">
        <f t="shared" si="3"/>
        <v>5.3665950000000002</v>
      </c>
      <c r="I29" s="47">
        <f>F29/12*G29</f>
        <v>447.21625</v>
      </c>
      <c r="J29" s="47">
        <f>F29/12*G29</f>
        <v>447.21625</v>
      </c>
      <c r="K29" s="47">
        <f>F29/12*G29</f>
        <v>447.21625</v>
      </c>
      <c r="L29" s="47">
        <f>F29/12*G29</f>
        <v>447.21625</v>
      </c>
      <c r="M29" s="47">
        <f>F29/12*G29</f>
        <v>447.21625</v>
      </c>
      <c r="N29" s="47">
        <f>F29/12*G29</f>
        <v>447.21625</v>
      </c>
      <c r="O29" s="47">
        <f>F29/12*G29</f>
        <v>447.21625</v>
      </c>
      <c r="P29" s="47">
        <f>F29/12*G29</f>
        <v>447.21625</v>
      </c>
      <c r="Q29" s="47">
        <f>F29/12*G29</f>
        <v>447.21625</v>
      </c>
      <c r="R29" s="47">
        <f>F29/12*G29</f>
        <v>447.21625</v>
      </c>
      <c r="S29" s="47">
        <f>F29/12*G29</f>
        <v>447.21625</v>
      </c>
      <c r="T29" s="47">
        <f>F29/12*G29</f>
        <v>447.21625</v>
      </c>
      <c r="U29" s="47">
        <f t="shared" si="4"/>
        <v>5366.5950000000012</v>
      </c>
    </row>
    <row r="30" spans="1:21" ht="12.75" customHeight="1">
      <c r="A30" s="36" t="s">
        <v>55</v>
      </c>
      <c r="B30" s="11" t="s">
        <v>56</v>
      </c>
      <c r="C30" s="36" t="s">
        <v>52</v>
      </c>
      <c r="D30" s="11" t="s">
        <v>54</v>
      </c>
      <c r="E30" s="44"/>
      <c r="F30" s="45">
        <v>3</v>
      </c>
      <c r="G30" s="45">
        <v>191.32</v>
      </c>
      <c r="H30" s="46">
        <f t="shared" si="3"/>
        <v>0.57396000000000003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f t="shared" si="4"/>
        <v>0</v>
      </c>
    </row>
    <row r="31" spans="1:21" ht="13.5" customHeight="1">
      <c r="A31" s="36" t="s">
        <v>57</v>
      </c>
      <c r="B31" s="11" t="s">
        <v>58</v>
      </c>
      <c r="C31" s="36" t="s">
        <v>59</v>
      </c>
      <c r="D31" s="11" t="s">
        <v>54</v>
      </c>
      <c r="E31" s="44"/>
      <c r="F31" s="45">
        <v>2</v>
      </c>
      <c r="G31" s="45">
        <v>1136.32</v>
      </c>
      <c r="H31" s="46">
        <f t="shared" si="3"/>
        <v>2.27264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f t="shared" si="4"/>
        <v>0</v>
      </c>
    </row>
    <row r="32" spans="1:21">
      <c r="A32" s="36"/>
      <c r="B32" s="61" t="s">
        <v>60</v>
      </c>
      <c r="C32" s="36" t="s">
        <v>61</v>
      </c>
      <c r="D32" s="61" t="s">
        <v>53</v>
      </c>
      <c r="E32" s="44">
        <v>5916.3</v>
      </c>
      <c r="F32" s="45">
        <f>SUM(E32*12)</f>
        <v>70995.600000000006</v>
      </c>
      <c r="G32" s="45">
        <v>3.33</v>
      </c>
      <c r="H32" s="46">
        <f t="shared" si="3"/>
        <v>236.41534800000002</v>
      </c>
      <c r="I32" s="47">
        <f>F32/12*G32</f>
        <v>19701.279000000002</v>
      </c>
      <c r="J32" s="47">
        <f>F32/12*G32</f>
        <v>19701.279000000002</v>
      </c>
      <c r="K32" s="47">
        <f>F32/12*G32</f>
        <v>19701.279000000002</v>
      </c>
      <c r="L32" s="47">
        <f>F32/12*G32</f>
        <v>19701.279000000002</v>
      </c>
      <c r="M32" s="47">
        <f>F32/12*G32</f>
        <v>19701.279000000002</v>
      </c>
      <c r="N32" s="47">
        <f>F32/12*G32</f>
        <v>19701.279000000002</v>
      </c>
      <c r="O32" s="47">
        <f>F32/12*G32</f>
        <v>19701.279000000002</v>
      </c>
      <c r="P32" s="47">
        <f>F32/12*G32</f>
        <v>19701.279000000002</v>
      </c>
      <c r="Q32" s="47">
        <f>F32/12*G32</f>
        <v>19701.279000000002</v>
      </c>
      <c r="R32" s="47">
        <f>F32/12*G32</f>
        <v>19701.279000000002</v>
      </c>
      <c r="S32" s="47">
        <f>F32/12*G32</f>
        <v>19701.279000000002</v>
      </c>
      <c r="T32" s="47">
        <f>F32/12*G32</f>
        <v>19701.279000000002</v>
      </c>
      <c r="U32" s="47">
        <f t="shared" si="4"/>
        <v>236415.34800000009</v>
      </c>
    </row>
    <row r="33" spans="1:21" s="19" customFormat="1">
      <c r="A33" s="52"/>
      <c r="B33" s="20" t="s">
        <v>35</v>
      </c>
      <c r="C33" s="53"/>
      <c r="D33" s="20"/>
      <c r="E33" s="54"/>
      <c r="F33" s="55"/>
      <c r="G33" s="55"/>
      <c r="H33" s="62">
        <f>SUM(H24:H32)</f>
        <v>279.55569471033334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>
        <f>SUM(U24:U32)</f>
        <v>276709.1427103334</v>
      </c>
    </row>
    <row r="34" spans="1:21">
      <c r="A34" s="36"/>
      <c r="B34" s="12" t="s">
        <v>63</v>
      </c>
      <c r="C34" s="36"/>
      <c r="D34" s="11"/>
      <c r="E34" s="44"/>
      <c r="F34" s="45"/>
      <c r="G34" s="45"/>
      <c r="H34" s="46" t="s">
        <v>62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>
      <c r="A35" s="36" t="s">
        <v>57</v>
      </c>
      <c r="B35" s="13" t="s">
        <v>64</v>
      </c>
      <c r="C35" s="36" t="s">
        <v>59</v>
      </c>
      <c r="D35" s="11"/>
      <c r="E35" s="44"/>
      <c r="F35" s="45">
        <v>10</v>
      </c>
      <c r="G35" s="45">
        <v>1527.22</v>
      </c>
      <c r="H35" s="46">
        <f t="shared" ref="H35:H41" si="5">SUM(F35*G35/1000)</f>
        <v>15.272200000000002</v>
      </c>
      <c r="I35" s="47">
        <f t="shared" ref="I35:I41" si="6">F35/6*G35</f>
        <v>2545.3666666666668</v>
      </c>
      <c r="J35" s="47">
        <f t="shared" ref="J35:J41" si="7">F35/6*G35</f>
        <v>2545.3666666666668</v>
      </c>
      <c r="K35" s="47">
        <f t="shared" ref="K35:K41" si="8">F35/6*G35</f>
        <v>2545.3666666666668</v>
      </c>
      <c r="L35" s="47">
        <f t="shared" ref="L35:L41" si="9">F35/6*G35</f>
        <v>2545.3666666666668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f t="shared" ref="S35:S41" si="10">F35/6*G35</f>
        <v>2545.3666666666668</v>
      </c>
      <c r="T35" s="47">
        <f t="shared" ref="T35:T41" si="11">F35/6*G35</f>
        <v>2545.3666666666668</v>
      </c>
      <c r="U35" s="47">
        <f t="shared" ref="U35:U41" si="12">SUM(I35:T35)</f>
        <v>15272.2</v>
      </c>
    </row>
    <row r="36" spans="1:21">
      <c r="A36" s="63" t="s">
        <v>65</v>
      </c>
      <c r="B36" s="13" t="s">
        <v>173</v>
      </c>
      <c r="C36" s="63" t="s">
        <v>66</v>
      </c>
      <c r="D36" s="13" t="s">
        <v>172</v>
      </c>
      <c r="E36" s="64">
        <v>634</v>
      </c>
      <c r="F36" s="64">
        <f>SUM(E36*12/1000)</f>
        <v>7.6079999999999997</v>
      </c>
      <c r="G36" s="64">
        <v>2102.71</v>
      </c>
      <c r="H36" s="46">
        <f t="shared" ref="H36" si="13">SUM(F36*G36/1000)</f>
        <v>15.997417679999998</v>
      </c>
      <c r="I36" s="65">
        <f t="shared" si="6"/>
        <v>2666.2362800000001</v>
      </c>
      <c r="J36" s="65">
        <f t="shared" si="7"/>
        <v>2666.2362800000001</v>
      </c>
      <c r="K36" s="65">
        <f t="shared" si="8"/>
        <v>2666.2362800000001</v>
      </c>
      <c r="L36" s="65">
        <f t="shared" si="9"/>
        <v>2666.2362800000001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f t="shared" si="10"/>
        <v>2666.2362800000001</v>
      </c>
      <c r="T36" s="65">
        <f t="shared" si="11"/>
        <v>2666.2362800000001</v>
      </c>
      <c r="U36" s="47">
        <f t="shared" si="12"/>
        <v>15997.417680000002</v>
      </c>
    </row>
    <row r="37" spans="1:21" s="1" customFormat="1" ht="25.5">
      <c r="A37" s="63" t="s">
        <v>65</v>
      </c>
      <c r="B37" s="13" t="s">
        <v>174</v>
      </c>
      <c r="C37" s="63" t="s">
        <v>66</v>
      </c>
      <c r="D37" s="13" t="s">
        <v>175</v>
      </c>
      <c r="E37" s="64">
        <v>289.39999999999998</v>
      </c>
      <c r="F37" s="64">
        <f>SUM(E37*30/1000)</f>
        <v>8.6820000000000004</v>
      </c>
      <c r="G37" s="64">
        <v>2102.71</v>
      </c>
      <c r="H37" s="46">
        <f t="shared" si="5"/>
        <v>18.255728220000002</v>
      </c>
      <c r="I37" s="65">
        <f t="shared" si="6"/>
        <v>3042.6213700000003</v>
      </c>
      <c r="J37" s="65">
        <f t="shared" si="7"/>
        <v>3042.6213700000003</v>
      </c>
      <c r="K37" s="65">
        <f t="shared" si="8"/>
        <v>3042.6213700000003</v>
      </c>
      <c r="L37" s="65">
        <f t="shared" si="9"/>
        <v>3042.6213700000003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f t="shared" si="10"/>
        <v>3042.6213700000003</v>
      </c>
      <c r="T37" s="65">
        <f t="shared" si="11"/>
        <v>3042.6213700000003</v>
      </c>
      <c r="U37" s="47">
        <f t="shared" si="12"/>
        <v>18255.728220000001</v>
      </c>
    </row>
    <row r="38" spans="1:21" ht="24.75" customHeight="1">
      <c r="A38" s="36" t="s">
        <v>67</v>
      </c>
      <c r="B38" s="11" t="s">
        <v>68</v>
      </c>
      <c r="C38" s="36" t="s">
        <v>66</v>
      </c>
      <c r="D38" s="11" t="s">
        <v>69</v>
      </c>
      <c r="E38" s="45">
        <v>289.39999999999998</v>
      </c>
      <c r="F38" s="64">
        <f>SUM(E38*155/1000)</f>
        <v>44.856999999999999</v>
      </c>
      <c r="G38" s="45">
        <v>350.75</v>
      </c>
      <c r="H38" s="46">
        <f t="shared" si="5"/>
        <v>15.73359275</v>
      </c>
      <c r="I38" s="47">
        <f t="shared" si="6"/>
        <v>2622.2654583333333</v>
      </c>
      <c r="J38" s="47">
        <f t="shared" si="7"/>
        <v>2622.2654583333333</v>
      </c>
      <c r="K38" s="47">
        <f t="shared" si="8"/>
        <v>2622.2654583333333</v>
      </c>
      <c r="L38" s="47">
        <f t="shared" si="9"/>
        <v>2622.2654583333333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f t="shared" si="10"/>
        <v>2622.2654583333333</v>
      </c>
      <c r="T38" s="47">
        <f t="shared" si="11"/>
        <v>2622.2654583333333</v>
      </c>
      <c r="U38" s="47">
        <f t="shared" si="12"/>
        <v>15733.59275</v>
      </c>
    </row>
    <row r="39" spans="1:21" ht="51" customHeight="1">
      <c r="A39" s="36" t="s">
        <v>70</v>
      </c>
      <c r="B39" s="11" t="s">
        <v>71</v>
      </c>
      <c r="C39" s="36" t="s">
        <v>41</v>
      </c>
      <c r="D39" s="11" t="s">
        <v>176</v>
      </c>
      <c r="E39" s="45">
        <v>108</v>
      </c>
      <c r="F39" s="64">
        <f>SUM(E39*24/1000)</f>
        <v>2.5920000000000001</v>
      </c>
      <c r="G39" s="45">
        <v>5803.28</v>
      </c>
      <c r="H39" s="46">
        <f t="shared" si="5"/>
        <v>15.04210176</v>
      </c>
      <c r="I39" s="47">
        <f t="shared" si="6"/>
        <v>2507.0169599999999</v>
      </c>
      <c r="J39" s="47">
        <f t="shared" si="7"/>
        <v>2507.0169599999999</v>
      </c>
      <c r="K39" s="47">
        <f t="shared" si="8"/>
        <v>2507.0169599999999</v>
      </c>
      <c r="L39" s="47">
        <f t="shared" si="9"/>
        <v>2507.0169599999999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f t="shared" si="10"/>
        <v>2507.0169599999999</v>
      </c>
      <c r="T39" s="47">
        <f t="shared" si="11"/>
        <v>2507.0169599999999</v>
      </c>
      <c r="U39" s="47">
        <f t="shared" si="12"/>
        <v>15042.101760000001</v>
      </c>
    </row>
    <row r="40" spans="1:21" ht="27.75" customHeight="1">
      <c r="A40" s="36" t="s">
        <v>72</v>
      </c>
      <c r="B40" s="11" t="s">
        <v>73</v>
      </c>
      <c r="C40" s="36" t="s">
        <v>41</v>
      </c>
      <c r="D40" s="11" t="s">
        <v>74</v>
      </c>
      <c r="E40" s="45">
        <v>134.4</v>
      </c>
      <c r="F40" s="64">
        <f>SUM(E40*45/1000)</f>
        <v>6.048</v>
      </c>
      <c r="G40" s="45">
        <v>428.7</v>
      </c>
      <c r="H40" s="46">
        <f t="shared" si="5"/>
        <v>2.5927775999999998</v>
      </c>
      <c r="I40" s="47">
        <f t="shared" si="6"/>
        <v>432.12959999999998</v>
      </c>
      <c r="J40" s="47">
        <f t="shared" si="7"/>
        <v>432.12959999999998</v>
      </c>
      <c r="K40" s="47">
        <f t="shared" si="8"/>
        <v>432.12959999999998</v>
      </c>
      <c r="L40" s="47">
        <f t="shared" si="9"/>
        <v>432.12959999999998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f t="shared" si="10"/>
        <v>432.12959999999998</v>
      </c>
      <c r="T40" s="47">
        <f t="shared" si="11"/>
        <v>432.12959999999998</v>
      </c>
      <c r="U40" s="47">
        <f t="shared" si="12"/>
        <v>2592.7776000000003</v>
      </c>
    </row>
    <row r="41" spans="1:21" s="2" customFormat="1">
      <c r="A41" s="63"/>
      <c r="B41" s="13" t="s">
        <v>75</v>
      </c>
      <c r="C41" s="63" t="s">
        <v>52</v>
      </c>
      <c r="D41" s="13"/>
      <c r="E41" s="60"/>
      <c r="F41" s="64">
        <v>0.9</v>
      </c>
      <c r="G41" s="64">
        <v>798</v>
      </c>
      <c r="H41" s="46">
        <f t="shared" si="5"/>
        <v>0.71820000000000006</v>
      </c>
      <c r="I41" s="65">
        <f t="shared" si="6"/>
        <v>119.69999999999999</v>
      </c>
      <c r="J41" s="65">
        <f t="shared" si="7"/>
        <v>119.69999999999999</v>
      </c>
      <c r="K41" s="65">
        <f t="shared" si="8"/>
        <v>119.69999999999999</v>
      </c>
      <c r="L41" s="65">
        <f t="shared" si="9"/>
        <v>119.69999999999999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f t="shared" si="10"/>
        <v>119.69999999999999</v>
      </c>
      <c r="T41" s="65">
        <f t="shared" si="11"/>
        <v>119.69999999999999</v>
      </c>
      <c r="U41" s="47">
        <f t="shared" si="12"/>
        <v>718.2</v>
      </c>
    </row>
    <row r="42" spans="1:21" s="19" customFormat="1">
      <c r="A42" s="52"/>
      <c r="B42" s="20" t="s">
        <v>35</v>
      </c>
      <c r="C42" s="53"/>
      <c r="D42" s="20"/>
      <c r="E42" s="54"/>
      <c r="F42" s="55" t="s">
        <v>62</v>
      </c>
      <c r="G42" s="55"/>
      <c r="H42" s="62">
        <f>SUM(H35:H41)</f>
        <v>83.61201801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>
        <f>SUM(U35:U41)</f>
        <v>83612.01801</v>
      </c>
    </row>
    <row r="43" spans="1:21">
      <c r="A43" s="36"/>
      <c r="B43" s="14" t="s">
        <v>76</v>
      </c>
      <c r="C43" s="36"/>
      <c r="D43" s="11"/>
      <c r="E43" s="44"/>
      <c r="F43" s="45"/>
      <c r="G43" s="45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36" t="s">
        <v>145</v>
      </c>
      <c r="B44" s="11" t="s">
        <v>146</v>
      </c>
      <c r="C44" s="36" t="s">
        <v>41</v>
      </c>
      <c r="D44" s="11" t="s">
        <v>77</v>
      </c>
      <c r="E44" s="44">
        <v>1662.5</v>
      </c>
      <c r="F44" s="45">
        <f>SUM(E44*2/1000)</f>
        <v>3.3250000000000002</v>
      </c>
      <c r="G44" s="66">
        <v>849.49</v>
      </c>
      <c r="H44" s="46">
        <f t="shared" ref="H44:H52" si="14">SUM(F44*G44/1000)</f>
        <v>2.8245542500000003</v>
      </c>
      <c r="I44" s="47">
        <v>0</v>
      </c>
      <c r="J44" s="47">
        <v>0</v>
      </c>
      <c r="K44" s="47">
        <v>0</v>
      </c>
      <c r="L44" s="47">
        <f>F44/2*G44</f>
        <v>1412.2771250000001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f>F44/2*G44</f>
        <v>1412.2771250000001</v>
      </c>
      <c r="S44" s="47">
        <v>0</v>
      </c>
      <c r="T44" s="47">
        <v>0</v>
      </c>
      <c r="U44" s="47">
        <f>SUM(I44:T44)</f>
        <v>2824.5542500000001</v>
      </c>
    </row>
    <row r="45" spans="1:21">
      <c r="A45" s="36" t="s">
        <v>78</v>
      </c>
      <c r="B45" s="11" t="s">
        <v>79</v>
      </c>
      <c r="C45" s="36" t="s">
        <v>41</v>
      </c>
      <c r="D45" s="11" t="s">
        <v>77</v>
      </c>
      <c r="E45" s="44">
        <v>92.8</v>
      </c>
      <c r="F45" s="45">
        <f>SUM(E45*2/1000)</f>
        <v>0.18559999999999999</v>
      </c>
      <c r="G45" s="66">
        <v>579.48</v>
      </c>
      <c r="H45" s="46">
        <f t="shared" si="14"/>
        <v>0.10755148799999999</v>
      </c>
      <c r="I45" s="47">
        <v>0</v>
      </c>
      <c r="J45" s="47">
        <v>0</v>
      </c>
      <c r="K45" s="47">
        <v>0</v>
      </c>
      <c r="L45" s="47">
        <f>F45/2*G45</f>
        <v>53.775743999999996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f>F45/2*G45</f>
        <v>53.775743999999996</v>
      </c>
      <c r="S45" s="47">
        <v>0</v>
      </c>
      <c r="T45" s="47">
        <v>0</v>
      </c>
      <c r="U45" s="47">
        <f>SUM(I45:T45)</f>
        <v>107.55148799999999</v>
      </c>
    </row>
    <row r="46" spans="1:21">
      <c r="A46" s="36" t="s">
        <v>80</v>
      </c>
      <c r="B46" s="11" t="s">
        <v>81</v>
      </c>
      <c r="C46" s="36" t="s">
        <v>41</v>
      </c>
      <c r="D46" s="11" t="s">
        <v>77</v>
      </c>
      <c r="E46" s="44">
        <v>4750.7</v>
      </c>
      <c r="F46" s="45">
        <f>SUM(E46*2/1000)</f>
        <v>9.5014000000000003</v>
      </c>
      <c r="G46" s="66">
        <v>579.48</v>
      </c>
      <c r="H46" s="46">
        <f t="shared" si="14"/>
        <v>5.5058712720000003</v>
      </c>
      <c r="I46" s="47">
        <v>0</v>
      </c>
      <c r="J46" s="47">
        <v>0</v>
      </c>
      <c r="K46" s="47">
        <v>0</v>
      </c>
      <c r="L46" s="47">
        <f>F46/2*G46</f>
        <v>2752.9356360000002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f>F46/2*G46</f>
        <v>2752.9356360000002</v>
      </c>
      <c r="S46" s="47">
        <v>0</v>
      </c>
      <c r="T46" s="47">
        <v>0</v>
      </c>
      <c r="U46" s="47">
        <f>SUM(I46:T46)</f>
        <v>5505.8712720000003</v>
      </c>
    </row>
    <row r="47" spans="1:21">
      <c r="A47" s="36" t="s">
        <v>82</v>
      </c>
      <c r="B47" s="11" t="s">
        <v>83</v>
      </c>
      <c r="C47" s="36" t="s">
        <v>41</v>
      </c>
      <c r="D47" s="11" t="s">
        <v>77</v>
      </c>
      <c r="E47" s="44">
        <v>2840.99</v>
      </c>
      <c r="F47" s="45">
        <f>SUM(E47*2/1000)</f>
        <v>5.6819799999999994</v>
      </c>
      <c r="G47" s="66">
        <v>606.77</v>
      </c>
      <c r="H47" s="46">
        <f t="shared" si="14"/>
        <v>3.4476550045999992</v>
      </c>
      <c r="I47" s="47">
        <v>0</v>
      </c>
      <c r="J47" s="47">
        <v>0</v>
      </c>
      <c r="K47" s="47">
        <v>0</v>
      </c>
      <c r="L47" s="47">
        <f>F47/2*G47</f>
        <v>1723.8275022999997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f>F47/2*G47</f>
        <v>1723.8275022999997</v>
      </c>
      <c r="S47" s="47">
        <v>0</v>
      </c>
      <c r="T47" s="47">
        <v>0</v>
      </c>
      <c r="U47" s="47">
        <f>SUM(I47:T47)</f>
        <v>3447.6550045999993</v>
      </c>
    </row>
    <row r="48" spans="1:21" ht="25.5">
      <c r="A48" s="36" t="s">
        <v>84</v>
      </c>
      <c r="B48" s="11" t="s">
        <v>85</v>
      </c>
      <c r="C48" s="36" t="s">
        <v>41</v>
      </c>
      <c r="D48" s="11" t="s">
        <v>86</v>
      </c>
      <c r="E48" s="44">
        <v>1652.5</v>
      </c>
      <c r="F48" s="45">
        <f>SUM(E48*5/1000)</f>
        <v>8.2624999999999993</v>
      </c>
      <c r="G48" s="66">
        <v>1213.55</v>
      </c>
      <c r="H48" s="46">
        <f t="shared" si="14"/>
        <v>10.026956874999998</v>
      </c>
      <c r="I48" s="47">
        <f>F48/5*G48</f>
        <v>2005.3913749999997</v>
      </c>
      <c r="J48" s="47">
        <f>F48/5*G48</f>
        <v>2005.3913749999997</v>
      </c>
      <c r="K48" s="47">
        <v>0</v>
      </c>
      <c r="L48" s="47">
        <v>0</v>
      </c>
      <c r="M48" s="47">
        <f>F48/5*G48</f>
        <v>2005.3913749999997</v>
      </c>
      <c r="N48" s="47">
        <v>0</v>
      </c>
      <c r="O48" s="47">
        <v>0</v>
      </c>
      <c r="P48" s="47">
        <v>0</v>
      </c>
      <c r="Q48" s="47">
        <f>F48/5*G48</f>
        <v>2005.3913749999997</v>
      </c>
      <c r="R48" s="47">
        <v>0</v>
      </c>
      <c r="S48" s="47">
        <v>0</v>
      </c>
      <c r="T48" s="47">
        <f>F48/5*G48</f>
        <v>2005.3913749999997</v>
      </c>
      <c r="U48" s="47">
        <f>SUM(I48:T48)</f>
        <v>10026.956874999998</v>
      </c>
    </row>
    <row r="49" spans="1:21" ht="39.6" customHeight="1">
      <c r="A49" s="36" t="s">
        <v>87</v>
      </c>
      <c r="B49" s="11" t="s">
        <v>88</v>
      </c>
      <c r="C49" s="36" t="s">
        <v>41</v>
      </c>
      <c r="D49" s="11" t="s">
        <v>77</v>
      </c>
      <c r="E49" s="44">
        <v>1652.5</v>
      </c>
      <c r="F49" s="45">
        <f>SUM(E49*2/1000)</f>
        <v>3.3050000000000002</v>
      </c>
      <c r="G49" s="66">
        <v>1213.55</v>
      </c>
      <c r="H49" s="46">
        <f t="shared" si="14"/>
        <v>4.0107827499999997</v>
      </c>
      <c r="I49" s="47">
        <f>F49/2*G49</f>
        <v>2005.3913749999999</v>
      </c>
      <c r="J49" s="47">
        <v>0</v>
      </c>
      <c r="K49" s="47">
        <v>0</v>
      </c>
      <c r="L49" s="47">
        <v>0</v>
      </c>
      <c r="M49" s="47">
        <v>0</v>
      </c>
      <c r="N49" s="47">
        <f>F49/2*G49</f>
        <v>2005.3913749999999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f t="shared" ref="U49:U52" si="15">SUM(I49:T49)</f>
        <v>4010.7827499999999</v>
      </c>
    </row>
    <row r="50" spans="1:21" ht="28.9" customHeight="1">
      <c r="A50" s="36" t="s">
        <v>89</v>
      </c>
      <c r="B50" s="11" t="s">
        <v>90</v>
      </c>
      <c r="C50" s="36" t="s">
        <v>91</v>
      </c>
      <c r="D50" s="11" t="s">
        <v>77</v>
      </c>
      <c r="E50" s="44">
        <v>40</v>
      </c>
      <c r="F50" s="45">
        <f>SUM(E50*2/100)</f>
        <v>0.8</v>
      </c>
      <c r="G50" s="66">
        <v>2730.49</v>
      </c>
      <c r="H50" s="46">
        <f t="shared" si="14"/>
        <v>2.1843919999999999</v>
      </c>
      <c r="I50" s="47">
        <f>F50/2*G50</f>
        <v>1092.1959999999999</v>
      </c>
      <c r="J50" s="47">
        <v>0</v>
      </c>
      <c r="K50" s="47">
        <v>0</v>
      </c>
      <c r="L50" s="47">
        <v>0</v>
      </c>
      <c r="M50" s="47">
        <v>0</v>
      </c>
      <c r="N50" s="47">
        <f>F50/2*G50</f>
        <v>1092.1959999999999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f>SUM(I50:T50)</f>
        <v>2184.3919999999998</v>
      </c>
    </row>
    <row r="51" spans="1:21">
      <c r="A51" s="36" t="s">
        <v>92</v>
      </c>
      <c r="B51" s="11" t="s">
        <v>93</v>
      </c>
      <c r="C51" s="36" t="s">
        <v>94</v>
      </c>
      <c r="D51" s="11" t="s">
        <v>77</v>
      </c>
      <c r="E51" s="44">
        <v>1</v>
      </c>
      <c r="F51" s="45">
        <v>0.02</v>
      </c>
      <c r="G51" s="66">
        <v>5652.13</v>
      </c>
      <c r="H51" s="46">
        <f t="shared" si="14"/>
        <v>0.11304260000000001</v>
      </c>
      <c r="I51" s="47">
        <f>F51/2*G51</f>
        <v>56.521300000000004</v>
      </c>
      <c r="J51" s="47">
        <v>0</v>
      </c>
      <c r="K51" s="47">
        <v>0</v>
      </c>
      <c r="L51" s="47">
        <v>0</v>
      </c>
      <c r="M51" s="47">
        <v>0</v>
      </c>
      <c r="N51" s="47">
        <f>F51/2*G51</f>
        <v>56.521300000000004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f t="shared" si="15"/>
        <v>113.04260000000001</v>
      </c>
    </row>
    <row r="52" spans="1:21" ht="13.5" customHeight="1">
      <c r="A52" s="36" t="s">
        <v>96</v>
      </c>
      <c r="B52" s="11" t="s">
        <v>97</v>
      </c>
      <c r="C52" s="36" t="s">
        <v>95</v>
      </c>
      <c r="D52" s="11" t="s">
        <v>139</v>
      </c>
      <c r="E52" s="44">
        <v>236</v>
      </c>
      <c r="F52" s="45">
        <f>SUM(E52)*3</f>
        <v>708</v>
      </c>
      <c r="G52" s="67">
        <v>65.67</v>
      </c>
      <c r="H52" s="46">
        <f t="shared" si="14"/>
        <v>46.49436</v>
      </c>
      <c r="I52" s="47">
        <v>0</v>
      </c>
      <c r="J52" s="47">
        <f>E52*G52</f>
        <v>15498.12</v>
      </c>
      <c r="K52" s="47">
        <v>0</v>
      </c>
      <c r="L52" s="47">
        <f>E52*G52</f>
        <v>15498.12</v>
      </c>
      <c r="M52" s="47">
        <v>0</v>
      </c>
      <c r="N52" s="47">
        <v>0</v>
      </c>
      <c r="O52" s="47">
        <v>0</v>
      </c>
      <c r="P52" s="47">
        <f>E52*G52</f>
        <v>15498.12</v>
      </c>
      <c r="Q52" s="47">
        <v>0</v>
      </c>
      <c r="R52" s="47">
        <v>0</v>
      </c>
      <c r="S52" s="47">
        <v>0</v>
      </c>
      <c r="T52" s="47">
        <v>0</v>
      </c>
      <c r="U52" s="47">
        <f t="shared" si="15"/>
        <v>46494.36</v>
      </c>
    </row>
    <row r="53" spans="1:21" s="21" customFormat="1">
      <c r="A53" s="68"/>
      <c r="B53" s="20" t="s">
        <v>35</v>
      </c>
      <c r="C53" s="69"/>
      <c r="D53" s="20"/>
      <c r="E53" s="70"/>
      <c r="F53" s="71"/>
      <c r="G53" s="71"/>
      <c r="H53" s="62">
        <f>SUM(H44:H52)</f>
        <v>74.715166239599995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>
        <f>SUM(U44:U52)</f>
        <v>74715.166239599988</v>
      </c>
    </row>
    <row r="54" spans="1:21">
      <c r="A54" s="36"/>
      <c r="B54" s="12" t="s">
        <v>98</v>
      </c>
      <c r="C54" s="36"/>
      <c r="D54" s="11"/>
      <c r="E54" s="44"/>
      <c r="F54" s="45"/>
      <c r="G54" s="45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ht="38.25">
      <c r="A55" s="8" t="s">
        <v>159</v>
      </c>
      <c r="B55" s="11" t="s">
        <v>177</v>
      </c>
      <c r="C55" s="36" t="s">
        <v>14</v>
      </c>
      <c r="D55" s="11" t="s">
        <v>160</v>
      </c>
      <c r="E55" s="44">
        <v>206.25</v>
      </c>
      <c r="F55" s="45">
        <f>E55*6/100</f>
        <v>12.375</v>
      </c>
      <c r="G55" s="73">
        <v>1547.28</v>
      </c>
      <c r="H55" s="46">
        <f>F55*G55/1000</f>
        <v>19.147590000000001</v>
      </c>
      <c r="I55" s="47">
        <f>F55/6*G55</f>
        <v>3191.2649999999999</v>
      </c>
      <c r="J55" s="47">
        <f>F55/6*G55</f>
        <v>3191.2649999999999</v>
      </c>
      <c r="K55" s="47">
        <f>F55/6*G55</f>
        <v>3191.2649999999999</v>
      </c>
      <c r="L55" s="47">
        <f>F55/6*G55</f>
        <v>3191.2649999999999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f>F55/6*G55</f>
        <v>3191.2649999999999</v>
      </c>
      <c r="T55" s="47">
        <f>F55/6*G55</f>
        <v>3191.2649999999999</v>
      </c>
      <c r="U55" s="47">
        <f>SUM(I55:T55)</f>
        <v>19147.59</v>
      </c>
    </row>
    <row r="56" spans="1:21" ht="27" customHeight="1">
      <c r="A56" s="8" t="s">
        <v>161</v>
      </c>
      <c r="B56" s="25" t="s">
        <v>162</v>
      </c>
      <c r="C56" s="74" t="s">
        <v>14</v>
      </c>
      <c r="D56" s="25" t="s">
        <v>160</v>
      </c>
      <c r="E56" s="75">
        <v>56</v>
      </c>
      <c r="F56" s="76">
        <f>E56*6/100</f>
        <v>3.36</v>
      </c>
      <c r="G56" s="73">
        <v>1547.28</v>
      </c>
      <c r="H56" s="77">
        <f>F56*G56/1000</f>
        <v>5.1988607999999994</v>
      </c>
      <c r="I56" s="47">
        <f>F56/6*G56</f>
        <v>866.47679999999991</v>
      </c>
      <c r="J56" s="47">
        <f>F56/6*G56</f>
        <v>866.47679999999991</v>
      </c>
      <c r="K56" s="47">
        <f>F56/6*G56</f>
        <v>866.47679999999991</v>
      </c>
      <c r="L56" s="47">
        <f>F56/6*G56</f>
        <v>866.47679999999991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f>F56/6*G56</f>
        <v>866.47679999999991</v>
      </c>
      <c r="T56" s="47">
        <f>F56/6*G56</f>
        <v>866.47679999999991</v>
      </c>
      <c r="U56" s="47">
        <f>SUM(I56:T56)</f>
        <v>5198.8608000000004</v>
      </c>
    </row>
    <row r="57" spans="1:21" ht="12.75" customHeight="1">
      <c r="A57" s="36" t="s">
        <v>147</v>
      </c>
      <c r="B57" s="25" t="s">
        <v>148</v>
      </c>
      <c r="C57" s="74" t="s">
        <v>149</v>
      </c>
      <c r="D57" s="25" t="s">
        <v>77</v>
      </c>
      <c r="E57" s="75">
        <v>8</v>
      </c>
      <c r="F57" s="76">
        <v>16</v>
      </c>
      <c r="G57" s="78">
        <v>180.78</v>
      </c>
      <c r="H57" s="77">
        <f>F57*G57/1000</f>
        <v>2.8924799999999999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f>SUM(I57:T57)</f>
        <v>0</v>
      </c>
    </row>
    <row r="58" spans="1:21" ht="12.75" customHeight="1">
      <c r="A58" s="74"/>
      <c r="B58" s="26" t="s">
        <v>99</v>
      </c>
      <c r="C58" s="74"/>
      <c r="D58" s="25"/>
      <c r="E58" s="75"/>
      <c r="F58" s="76"/>
      <c r="G58" s="79"/>
      <c r="H58" s="7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ht="12.75" customHeight="1">
      <c r="A59" s="74"/>
      <c r="B59" s="25" t="s">
        <v>150</v>
      </c>
      <c r="C59" s="74" t="s">
        <v>101</v>
      </c>
      <c r="D59" s="25" t="s">
        <v>102</v>
      </c>
      <c r="E59" s="75">
        <v>330.5</v>
      </c>
      <c r="F59" s="76">
        <f>E59*12</f>
        <v>3966</v>
      </c>
      <c r="G59" s="80">
        <v>2.5960000000000001</v>
      </c>
      <c r="H59" s="77">
        <f>G59*F59/1000</f>
        <v>10.295736000000002</v>
      </c>
      <c r="I59" s="47">
        <f>F59/12*G59</f>
        <v>857.97800000000007</v>
      </c>
      <c r="J59" s="47">
        <f>F59/12*G59</f>
        <v>857.97800000000007</v>
      </c>
      <c r="K59" s="47">
        <f>F59/12*G59</f>
        <v>857.97800000000007</v>
      </c>
      <c r="L59" s="47">
        <f>F59/12*G59</f>
        <v>857.97800000000007</v>
      </c>
      <c r="M59" s="47">
        <f>F59/12*G59</f>
        <v>857.97800000000007</v>
      </c>
      <c r="N59" s="47">
        <f>F59/12*G59</f>
        <v>857.97800000000007</v>
      </c>
      <c r="O59" s="47">
        <f>F59/12*G59</f>
        <v>857.97800000000007</v>
      </c>
      <c r="P59" s="47">
        <f>F59/12*G59</f>
        <v>857.97800000000007</v>
      </c>
      <c r="Q59" s="47">
        <f>F59/12*G59</f>
        <v>857.97800000000007</v>
      </c>
      <c r="R59" s="47">
        <f>F59/12*G59</f>
        <v>857.97800000000007</v>
      </c>
      <c r="S59" s="47">
        <f>F59/12*G59</f>
        <v>857.97800000000007</v>
      </c>
      <c r="T59" s="47">
        <f>F59/12*G59</f>
        <v>857.97800000000007</v>
      </c>
      <c r="U59" s="47">
        <f>SUM(I59:T59)</f>
        <v>10295.736000000001</v>
      </c>
    </row>
    <row r="60" spans="1:21" ht="12.75" customHeight="1">
      <c r="A60" s="74" t="s">
        <v>100</v>
      </c>
      <c r="B60" s="25" t="s">
        <v>163</v>
      </c>
      <c r="C60" s="74" t="s">
        <v>101</v>
      </c>
      <c r="D60" s="25" t="s">
        <v>45</v>
      </c>
      <c r="E60" s="75">
        <v>1652.5</v>
      </c>
      <c r="F60" s="76">
        <f>E60/100</f>
        <v>16.524999999999999</v>
      </c>
      <c r="G60" s="81">
        <v>793.61</v>
      </c>
      <c r="H60" s="77">
        <f>G60*F60/1000</f>
        <v>13.114405249999999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f>SUM(I60:T60)</f>
        <v>0</v>
      </c>
    </row>
    <row r="61" spans="1:21">
      <c r="A61" s="74"/>
      <c r="B61" s="15" t="s">
        <v>103</v>
      </c>
      <c r="C61" s="74"/>
      <c r="D61" s="25"/>
      <c r="E61" s="75"/>
      <c r="F61" s="76"/>
      <c r="G61" s="76"/>
      <c r="H61" s="77" t="s">
        <v>62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ht="12.75" customHeight="1">
      <c r="A62" s="82" t="s">
        <v>104</v>
      </c>
      <c r="B62" s="16" t="s">
        <v>105</v>
      </c>
      <c r="C62" s="82" t="s">
        <v>95</v>
      </c>
      <c r="D62" s="9" t="s">
        <v>54</v>
      </c>
      <c r="E62" s="83">
        <v>10</v>
      </c>
      <c r="F62" s="45">
        <v>10</v>
      </c>
      <c r="G62" s="66">
        <v>222.4</v>
      </c>
      <c r="H62" s="142">
        <f t="shared" ref="H62:H75" si="16">SUM(F62*G62/1000)</f>
        <v>2.2240000000000002</v>
      </c>
      <c r="I62" s="47">
        <v>0</v>
      </c>
      <c r="J62" s="47">
        <v>0</v>
      </c>
      <c r="K62" s="47">
        <f>G62*2</f>
        <v>444.8</v>
      </c>
      <c r="L62" s="47">
        <v>0</v>
      </c>
      <c r="M62" s="47">
        <f>G62*4</f>
        <v>889.6</v>
      </c>
      <c r="N62" s="47">
        <f>G62*7</f>
        <v>1556.8</v>
      </c>
      <c r="O62" s="47">
        <f>G62*5</f>
        <v>1112</v>
      </c>
      <c r="P62" s="47">
        <f>G62*16</f>
        <v>3558.4</v>
      </c>
      <c r="Q62" s="47">
        <f>G62*2</f>
        <v>444.8</v>
      </c>
      <c r="R62" s="47">
        <f>G62*12</f>
        <v>2668.8</v>
      </c>
      <c r="S62" s="47">
        <f>G62*18</f>
        <v>4003.2000000000003</v>
      </c>
      <c r="T62" s="47">
        <f>G62*7</f>
        <v>1556.8</v>
      </c>
      <c r="U62" s="47">
        <f t="shared" ref="U62:U69" si="17">SUM(I62:T62)</f>
        <v>16235.2</v>
      </c>
    </row>
    <row r="63" spans="1:21" ht="12.75" customHeight="1">
      <c r="A63" s="82" t="s">
        <v>106</v>
      </c>
      <c r="B63" s="16" t="s">
        <v>107</v>
      </c>
      <c r="C63" s="82" t="s">
        <v>95</v>
      </c>
      <c r="D63" s="9" t="s">
        <v>54</v>
      </c>
      <c r="E63" s="83">
        <v>8</v>
      </c>
      <c r="F63" s="45">
        <v>8</v>
      </c>
      <c r="G63" s="66">
        <v>76.25</v>
      </c>
      <c r="H63" s="142">
        <f t="shared" si="16"/>
        <v>0.61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f>G63</f>
        <v>76.25</v>
      </c>
      <c r="R63" s="47">
        <f>G63*10</f>
        <v>762.5</v>
      </c>
      <c r="S63" s="47">
        <v>0</v>
      </c>
      <c r="T63" s="47">
        <v>0</v>
      </c>
      <c r="U63" s="47">
        <f t="shared" si="17"/>
        <v>838.75</v>
      </c>
    </row>
    <row r="64" spans="1:21" s="2" customFormat="1">
      <c r="A64" s="84" t="s">
        <v>108</v>
      </c>
      <c r="B64" s="16" t="s">
        <v>109</v>
      </c>
      <c r="C64" s="84" t="s">
        <v>110</v>
      </c>
      <c r="D64" s="9" t="s">
        <v>45</v>
      </c>
      <c r="E64" s="44">
        <v>23267</v>
      </c>
      <c r="F64" s="67">
        <f>SUM(E64/100)</f>
        <v>232.67</v>
      </c>
      <c r="G64" s="66">
        <v>212.15</v>
      </c>
      <c r="H64" s="142">
        <f t="shared" si="16"/>
        <v>49.360940499999998</v>
      </c>
      <c r="I64" s="65">
        <v>0</v>
      </c>
      <c r="J64" s="65">
        <v>0</v>
      </c>
      <c r="K64" s="65">
        <v>0</v>
      </c>
      <c r="L64" s="65">
        <v>0</v>
      </c>
      <c r="M64" s="65">
        <f>F64*G64</f>
        <v>49360.940499999997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47">
        <f t="shared" si="17"/>
        <v>49360.940499999997</v>
      </c>
    </row>
    <row r="65" spans="1:27">
      <c r="A65" s="82" t="s">
        <v>111</v>
      </c>
      <c r="B65" s="16" t="s">
        <v>112</v>
      </c>
      <c r="C65" s="82" t="s">
        <v>113</v>
      </c>
      <c r="D65" s="9"/>
      <c r="E65" s="44">
        <v>23267</v>
      </c>
      <c r="F65" s="66">
        <f>SUM(E65/1000)</f>
        <v>23.266999999999999</v>
      </c>
      <c r="G65" s="66">
        <v>165.21</v>
      </c>
      <c r="H65" s="142">
        <f t="shared" si="16"/>
        <v>3.8439410700000005</v>
      </c>
      <c r="I65" s="47">
        <v>0</v>
      </c>
      <c r="J65" s="47">
        <v>0</v>
      </c>
      <c r="K65" s="47">
        <v>0</v>
      </c>
      <c r="L65" s="47">
        <v>0</v>
      </c>
      <c r="M65" s="47">
        <f>F65*G65</f>
        <v>3843.9410700000003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f t="shared" si="17"/>
        <v>3843.9410700000003</v>
      </c>
    </row>
    <row r="66" spans="1:27">
      <c r="A66" s="82" t="s">
        <v>114</v>
      </c>
      <c r="B66" s="16" t="s">
        <v>115</v>
      </c>
      <c r="C66" s="82" t="s">
        <v>116</v>
      </c>
      <c r="D66" s="9" t="s">
        <v>45</v>
      </c>
      <c r="E66" s="44">
        <v>3145</v>
      </c>
      <c r="F66" s="66">
        <f>SUM(E66/100)</f>
        <v>31.45</v>
      </c>
      <c r="G66" s="66">
        <v>2074.63</v>
      </c>
      <c r="H66" s="142">
        <f t="shared" si="16"/>
        <v>65.247113499999998</v>
      </c>
      <c r="I66" s="47">
        <v>0</v>
      </c>
      <c r="J66" s="47">
        <v>0</v>
      </c>
      <c r="K66" s="47">
        <v>0</v>
      </c>
      <c r="L66" s="47">
        <v>0</v>
      </c>
      <c r="M66" s="47">
        <f>F66*G66</f>
        <v>65247.113499999999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f t="shared" si="17"/>
        <v>65247.113499999999</v>
      </c>
    </row>
    <row r="67" spans="1:27">
      <c r="A67" s="82"/>
      <c r="B67" s="17" t="s">
        <v>140</v>
      </c>
      <c r="C67" s="82" t="s">
        <v>52</v>
      </c>
      <c r="D67" s="9"/>
      <c r="E67" s="44">
        <v>20.66</v>
      </c>
      <c r="F67" s="66">
        <f>SUM(E67)</f>
        <v>20.66</v>
      </c>
      <c r="G67" s="66">
        <v>42.67</v>
      </c>
      <c r="H67" s="142">
        <f t="shared" si="16"/>
        <v>0.88156220000000007</v>
      </c>
      <c r="I67" s="47">
        <v>0</v>
      </c>
      <c r="J67" s="47">
        <v>0</v>
      </c>
      <c r="K67" s="47">
        <v>0</v>
      </c>
      <c r="L67" s="47">
        <v>0</v>
      </c>
      <c r="M67" s="47">
        <f>F67*G67</f>
        <v>881.56220000000008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f t="shared" si="17"/>
        <v>881.56220000000008</v>
      </c>
    </row>
    <row r="68" spans="1:27">
      <c r="A68" s="82"/>
      <c r="B68" s="17" t="s">
        <v>141</v>
      </c>
      <c r="C68" s="82" t="s">
        <v>52</v>
      </c>
      <c r="D68" s="9"/>
      <c r="E68" s="44">
        <v>20.66</v>
      </c>
      <c r="F68" s="66">
        <f>SUM(E68)</f>
        <v>20.66</v>
      </c>
      <c r="G68" s="66">
        <v>39.81</v>
      </c>
      <c r="H68" s="142">
        <f t="shared" si="16"/>
        <v>0.82247460000000006</v>
      </c>
      <c r="I68" s="47">
        <v>0</v>
      </c>
      <c r="J68" s="47">
        <v>0</v>
      </c>
      <c r="K68" s="47">
        <v>0</v>
      </c>
      <c r="L68" s="47">
        <v>0</v>
      </c>
      <c r="M68" s="47">
        <f>F68*G68</f>
        <v>822.47460000000001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f t="shared" si="17"/>
        <v>822.47460000000001</v>
      </c>
    </row>
    <row r="69" spans="1:27">
      <c r="A69" s="82" t="s">
        <v>117</v>
      </c>
      <c r="B69" s="9" t="s">
        <v>118</v>
      </c>
      <c r="C69" s="82" t="s">
        <v>119</v>
      </c>
      <c r="D69" s="9" t="s">
        <v>45</v>
      </c>
      <c r="E69" s="83">
        <v>5</v>
      </c>
      <c r="F69" s="45">
        <f>SUM(E69)</f>
        <v>5</v>
      </c>
      <c r="G69" s="66">
        <v>49.88</v>
      </c>
      <c r="H69" s="142">
        <f t="shared" si="16"/>
        <v>0.24940000000000001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f>F69*G69</f>
        <v>249.4</v>
      </c>
      <c r="R69" s="47">
        <v>0</v>
      </c>
      <c r="S69" s="47">
        <v>0</v>
      </c>
      <c r="T69" s="47">
        <v>0</v>
      </c>
      <c r="U69" s="47">
        <f t="shared" si="17"/>
        <v>249.4</v>
      </c>
    </row>
    <row r="70" spans="1:27">
      <c r="A70" s="82"/>
      <c r="B70" s="18" t="s">
        <v>120</v>
      </c>
      <c r="C70" s="82"/>
      <c r="D70" s="9"/>
      <c r="E70" s="83"/>
      <c r="F70" s="66"/>
      <c r="G70" s="66"/>
      <c r="H70" s="142" t="s">
        <v>62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7">
      <c r="A71" s="82" t="s">
        <v>169</v>
      </c>
      <c r="B71" s="9" t="s">
        <v>170</v>
      </c>
      <c r="C71" s="82" t="s">
        <v>171</v>
      </c>
      <c r="D71" s="9"/>
      <c r="E71" s="83">
        <v>10</v>
      </c>
      <c r="F71" s="79">
        <v>1</v>
      </c>
      <c r="G71" s="66">
        <v>501.62</v>
      </c>
      <c r="H71" s="142">
        <f>F71*G71/1000</f>
        <v>0.50161999999999995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f>SUM(I71:T71)</f>
        <v>0</v>
      </c>
    </row>
    <row r="72" spans="1:27">
      <c r="A72" s="82" t="s">
        <v>121</v>
      </c>
      <c r="B72" s="9" t="s">
        <v>122</v>
      </c>
      <c r="C72" s="82" t="s">
        <v>48</v>
      </c>
      <c r="D72" s="9"/>
      <c r="E72" s="83">
        <v>1</v>
      </c>
      <c r="F72" s="45">
        <v>1</v>
      </c>
      <c r="G72" s="66">
        <v>358.51</v>
      </c>
      <c r="H72" s="142">
        <f t="shared" si="16"/>
        <v>0.35851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f>SUM(I72:T72)</f>
        <v>0</v>
      </c>
    </row>
    <row r="73" spans="1:27">
      <c r="A73" s="82" t="s">
        <v>142</v>
      </c>
      <c r="B73" s="9" t="s">
        <v>143</v>
      </c>
      <c r="C73" s="82" t="s">
        <v>48</v>
      </c>
      <c r="D73" s="9"/>
      <c r="E73" s="83">
        <v>1</v>
      </c>
      <c r="F73" s="66">
        <v>1</v>
      </c>
      <c r="G73" s="66">
        <v>852.99</v>
      </c>
      <c r="H73" s="142">
        <f>F73*G73/1000</f>
        <v>0.85299000000000003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f>G73</f>
        <v>852.99</v>
      </c>
      <c r="S73" s="47">
        <v>0</v>
      </c>
      <c r="T73" s="47">
        <f>G73*2</f>
        <v>1705.98</v>
      </c>
      <c r="U73" s="47">
        <f>SUM(I73:T73)</f>
        <v>2558.9700000000003</v>
      </c>
    </row>
    <row r="74" spans="1:27">
      <c r="A74" s="82"/>
      <c r="B74" s="85" t="s">
        <v>123</v>
      </c>
      <c r="C74" s="82"/>
      <c r="D74" s="9"/>
      <c r="E74" s="83"/>
      <c r="F74" s="66"/>
      <c r="G74" s="66" t="s">
        <v>62</v>
      </c>
      <c r="H74" s="142" t="s">
        <v>62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7" s="2" customFormat="1">
      <c r="A75" s="84" t="s">
        <v>124</v>
      </c>
      <c r="B75" s="86" t="s">
        <v>125</v>
      </c>
      <c r="C75" s="84" t="s">
        <v>116</v>
      </c>
      <c r="D75" s="16"/>
      <c r="E75" s="87"/>
      <c r="F75" s="67">
        <v>1.35</v>
      </c>
      <c r="G75" s="67">
        <v>2759.44</v>
      </c>
      <c r="H75" s="142">
        <f t="shared" si="16"/>
        <v>3.725244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47">
        <f>SUM(I75:T75)</f>
        <v>0</v>
      </c>
    </row>
    <row r="76" spans="1:27" s="21" customFormat="1">
      <c r="A76" s="88"/>
      <c r="B76" s="20" t="s">
        <v>35</v>
      </c>
      <c r="C76" s="89"/>
      <c r="D76" s="90"/>
      <c r="E76" s="91"/>
      <c r="F76" s="72"/>
      <c r="G76" s="72"/>
      <c r="H76" s="92">
        <f>SUM(H55:H75)</f>
        <v>179.32686791999998</v>
      </c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>
        <f>SUM(U55:U75)</f>
        <v>174680.53866999995</v>
      </c>
    </row>
    <row r="77" spans="1:27">
      <c r="A77" s="147" t="s">
        <v>194</v>
      </c>
      <c r="B77" s="11" t="s">
        <v>195</v>
      </c>
      <c r="C77" s="93" t="s">
        <v>196</v>
      </c>
      <c r="D77" s="94"/>
      <c r="E77" s="148"/>
      <c r="F77" s="95">
        <f>130/10</f>
        <v>13</v>
      </c>
      <c r="G77" s="96">
        <v>9</v>
      </c>
      <c r="H77" s="142">
        <f>G77*F77/1000</f>
        <v>0.11700000000000001</v>
      </c>
      <c r="I77" s="47">
        <v>0</v>
      </c>
      <c r="J77" s="47">
        <v>0</v>
      </c>
      <c r="K77" s="47">
        <v>0</v>
      </c>
      <c r="L77" s="47">
        <v>0</v>
      </c>
      <c r="M77" s="48">
        <v>0</v>
      </c>
      <c r="N77" s="47">
        <f>F77*G77</f>
        <v>117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f>SUM(I77:T77)</f>
        <v>117</v>
      </c>
    </row>
    <row r="78" spans="1:27" ht="12.75" customHeight="1">
      <c r="A78" s="97"/>
      <c r="B78" s="31" t="s">
        <v>126</v>
      </c>
      <c r="C78" s="82" t="s">
        <v>127</v>
      </c>
      <c r="D78" s="98"/>
      <c r="E78" s="66">
        <v>5916.3</v>
      </c>
      <c r="F78" s="66">
        <f>SUM(E78*12)</f>
        <v>70995.600000000006</v>
      </c>
      <c r="G78" s="99">
        <v>2.1</v>
      </c>
      <c r="H78" s="142">
        <f>SUM(F78*G78/1000)</f>
        <v>149.09076000000002</v>
      </c>
      <c r="I78" s="47">
        <f>F78/12*G78</f>
        <v>12424.230000000001</v>
      </c>
      <c r="J78" s="47">
        <f>F78/12*G78</f>
        <v>12424.230000000001</v>
      </c>
      <c r="K78" s="47">
        <f>F78/12*G78</f>
        <v>12424.230000000001</v>
      </c>
      <c r="L78" s="47">
        <f>F78/12*G78</f>
        <v>12424.230000000001</v>
      </c>
      <c r="M78" s="47">
        <f>F78/12*G78</f>
        <v>12424.230000000001</v>
      </c>
      <c r="N78" s="47">
        <f>F78/12*G78</f>
        <v>12424.230000000001</v>
      </c>
      <c r="O78" s="47">
        <f>F78/12*G78</f>
        <v>12424.230000000001</v>
      </c>
      <c r="P78" s="47">
        <f>F78/12*G78</f>
        <v>12424.230000000001</v>
      </c>
      <c r="Q78" s="47">
        <f>F78/12*G78</f>
        <v>12424.230000000001</v>
      </c>
      <c r="R78" s="47">
        <f>F78/12*G78</f>
        <v>12424.230000000001</v>
      </c>
      <c r="S78" s="47">
        <f>F78/12*G78</f>
        <v>12424.230000000001</v>
      </c>
      <c r="T78" s="47">
        <f>F78/12*G78</f>
        <v>12424.230000000001</v>
      </c>
      <c r="U78" s="47">
        <f>SUM(I78:T78)</f>
        <v>149090.76</v>
      </c>
    </row>
    <row r="79" spans="1:27" s="19" customFormat="1">
      <c r="A79" s="100"/>
      <c r="B79" s="20" t="s">
        <v>35</v>
      </c>
      <c r="C79" s="101"/>
      <c r="D79" s="102"/>
      <c r="E79" s="103"/>
      <c r="F79" s="57"/>
      <c r="G79" s="104"/>
      <c r="H79" s="58">
        <f>SUM(H77:H78)</f>
        <v>149.20776000000001</v>
      </c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>
        <f>SUM(U77:U78)</f>
        <v>149207.76</v>
      </c>
    </row>
    <row r="80" spans="1:27" ht="28.5" customHeight="1">
      <c r="A80" s="105"/>
      <c r="B80" s="9" t="s">
        <v>128</v>
      </c>
      <c r="C80" s="82"/>
      <c r="D80" s="32"/>
      <c r="E80" s="44">
        <f>E78</f>
        <v>5916.3</v>
      </c>
      <c r="F80" s="66">
        <f>E80*12</f>
        <v>70995.600000000006</v>
      </c>
      <c r="G80" s="66">
        <v>1.63</v>
      </c>
      <c r="H80" s="142">
        <f>F80*G80/1000</f>
        <v>115.72282800000001</v>
      </c>
      <c r="I80" s="47">
        <f>F80/12*G80</f>
        <v>9643.5689999999995</v>
      </c>
      <c r="J80" s="47">
        <f>F80/12*G80</f>
        <v>9643.5689999999995</v>
      </c>
      <c r="K80" s="47">
        <f>F80/12*G80</f>
        <v>9643.5689999999995</v>
      </c>
      <c r="L80" s="47">
        <f>F80/12*G80</f>
        <v>9643.5689999999995</v>
      </c>
      <c r="M80" s="47">
        <f>F80/12*G80</f>
        <v>9643.5689999999995</v>
      </c>
      <c r="N80" s="47">
        <f>F80/12*G80</f>
        <v>9643.5689999999995</v>
      </c>
      <c r="O80" s="47">
        <f>F80/12*G80</f>
        <v>9643.5689999999995</v>
      </c>
      <c r="P80" s="47">
        <f>F80/12*G80</f>
        <v>9643.5689999999995</v>
      </c>
      <c r="Q80" s="47">
        <f>F80/12*G80</f>
        <v>9643.5689999999995</v>
      </c>
      <c r="R80" s="47">
        <f>F80/12*G80</f>
        <v>9643.5689999999995</v>
      </c>
      <c r="S80" s="47">
        <f>F80/12*G80</f>
        <v>9643.5689999999995</v>
      </c>
      <c r="T80" s="47">
        <f>F80/12*G80</f>
        <v>9643.5689999999995</v>
      </c>
      <c r="U80" s="47">
        <f>SUM(I80:T80)</f>
        <v>115722.82800000002</v>
      </c>
      <c r="W80" s="162" t="s">
        <v>190</v>
      </c>
      <c r="X80" s="162"/>
      <c r="Y80" s="162"/>
      <c r="Z80" s="162"/>
      <c r="AA80" s="162"/>
    </row>
    <row r="81" spans="1:21" s="19" customFormat="1">
      <c r="A81" s="100"/>
      <c r="B81" s="106" t="s">
        <v>129</v>
      </c>
      <c r="C81" s="107"/>
      <c r="D81" s="106"/>
      <c r="E81" s="57"/>
      <c r="F81" s="57"/>
      <c r="G81" s="57"/>
      <c r="H81" s="92">
        <f>H80</f>
        <v>115.72282800000001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143">
        <f>U80</f>
        <v>115722.82800000002</v>
      </c>
    </row>
    <row r="82" spans="1:21" s="19" customFormat="1">
      <c r="A82" s="100"/>
      <c r="B82" s="106" t="s">
        <v>130</v>
      </c>
      <c r="C82" s="108"/>
      <c r="D82" s="109"/>
      <c r="E82" s="110"/>
      <c r="F82" s="110"/>
      <c r="G82" s="110"/>
      <c r="H82" s="92">
        <f>SUM(H81+H79+H76+H53+H42+H33+H22)</f>
        <v>1159.0732179619333</v>
      </c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43">
        <f>SUM(U81+U79+U76+U53+U42+U33+U22)*1.064</f>
        <v>1224567.3583078173</v>
      </c>
    </row>
    <row r="83" spans="1:21" s="141" customFormat="1" ht="49.5" customHeight="1">
      <c r="A83" s="105"/>
      <c r="B83" s="85"/>
      <c r="C83" s="82"/>
      <c r="D83" s="32"/>
      <c r="E83" s="66"/>
      <c r="F83" s="66"/>
      <c r="G83" s="66"/>
      <c r="H83" s="140"/>
      <c r="I83" s="66"/>
      <c r="J83" s="66"/>
      <c r="K83" s="66"/>
      <c r="L83" s="66"/>
      <c r="M83" s="66"/>
      <c r="N83" s="66"/>
      <c r="O83" s="66"/>
      <c r="P83" s="66"/>
      <c r="Q83" s="66"/>
      <c r="R83" s="155"/>
      <c r="S83" s="155"/>
      <c r="T83" s="155"/>
      <c r="U83" s="154" t="s">
        <v>208</v>
      </c>
    </row>
    <row r="84" spans="1:21">
      <c r="A84" s="105"/>
      <c r="B84" s="32" t="s">
        <v>131</v>
      </c>
      <c r="C84" s="82"/>
      <c r="D84" s="32"/>
      <c r="E84" s="66"/>
      <c r="F84" s="66"/>
      <c r="G84" s="66" t="s">
        <v>132</v>
      </c>
      <c r="H84" s="111">
        <f>E80</f>
        <v>5916.3</v>
      </c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</row>
    <row r="85" spans="1:21" s="19" customFormat="1">
      <c r="A85" s="100"/>
      <c r="B85" s="109" t="s">
        <v>133</v>
      </c>
      <c r="C85" s="108"/>
      <c r="D85" s="109"/>
      <c r="E85" s="110"/>
      <c r="F85" s="110"/>
      <c r="G85" s="110"/>
      <c r="H85" s="112">
        <f>SUM(H82/H84/12*1000)</f>
        <v>16.325986652157788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44"/>
    </row>
    <row r="86" spans="1:21">
      <c r="A86" s="105"/>
      <c r="B86" s="32"/>
      <c r="C86" s="82"/>
      <c r="D86" s="32"/>
      <c r="E86" s="66"/>
      <c r="F86" s="66"/>
      <c r="G86" s="66"/>
      <c r="H86" s="113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145"/>
    </row>
    <row r="87" spans="1:21">
      <c r="A87" s="105"/>
      <c r="B87" s="85" t="s">
        <v>134</v>
      </c>
      <c r="C87" s="82"/>
      <c r="D87" s="32"/>
      <c r="E87" s="66"/>
      <c r="F87" s="66"/>
      <c r="G87" s="66"/>
      <c r="H87" s="66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ht="25.5">
      <c r="A88" s="29" t="s">
        <v>151</v>
      </c>
      <c r="B88" s="22" t="s">
        <v>152</v>
      </c>
      <c r="C88" s="82" t="s">
        <v>48</v>
      </c>
      <c r="D88" s="32"/>
      <c r="E88" s="66"/>
      <c r="F88" s="66">
        <v>9</v>
      </c>
      <c r="G88" s="66">
        <v>72.290000000000006</v>
      </c>
      <c r="H88" s="66">
        <f t="shared" ref="H88" si="18">G88*F88/1000</f>
        <v>0.65061000000000002</v>
      </c>
      <c r="I88" s="47">
        <f>G88*2</f>
        <v>144.58000000000001</v>
      </c>
      <c r="J88" s="47">
        <f>G88*2</f>
        <v>144.58000000000001</v>
      </c>
      <c r="K88" s="47">
        <v>0</v>
      </c>
      <c r="L88" s="47">
        <f>G88</f>
        <v>72.290000000000006</v>
      </c>
      <c r="M88" s="47">
        <f>G88</f>
        <v>72.290000000000006</v>
      </c>
      <c r="N88" s="47">
        <v>0</v>
      </c>
      <c r="O88" s="47">
        <v>0</v>
      </c>
      <c r="P88" s="47">
        <f>G88</f>
        <v>72.290000000000006</v>
      </c>
      <c r="Q88" s="47">
        <v>0</v>
      </c>
      <c r="R88" s="47">
        <f>G88</f>
        <v>72.290000000000006</v>
      </c>
      <c r="S88" s="47">
        <v>0</v>
      </c>
      <c r="T88" s="47">
        <f>G88</f>
        <v>72.290000000000006</v>
      </c>
      <c r="U88" s="47">
        <f>SUM(I88:T88)</f>
        <v>650.61</v>
      </c>
    </row>
    <row r="89" spans="1:21" ht="25.5">
      <c r="A89" s="28" t="s">
        <v>153</v>
      </c>
      <c r="B89" s="27" t="s">
        <v>155</v>
      </c>
      <c r="C89" s="82" t="s">
        <v>48</v>
      </c>
      <c r="D89" s="32"/>
      <c r="E89" s="66"/>
      <c r="F89" s="66">
        <v>3</v>
      </c>
      <c r="G89" s="66">
        <v>1678.06</v>
      </c>
      <c r="H89" s="66">
        <f t="shared" ref="H89:H90" si="19">G89*F89/1000</f>
        <v>5.0341800000000001</v>
      </c>
      <c r="I89" s="47">
        <f>1*G89</f>
        <v>1678.06</v>
      </c>
      <c r="J89" s="47">
        <v>0</v>
      </c>
      <c r="K89" s="47">
        <v>0</v>
      </c>
      <c r="L89" s="47">
        <f>G89</f>
        <v>1678.06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f>G89</f>
        <v>1678.06</v>
      </c>
      <c r="U89" s="47">
        <f>SUM(I89:T89)</f>
        <v>5034.18</v>
      </c>
    </row>
    <row r="90" spans="1:21" ht="25.5">
      <c r="A90" s="28" t="s">
        <v>153</v>
      </c>
      <c r="B90" s="27" t="s">
        <v>154</v>
      </c>
      <c r="C90" s="82" t="s">
        <v>48</v>
      </c>
      <c r="D90" s="32"/>
      <c r="E90" s="66"/>
      <c r="F90" s="66">
        <v>2</v>
      </c>
      <c r="G90" s="66">
        <v>350.1</v>
      </c>
      <c r="H90" s="66">
        <f t="shared" si="19"/>
        <v>0.70020000000000004</v>
      </c>
      <c r="I90" s="47">
        <f>1*G90</f>
        <v>350.1</v>
      </c>
      <c r="J90" s="47">
        <v>0</v>
      </c>
      <c r="K90" s="47">
        <v>0</v>
      </c>
      <c r="L90" s="47">
        <f>G90</f>
        <v>350.1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f t="shared" ref="U90:U94" si="20">SUM(I90:T90)</f>
        <v>700.2</v>
      </c>
    </row>
    <row r="91" spans="1:21">
      <c r="A91" s="137" t="s">
        <v>188</v>
      </c>
      <c r="B91" s="22" t="s">
        <v>189</v>
      </c>
      <c r="C91" s="30" t="s">
        <v>95</v>
      </c>
      <c r="D91" s="32"/>
      <c r="E91" s="66"/>
      <c r="F91" s="66">
        <v>5</v>
      </c>
      <c r="G91" s="66">
        <v>1023.97</v>
      </c>
      <c r="H91" s="142">
        <f t="shared" ref="H91:H96" si="21">G91*F91/1000</f>
        <v>5.1198500000000005</v>
      </c>
      <c r="I91" s="47">
        <f>G91*2</f>
        <v>2047.94</v>
      </c>
      <c r="J91" s="47">
        <f>G91*2</f>
        <v>2047.94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f>G91</f>
        <v>1023.97</v>
      </c>
      <c r="S91" s="47">
        <v>0</v>
      </c>
      <c r="T91" s="47">
        <v>0</v>
      </c>
      <c r="U91" s="47">
        <f t="shared" si="20"/>
        <v>5119.8500000000004</v>
      </c>
    </row>
    <row r="92" spans="1:21" ht="25.5">
      <c r="A92" s="138" t="s">
        <v>89</v>
      </c>
      <c r="B92" s="139" t="s">
        <v>204</v>
      </c>
      <c r="C92" s="138" t="s">
        <v>91</v>
      </c>
      <c r="D92" s="32"/>
      <c r="E92" s="66"/>
      <c r="F92" s="66">
        <v>0.02</v>
      </c>
      <c r="G92" s="66">
        <v>3105.72</v>
      </c>
      <c r="H92" s="142">
        <f t="shared" si="21"/>
        <v>6.2114399999999993E-2</v>
      </c>
      <c r="I92" s="47">
        <f>G92*0.01</f>
        <v>31.057199999999998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f>G92*0.01</f>
        <v>31.057199999999998</v>
      </c>
      <c r="S92" s="47">
        <v>0</v>
      </c>
      <c r="T92" s="47">
        <v>0</v>
      </c>
      <c r="U92" s="47">
        <f t="shared" si="20"/>
        <v>62.114399999999996</v>
      </c>
    </row>
    <row r="93" spans="1:21">
      <c r="A93" s="138" t="s">
        <v>153</v>
      </c>
      <c r="B93" s="139" t="s">
        <v>197</v>
      </c>
      <c r="C93" s="138" t="s">
        <v>198</v>
      </c>
      <c r="D93" s="32"/>
      <c r="E93" s="66"/>
      <c r="F93" s="66">
        <v>3</v>
      </c>
      <c r="G93" s="66">
        <v>1372</v>
      </c>
      <c r="H93" s="142">
        <f t="shared" si="21"/>
        <v>4.1159999999999997</v>
      </c>
      <c r="I93" s="47">
        <v>0</v>
      </c>
      <c r="J93" s="47">
        <v>0</v>
      </c>
      <c r="K93" s="47">
        <f>G93</f>
        <v>1372</v>
      </c>
      <c r="L93" s="47">
        <v>0</v>
      </c>
      <c r="M93" s="47">
        <f>G93*2</f>
        <v>2744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f t="shared" si="20"/>
        <v>4116</v>
      </c>
    </row>
    <row r="94" spans="1:21" ht="25.5">
      <c r="A94" s="30" t="s">
        <v>201</v>
      </c>
      <c r="B94" s="150" t="s">
        <v>199</v>
      </c>
      <c r="C94" s="30" t="s">
        <v>200</v>
      </c>
      <c r="D94" s="32"/>
      <c r="E94" s="66"/>
      <c r="F94" s="66">
        <v>1</v>
      </c>
      <c r="G94" s="66">
        <v>187.62</v>
      </c>
      <c r="H94" s="142">
        <f t="shared" si="21"/>
        <v>0.18762000000000001</v>
      </c>
      <c r="I94" s="47">
        <v>0</v>
      </c>
      <c r="J94" s="47">
        <v>0</v>
      </c>
      <c r="K94" s="47">
        <f>G94</f>
        <v>187.62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f t="shared" si="20"/>
        <v>187.62</v>
      </c>
    </row>
    <row r="95" spans="1:21">
      <c r="A95" s="30" t="s">
        <v>203</v>
      </c>
      <c r="B95" s="22" t="s">
        <v>202</v>
      </c>
      <c r="C95" s="30" t="s">
        <v>95</v>
      </c>
      <c r="D95" s="32"/>
      <c r="E95" s="66"/>
      <c r="F95" s="66">
        <v>12</v>
      </c>
      <c r="G95" s="66">
        <v>164.67</v>
      </c>
      <c r="H95" s="152">
        <f t="shared" si="21"/>
        <v>1.97604</v>
      </c>
      <c r="I95" s="47">
        <v>0</v>
      </c>
      <c r="J95" s="47">
        <v>0</v>
      </c>
      <c r="K95" s="47">
        <v>0</v>
      </c>
      <c r="L95" s="47">
        <f>G95*3</f>
        <v>494.01</v>
      </c>
      <c r="M95" s="47">
        <v>0</v>
      </c>
      <c r="N95" s="47">
        <v>0</v>
      </c>
      <c r="O95" s="47">
        <f>G95</f>
        <v>164.67</v>
      </c>
      <c r="P95" s="47">
        <v>0</v>
      </c>
      <c r="Q95" s="47">
        <f>G95</f>
        <v>164.67</v>
      </c>
      <c r="R95" s="47">
        <f>G95*4</f>
        <v>658.68</v>
      </c>
      <c r="S95" s="47">
        <f>G95</f>
        <v>164.67</v>
      </c>
      <c r="T95" s="47">
        <f>G95*2</f>
        <v>329.34</v>
      </c>
      <c r="U95" s="47">
        <f>SUM(I95:T95)</f>
        <v>1976.0399999999997</v>
      </c>
    </row>
    <row r="96" spans="1:21" ht="38.25">
      <c r="A96" s="138" t="s">
        <v>207</v>
      </c>
      <c r="B96" s="139" t="s">
        <v>205</v>
      </c>
      <c r="C96" s="138" t="s">
        <v>206</v>
      </c>
      <c r="D96" s="32"/>
      <c r="E96" s="66"/>
      <c r="F96" s="66">
        <v>1</v>
      </c>
      <c r="G96" s="66">
        <v>1949.41</v>
      </c>
      <c r="H96" s="153">
        <f t="shared" si="21"/>
        <v>1.9494100000000001</v>
      </c>
      <c r="I96" s="47">
        <v>0</v>
      </c>
      <c r="J96" s="47">
        <v>0</v>
      </c>
      <c r="K96" s="47">
        <v>0</v>
      </c>
      <c r="L96" s="47">
        <v>0</v>
      </c>
      <c r="M96" s="47">
        <f>G96</f>
        <v>1949.41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f>SUM(I96:T96)</f>
        <v>1949.41</v>
      </c>
    </row>
    <row r="97" spans="1:21">
      <c r="A97" s="30" t="s">
        <v>209</v>
      </c>
      <c r="B97" s="22" t="s">
        <v>221</v>
      </c>
      <c r="C97" s="30" t="s">
        <v>210</v>
      </c>
      <c r="D97" s="32"/>
      <c r="E97" s="66"/>
      <c r="F97" s="66">
        <v>1</v>
      </c>
      <c r="G97" s="66">
        <v>1465</v>
      </c>
      <c r="H97" s="153">
        <f>G97*F97/1000</f>
        <v>1.4650000000000001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G97</f>
        <v>1465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f>SUM(I97:T97)</f>
        <v>1465</v>
      </c>
    </row>
    <row r="98" spans="1:21">
      <c r="A98" s="30" t="s">
        <v>209</v>
      </c>
      <c r="B98" s="22" t="s">
        <v>217</v>
      </c>
      <c r="C98" s="30" t="s">
        <v>210</v>
      </c>
      <c r="D98" s="32"/>
      <c r="E98" s="66"/>
      <c r="F98" s="66">
        <v>1</v>
      </c>
      <c r="G98" s="66">
        <v>380508</v>
      </c>
      <c r="H98" s="153">
        <f>G98*F98/1000</f>
        <v>380.50799999999998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f>G98</f>
        <v>380508</v>
      </c>
      <c r="U98" s="47">
        <f>SUM(I98:T98)</f>
        <v>380508</v>
      </c>
    </row>
    <row r="99" spans="1:21" ht="25.5">
      <c r="A99" s="137" t="s">
        <v>224</v>
      </c>
      <c r="B99" s="22" t="s">
        <v>222</v>
      </c>
      <c r="C99" s="30" t="s">
        <v>223</v>
      </c>
      <c r="D99" s="32"/>
      <c r="E99" s="66"/>
      <c r="F99" s="66">
        <v>4</v>
      </c>
      <c r="G99" s="66">
        <v>511.54</v>
      </c>
      <c r="H99" s="153">
        <f>G99*F99/1000</f>
        <v>2.04616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f>G99</f>
        <v>511.54</v>
      </c>
      <c r="Q99" s="47">
        <v>0</v>
      </c>
      <c r="R99" s="47">
        <f>G99</f>
        <v>511.54</v>
      </c>
      <c r="S99" s="47">
        <f>G99*2</f>
        <v>1023.08</v>
      </c>
      <c r="T99" s="47">
        <v>0</v>
      </c>
      <c r="U99" s="47">
        <f>SUM(I99:T99)</f>
        <v>2046.16</v>
      </c>
    </row>
    <row r="100" spans="1:21" ht="25.5">
      <c r="A100" s="30" t="s">
        <v>225</v>
      </c>
      <c r="B100" s="22" t="s">
        <v>226</v>
      </c>
      <c r="C100" s="30" t="s">
        <v>48</v>
      </c>
      <c r="D100" s="32"/>
      <c r="E100" s="66"/>
      <c r="F100" s="66">
        <v>1</v>
      </c>
      <c r="G100" s="66">
        <v>342.4</v>
      </c>
      <c r="H100" s="153">
        <f t="shared" ref="H100:H103" si="22">G100*F100/1000</f>
        <v>0.34239999999999998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f>G100</f>
        <v>342.4</v>
      </c>
      <c r="S100" s="47">
        <v>0</v>
      </c>
      <c r="T100" s="47">
        <v>0</v>
      </c>
      <c r="U100" s="47">
        <f t="shared" ref="U100" si="23">SUM(I100:T100)</f>
        <v>342.4</v>
      </c>
    </row>
    <row r="101" spans="1:21" ht="25.5">
      <c r="A101" s="137" t="s">
        <v>228</v>
      </c>
      <c r="B101" s="22" t="s">
        <v>227</v>
      </c>
      <c r="C101" s="30" t="s">
        <v>95</v>
      </c>
      <c r="D101" s="32"/>
      <c r="E101" s="66"/>
      <c r="F101" s="66">
        <v>1</v>
      </c>
      <c r="G101" s="66">
        <v>1992.08</v>
      </c>
      <c r="H101" s="153">
        <f t="shared" si="22"/>
        <v>1.9920799999999999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f>G101</f>
        <v>1992.08</v>
      </c>
      <c r="R101" s="47">
        <v>0</v>
      </c>
      <c r="S101" s="47">
        <v>0</v>
      </c>
      <c r="T101" s="47">
        <v>0</v>
      </c>
      <c r="U101" s="47">
        <f t="shared" ref="U101:U107" si="24">SUM(I101:T101)</f>
        <v>1992.08</v>
      </c>
    </row>
    <row r="102" spans="1:21">
      <c r="A102" s="138" t="s">
        <v>229</v>
      </c>
      <c r="B102" s="139" t="s">
        <v>230</v>
      </c>
      <c r="C102" s="156" t="s">
        <v>200</v>
      </c>
      <c r="D102" s="32"/>
      <c r="E102" s="66"/>
      <c r="F102" s="66">
        <v>1</v>
      </c>
      <c r="G102" s="66">
        <v>16.45</v>
      </c>
      <c r="H102" s="153">
        <f t="shared" si="22"/>
        <v>1.6449999999999999E-2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f>G102</f>
        <v>16.45</v>
      </c>
      <c r="S102" s="47">
        <v>0</v>
      </c>
      <c r="T102" s="47">
        <v>0</v>
      </c>
      <c r="U102" s="47">
        <f t="shared" si="24"/>
        <v>16.45</v>
      </c>
    </row>
    <row r="103" spans="1:21" ht="25.5">
      <c r="A103" s="138" t="s">
        <v>209</v>
      </c>
      <c r="B103" s="139" t="s">
        <v>231</v>
      </c>
      <c r="C103" s="156" t="s">
        <v>200</v>
      </c>
      <c r="D103" s="32"/>
      <c r="E103" s="66"/>
      <c r="F103" s="66">
        <v>1</v>
      </c>
      <c r="G103" s="66">
        <v>1964</v>
      </c>
      <c r="H103" s="153">
        <f t="shared" si="22"/>
        <v>1.964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G103</f>
        <v>1964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f t="shared" si="24"/>
        <v>1964</v>
      </c>
    </row>
    <row r="104" spans="1:21" ht="25.5">
      <c r="A104" s="138" t="s">
        <v>209</v>
      </c>
      <c r="B104" s="139" t="s">
        <v>232</v>
      </c>
      <c r="C104" s="156" t="s">
        <v>200</v>
      </c>
      <c r="D104" s="32"/>
      <c r="E104" s="66"/>
      <c r="F104" s="66">
        <v>11</v>
      </c>
      <c r="G104" s="66">
        <v>2057</v>
      </c>
      <c r="H104" s="153">
        <f t="shared" ref="H104:H109" si="25">G104*F104/1000</f>
        <v>22.626999999999999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G104*2</f>
        <v>4114</v>
      </c>
      <c r="O104" s="47">
        <v>0</v>
      </c>
      <c r="P104" s="47">
        <v>0</v>
      </c>
      <c r="Q104" s="47">
        <f>G104*2</f>
        <v>4114</v>
      </c>
      <c r="R104" s="47">
        <v>0</v>
      </c>
      <c r="S104" s="47">
        <f>G104*4</f>
        <v>8228</v>
      </c>
      <c r="T104" s="47">
        <f>G104*3</f>
        <v>6171</v>
      </c>
      <c r="U104" s="47">
        <f t="shared" si="24"/>
        <v>22627</v>
      </c>
    </row>
    <row r="105" spans="1:21" ht="25.5">
      <c r="A105" s="30" t="s">
        <v>235</v>
      </c>
      <c r="B105" s="22" t="s">
        <v>233</v>
      </c>
      <c r="C105" s="30" t="s">
        <v>234</v>
      </c>
      <c r="D105" s="32"/>
      <c r="E105" s="66"/>
      <c r="F105" s="66">
        <v>7</v>
      </c>
      <c r="G105" s="66">
        <v>179.12</v>
      </c>
      <c r="H105" s="153">
        <f t="shared" si="25"/>
        <v>1.2538400000000001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>G105*4</f>
        <v>716.48</v>
      </c>
      <c r="P105" s="47">
        <f>G105*2</f>
        <v>358.24</v>
      </c>
      <c r="Q105" s="47">
        <v>0</v>
      </c>
      <c r="R105" s="47">
        <f>G105</f>
        <v>179.12</v>
      </c>
      <c r="S105" s="47">
        <v>0</v>
      </c>
      <c r="T105" s="47">
        <v>0</v>
      </c>
      <c r="U105" s="47">
        <f t="shared" si="24"/>
        <v>1253.8400000000001</v>
      </c>
    </row>
    <row r="106" spans="1:21" ht="25.5">
      <c r="A106" s="30" t="s">
        <v>237</v>
      </c>
      <c r="B106" s="22" t="s">
        <v>238</v>
      </c>
      <c r="C106" s="30" t="s">
        <v>236</v>
      </c>
      <c r="D106" s="32"/>
      <c r="E106" s="66"/>
      <c r="F106" s="66">
        <v>2</v>
      </c>
      <c r="G106" s="66">
        <v>169.85</v>
      </c>
      <c r="H106" s="153">
        <f t="shared" si="25"/>
        <v>0.3397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f>G106</f>
        <v>169.85</v>
      </c>
      <c r="R106" s="47">
        <v>0</v>
      </c>
      <c r="S106" s="47">
        <v>0</v>
      </c>
      <c r="T106" s="47">
        <f>G106</f>
        <v>169.85</v>
      </c>
      <c r="U106" s="47">
        <f t="shared" si="24"/>
        <v>339.7</v>
      </c>
    </row>
    <row r="107" spans="1:21" ht="25.5">
      <c r="A107" s="30" t="s">
        <v>239</v>
      </c>
      <c r="B107" s="22" t="s">
        <v>240</v>
      </c>
      <c r="C107" s="30" t="s">
        <v>200</v>
      </c>
      <c r="D107" s="32"/>
      <c r="E107" s="66"/>
      <c r="F107" s="66">
        <v>2.5</v>
      </c>
      <c r="G107" s="66">
        <v>711.93</v>
      </c>
      <c r="H107" s="153">
        <f t="shared" si="25"/>
        <v>1.7798249999999998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G107*2.5</f>
        <v>1779.8249999999998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f t="shared" si="24"/>
        <v>1779.8249999999998</v>
      </c>
    </row>
    <row r="108" spans="1:21">
      <c r="A108" s="157" t="s">
        <v>242</v>
      </c>
      <c r="B108" s="158" t="s">
        <v>241</v>
      </c>
      <c r="C108" s="159" t="s">
        <v>23</v>
      </c>
      <c r="D108" s="32"/>
      <c r="E108" s="66"/>
      <c r="F108" s="66">
        <v>0.25</v>
      </c>
      <c r="G108" s="66">
        <v>2846.41</v>
      </c>
      <c r="H108" s="153">
        <f t="shared" si="25"/>
        <v>0.71160249999999992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f>G108*0.25</f>
        <v>711.60249999999996</v>
      </c>
      <c r="T108" s="47">
        <v>0</v>
      </c>
      <c r="U108" s="47">
        <f>SUM(I108:T108)</f>
        <v>711.60249999999996</v>
      </c>
    </row>
    <row r="109" spans="1:21" ht="25.5">
      <c r="A109" s="160" t="s">
        <v>244</v>
      </c>
      <c r="B109" s="161" t="s">
        <v>243</v>
      </c>
      <c r="C109" s="159" t="s">
        <v>206</v>
      </c>
      <c r="D109" s="32"/>
      <c r="E109" s="66"/>
      <c r="F109" s="66">
        <v>0.2</v>
      </c>
      <c r="G109" s="66">
        <v>330.49</v>
      </c>
      <c r="H109" s="153">
        <f t="shared" si="25"/>
        <v>6.6098000000000004E-2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f>G109*0.2</f>
        <v>66.097999999999999</v>
      </c>
      <c r="T109" s="47">
        <v>0</v>
      </c>
      <c r="U109" s="47">
        <f>SUM(I109:T109)</f>
        <v>66.097999999999999</v>
      </c>
    </row>
    <row r="110" spans="1:21" s="19" customFormat="1">
      <c r="A110" s="114"/>
      <c r="B110" s="115" t="s">
        <v>135</v>
      </c>
      <c r="C110" s="114"/>
      <c r="D110" s="114"/>
      <c r="E110" s="110"/>
      <c r="F110" s="110"/>
      <c r="G110" s="110"/>
      <c r="H110" s="58">
        <f>SUM(H88:H109)</f>
        <v>434.90817990000005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57">
        <f>SUM(U88:U109)</f>
        <v>434908.17990000005</v>
      </c>
    </row>
    <row r="111" spans="1:21">
      <c r="A111" s="116"/>
      <c r="B111" s="117"/>
      <c r="C111" s="116"/>
      <c r="D111" s="116"/>
      <c r="E111" s="66"/>
      <c r="F111" s="66"/>
      <c r="G111" s="66"/>
      <c r="H111" s="11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146"/>
    </row>
    <row r="112" spans="1:21" ht="12" customHeight="1">
      <c r="A112" s="105"/>
      <c r="B112" s="18" t="s">
        <v>136</v>
      </c>
      <c r="C112" s="82"/>
      <c r="D112" s="32"/>
      <c r="E112" s="66"/>
      <c r="F112" s="66"/>
      <c r="G112" s="66"/>
      <c r="H112" s="119">
        <f>H110/E113/12*1000</f>
        <v>6.1258469524871968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146"/>
    </row>
    <row r="113" spans="1:21" s="19" customFormat="1">
      <c r="A113" s="120"/>
      <c r="B113" s="121" t="s">
        <v>137</v>
      </c>
      <c r="C113" s="122"/>
      <c r="D113" s="121"/>
      <c r="E113" s="123">
        <v>5916.3</v>
      </c>
      <c r="F113" s="124">
        <f>SUM(E113*12)</f>
        <v>70995.600000000006</v>
      </c>
      <c r="G113" s="125">
        <f>H85+H112</f>
        <v>22.451833604644985</v>
      </c>
      <c r="H113" s="126">
        <f>SUM(F113*G113/1000)</f>
        <v>1593.9813978619336</v>
      </c>
      <c r="I113" s="110">
        <f t="shared" ref="I113:R113" si="26">SUM(I11:I112)</f>
        <v>93154.417474999995</v>
      </c>
      <c r="J113" s="110">
        <f t="shared" si="26"/>
        <v>103439.21160000001</v>
      </c>
      <c r="K113" s="110">
        <f t="shared" si="26"/>
        <v>85747.600225000002</v>
      </c>
      <c r="L113" s="110">
        <f t="shared" si="26"/>
        <v>107778.57623229999</v>
      </c>
      <c r="M113" s="110">
        <f t="shared" si="26"/>
        <v>201653.52448088888</v>
      </c>
      <c r="N113" s="110">
        <f t="shared" si="26"/>
        <v>87640.870509888904</v>
      </c>
      <c r="O113" s="110">
        <f t="shared" si="26"/>
        <v>74891.177202888881</v>
      </c>
      <c r="P113" s="110">
        <f t="shared" si="26"/>
        <v>91116.792202888886</v>
      </c>
      <c r="Q113" s="110">
        <f t="shared" si="26"/>
        <v>80334.643577888899</v>
      </c>
      <c r="R113" s="110">
        <f t="shared" si="26"/>
        <v>84180.815410188865</v>
      </c>
      <c r="S113" s="110">
        <f>SUM(S11:S112)</f>
        <v>97939.830724999993</v>
      </c>
      <c r="T113" s="110">
        <f>SUM(T11:T112)</f>
        <v>477939.89159999997</v>
      </c>
      <c r="U113" s="57">
        <f>U82+U110</f>
        <v>1659475.5382078174</v>
      </c>
    </row>
    <row r="114" spans="1:21">
      <c r="A114" s="127"/>
      <c r="B114" s="127"/>
      <c r="C114" s="127"/>
      <c r="D114" s="127"/>
      <c r="E114" s="128"/>
      <c r="F114" s="128"/>
      <c r="G114" s="128"/>
      <c r="H114" s="128"/>
      <c r="I114" s="128"/>
      <c r="J114" s="128"/>
      <c r="K114" s="128"/>
      <c r="L114" s="128"/>
      <c r="M114" s="127"/>
      <c r="N114" s="128"/>
      <c r="O114" s="127"/>
      <c r="P114" s="127"/>
      <c r="Q114" s="127"/>
      <c r="R114" s="127"/>
      <c r="S114" s="127"/>
      <c r="T114" s="127"/>
      <c r="U114" s="127"/>
    </row>
    <row r="115" spans="1:21">
      <c r="A115" s="127"/>
      <c r="B115" s="127"/>
      <c r="C115" s="127"/>
      <c r="D115" s="127"/>
      <c r="E115" s="128"/>
      <c r="F115" s="128"/>
      <c r="G115" s="128"/>
      <c r="H115" s="128"/>
      <c r="I115" s="128"/>
      <c r="J115" s="129"/>
      <c r="K115" s="130"/>
      <c r="L115" s="129"/>
      <c r="M115" s="128"/>
      <c r="N115" s="127"/>
      <c r="O115" s="127"/>
      <c r="P115" s="127"/>
      <c r="Q115" s="127"/>
      <c r="R115" s="127"/>
      <c r="S115" s="127"/>
      <c r="T115" s="127"/>
      <c r="U115" s="127"/>
    </row>
    <row r="116" spans="1:21" ht="45">
      <c r="A116" s="127"/>
      <c r="B116" s="131" t="s">
        <v>187</v>
      </c>
      <c r="C116" s="166">
        <v>-682436.32</v>
      </c>
      <c r="D116" s="167"/>
      <c r="E116" s="167"/>
      <c r="F116" s="168"/>
      <c r="G116" s="128"/>
      <c r="H116" s="128"/>
      <c r="I116" s="128"/>
      <c r="J116" s="129"/>
      <c r="K116" s="130"/>
      <c r="L116" s="129"/>
      <c r="M116" s="128"/>
      <c r="N116" s="127"/>
      <c r="O116" s="127"/>
      <c r="P116" s="127"/>
      <c r="Q116" s="127"/>
      <c r="R116" s="127"/>
      <c r="S116" s="127"/>
      <c r="T116" s="127"/>
      <c r="U116" s="127"/>
    </row>
    <row r="117" spans="1:21" ht="36.75" customHeight="1">
      <c r="A117" s="127"/>
      <c r="B117" s="23" t="s">
        <v>211</v>
      </c>
      <c r="C117" s="170">
        <v>1444764.12</v>
      </c>
      <c r="D117" s="171"/>
      <c r="E117" s="171"/>
      <c r="F117" s="172"/>
      <c r="G117" s="128"/>
      <c r="H117" s="128"/>
      <c r="I117" s="128"/>
      <c r="J117" s="129"/>
      <c r="K117" s="130"/>
      <c r="L117" s="129"/>
      <c r="M117" s="128"/>
      <c r="N117" s="127"/>
      <c r="O117" s="127"/>
      <c r="P117" s="127"/>
      <c r="Q117" s="127"/>
      <c r="R117" s="127"/>
      <c r="S117" s="127"/>
      <c r="T117" s="127"/>
      <c r="U117" s="127"/>
    </row>
    <row r="118" spans="1:21" ht="24" customHeight="1">
      <c r="A118" s="127"/>
      <c r="B118" s="23" t="s">
        <v>212</v>
      </c>
      <c r="C118" s="170">
        <f>SUM(U113-U110)</f>
        <v>1224567.3583078173</v>
      </c>
      <c r="D118" s="171"/>
      <c r="E118" s="171"/>
      <c r="F118" s="172"/>
      <c r="G118" s="128"/>
      <c r="H118" s="128"/>
      <c r="I118" s="128"/>
      <c r="J118" s="129"/>
      <c r="K118" s="130"/>
      <c r="L118" s="129"/>
      <c r="M118" s="128"/>
      <c r="N118" s="127"/>
      <c r="O118" s="127"/>
      <c r="P118" s="127"/>
      <c r="Q118" s="127"/>
      <c r="R118" s="127"/>
      <c r="S118" s="127"/>
      <c r="T118" s="127"/>
      <c r="U118" s="127"/>
    </row>
    <row r="119" spans="1:21" ht="37.5" customHeight="1">
      <c r="A119" s="127"/>
      <c r="B119" s="23" t="s">
        <v>213</v>
      </c>
      <c r="C119" s="170">
        <f>SUM(U110)</f>
        <v>434908.17990000005</v>
      </c>
      <c r="D119" s="171"/>
      <c r="E119" s="171"/>
      <c r="F119" s="172"/>
      <c r="G119" s="128"/>
      <c r="H119" s="128"/>
      <c r="I119" s="128"/>
      <c r="J119" s="129"/>
      <c r="K119" s="130"/>
      <c r="L119" s="129"/>
      <c r="M119" s="128"/>
      <c r="N119" s="127"/>
      <c r="O119" s="127"/>
      <c r="P119" s="127"/>
      <c r="Q119" s="127"/>
      <c r="R119" s="127"/>
      <c r="S119" s="127"/>
      <c r="T119" s="127"/>
      <c r="U119" s="127"/>
    </row>
    <row r="120" spans="1:21" ht="18">
      <c r="A120" s="127"/>
      <c r="B120" s="151" t="s">
        <v>214</v>
      </c>
      <c r="C120" s="166">
        <v>1354746.91</v>
      </c>
      <c r="D120" s="167"/>
      <c r="E120" s="167"/>
      <c r="F120" s="168"/>
      <c r="G120" s="127"/>
      <c r="H120" s="132" t="s">
        <v>144</v>
      </c>
      <c r="I120" s="133"/>
      <c r="J120" s="133"/>
      <c r="K120" s="134"/>
      <c r="L120" s="135"/>
      <c r="M120" s="132"/>
      <c r="N120" s="132"/>
      <c r="O120" s="127"/>
      <c r="P120" s="127"/>
      <c r="Q120" s="127"/>
      <c r="R120" s="127"/>
      <c r="S120" s="127"/>
      <c r="T120" s="127"/>
      <c r="U120" s="127"/>
    </row>
    <row r="121" spans="1:21" ht="63">
      <c r="A121" s="127"/>
      <c r="B121" s="24" t="s">
        <v>215</v>
      </c>
      <c r="C121" s="173">
        <v>362631.41</v>
      </c>
      <c r="D121" s="174"/>
      <c r="E121" s="174"/>
      <c r="F121" s="175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</row>
    <row r="122" spans="1:21" ht="45">
      <c r="A122" s="127"/>
      <c r="B122" s="136" t="s">
        <v>216</v>
      </c>
      <c r="C122" s="169">
        <f>SUM(U113-C117)+C116</f>
        <v>-467724.9017921827</v>
      </c>
      <c r="D122" s="167"/>
      <c r="E122" s="167"/>
      <c r="F122" s="168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</row>
    <row r="124" spans="1:21">
      <c r="J124" s="4"/>
      <c r="K124" s="5"/>
      <c r="L124" s="5"/>
      <c r="M124" s="3"/>
    </row>
    <row r="125" spans="1:21">
      <c r="G125" s="6"/>
      <c r="H125" s="6"/>
    </row>
    <row r="126" spans="1:21">
      <c r="G126" s="7"/>
    </row>
  </sheetData>
  <mergeCells count="12">
    <mergeCell ref="C116:F116"/>
    <mergeCell ref="C122:F122"/>
    <mergeCell ref="C117:F117"/>
    <mergeCell ref="C118:F118"/>
    <mergeCell ref="C119:F119"/>
    <mergeCell ref="C120:F120"/>
    <mergeCell ref="C121:F121"/>
    <mergeCell ref="W80:AA80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Нефт.8</vt:lpstr>
      <vt:lpstr>Нефт.8!Область_печати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2016-03-10T12:07:05Z</dcterms:modified>
</cp:coreProperties>
</file>