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20" yWindow="-150" windowWidth="15480" windowHeight="8100" activeTab="11"/>
  </bookViews>
  <sheets>
    <sheet name="01.18" sheetId="17" r:id="rId1"/>
    <sheet name="02.18" sheetId="30" r:id="rId2"/>
    <sheet name="03.18" sheetId="31" r:id="rId3"/>
    <sheet name="04.18" sheetId="32" r:id="rId4"/>
    <sheet name="05.18" sheetId="33" r:id="rId5"/>
    <sheet name="06.18" sheetId="34" r:id="rId6"/>
    <sheet name="07.18" sheetId="35" r:id="rId7"/>
    <sheet name="08.18" sheetId="36" r:id="rId8"/>
    <sheet name="09.18" sheetId="37" r:id="rId9"/>
    <sheet name="10.18" sheetId="38" r:id="rId10"/>
    <sheet name="11.18" sheetId="39" r:id="rId11"/>
    <sheet name="12.18" sheetId="40" r:id="rId12"/>
  </sheets>
  <definedNames>
    <definedName name="_xlnm._FilterDatabase" localSheetId="0" hidden="1">'01.18'!$I$12:$I$62</definedName>
    <definedName name="_xlnm._FilterDatabase" localSheetId="1" hidden="1">'02.18'!$I$12:$I$62</definedName>
    <definedName name="_xlnm._FilterDatabase" localSheetId="2" hidden="1">'03.18'!$I$12:$I$62</definedName>
    <definedName name="_xlnm.Print_Area" localSheetId="0">'01.18'!$A$1:$I$118</definedName>
    <definedName name="_xlnm.Print_Area" localSheetId="1">'02.18'!$A$1:$I$116</definedName>
    <definedName name="_xlnm.Print_Area" localSheetId="2">'03.18'!$A$1:$I$124</definedName>
    <definedName name="_xlnm.Print_Area" localSheetId="8">'09.18'!$A$1:$I$133</definedName>
  </definedNames>
  <calcPr calcId="124519"/>
</workbook>
</file>

<file path=xl/calcChain.xml><?xml version="1.0" encoding="utf-8"?>
<calcChain xmlns="http://schemas.openxmlformats.org/spreadsheetml/2006/main">
  <c r="I90" i="36"/>
  <c r="I86"/>
  <c r="I88" i="40" l="1"/>
  <c r="F38"/>
  <c r="H38" s="1"/>
  <c r="I58"/>
  <c r="I91"/>
  <c r="I90"/>
  <c r="I92" s="1"/>
  <c r="I75"/>
  <c r="I43"/>
  <c r="H90"/>
  <c r="E87"/>
  <c r="F87" s="1"/>
  <c r="F86"/>
  <c r="I86" s="1"/>
  <c r="I84"/>
  <c r="I83"/>
  <c r="I81"/>
  <c r="H81"/>
  <c r="I79"/>
  <c r="H79"/>
  <c r="H77"/>
  <c r="H76"/>
  <c r="F75"/>
  <c r="H75" s="1"/>
  <c r="I73"/>
  <c r="H73"/>
  <c r="I72"/>
  <c r="F72"/>
  <c r="H72" s="1"/>
  <c r="I71"/>
  <c r="F71"/>
  <c r="H71" s="1"/>
  <c r="F70"/>
  <c r="H70" s="1"/>
  <c r="F69"/>
  <c r="I69" s="1"/>
  <c r="F68"/>
  <c r="H68" s="1"/>
  <c r="H67"/>
  <c r="I66"/>
  <c r="H66"/>
  <c r="I64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I53"/>
  <c r="H53"/>
  <c r="F52"/>
  <c r="I52" s="1"/>
  <c r="F51"/>
  <c r="H51" s="1"/>
  <c r="I50"/>
  <c r="F50"/>
  <c r="H50" s="1"/>
  <c r="F49"/>
  <c r="H49" s="1"/>
  <c r="F48"/>
  <c r="I48" s="1"/>
  <c r="F47"/>
  <c r="H47" s="1"/>
  <c r="F46"/>
  <c r="I46" s="1"/>
  <c r="F44"/>
  <c r="I44" s="1"/>
  <c r="H43"/>
  <c r="F42"/>
  <c r="H42" s="1"/>
  <c r="F41"/>
  <c r="I41" s="1"/>
  <c r="F40"/>
  <c r="H40" s="1"/>
  <c r="F39"/>
  <c r="H39" s="1"/>
  <c r="I37"/>
  <c r="H37"/>
  <c r="H35"/>
  <c r="H34"/>
  <c r="H33"/>
  <c r="F33"/>
  <c r="I33" s="1"/>
  <c r="I32"/>
  <c r="H32"/>
  <c r="I31"/>
  <c r="F31"/>
  <c r="H31" s="1"/>
  <c r="I30"/>
  <c r="F30"/>
  <c r="H30" s="1"/>
  <c r="I29"/>
  <c r="F29"/>
  <c r="H29" s="1"/>
  <c r="F26"/>
  <c r="I26" s="1"/>
  <c r="I25"/>
  <c r="F25"/>
  <c r="H25" s="1"/>
  <c r="F24"/>
  <c r="I24" s="1"/>
  <c r="F23"/>
  <c r="H23" s="1"/>
  <c r="F22"/>
  <c r="I22" s="1"/>
  <c r="F21"/>
  <c r="H21" s="1"/>
  <c r="F20"/>
  <c r="I20" s="1"/>
  <c r="I19"/>
  <c r="F19"/>
  <c r="H19" s="1"/>
  <c r="E18"/>
  <c r="F18" s="1"/>
  <c r="F17"/>
  <c r="I17" s="1"/>
  <c r="F16"/>
  <c r="H16" s="1"/>
  <c r="H17" l="1"/>
  <c r="H41"/>
  <c r="I42"/>
  <c r="H86"/>
  <c r="H69"/>
  <c r="H26"/>
  <c r="H24"/>
  <c r="H22"/>
  <c r="H20"/>
  <c r="I18"/>
  <c r="H18"/>
  <c r="I87"/>
  <c r="H87"/>
  <c r="H88" s="1"/>
  <c r="I16"/>
  <c r="I21"/>
  <c r="I23"/>
  <c r="I38"/>
  <c r="I40"/>
  <c r="H46"/>
  <c r="I47"/>
  <c r="H48"/>
  <c r="I49"/>
  <c r="I51"/>
  <c r="H52"/>
  <c r="H59"/>
  <c r="H80" s="1"/>
  <c r="I61"/>
  <c r="I68"/>
  <c r="I70"/>
  <c r="I94" l="1"/>
  <c r="I103" i="39" l="1"/>
  <c r="I102"/>
  <c r="I101"/>
  <c r="I100"/>
  <c r="I99"/>
  <c r="I98"/>
  <c r="I97"/>
  <c r="I96"/>
  <c r="I95"/>
  <c r="I94"/>
  <c r="I93"/>
  <c r="I92"/>
  <c r="I89"/>
  <c r="F42"/>
  <c r="F41"/>
  <c r="F40"/>
  <c r="F39"/>
  <c r="F38"/>
  <c r="F43"/>
  <c r="I44"/>
  <c r="I43"/>
  <c r="I45"/>
  <c r="F45"/>
  <c r="F60"/>
  <c r="F62"/>
  <c r="I62" s="1"/>
  <c r="F76"/>
  <c r="H76" s="1"/>
  <c r="I91"/>
  <c r="H91"/>
  <c r="E88"/>
  <c r="F88" s="1"/>
  <c r="F87"/>
  <c r="I87" s="1"/>
  <c r="I85"/>
  <c r="I84"/>
  <c r="I82"/>
  <c r="H82"/>
  <c r="I80"/>
  <c r="H80"/>
  <c r="H78"/>
  <c r="H77"/>
  <c r="I76"/>
  <c r="I74"/>
  <c r="H74"/>
  <c r="I73"/>
  <c r="F73"/>
  <c r="H73" s="1"/>
  <c r="I72"/>
  <c r="F72"/>
  <c r="H72" s="1"/>
  <c r="F71"/>
  <c r="I71" s="1"/>
  <c r="F70"/>
  <c r="I70" s="1"/>
  <c r="F69"/>
  <c r="I69" s="1"/>
  <c r="H68"/>
  <c r="I67"/>
  <c r="H67"/>
  <c r="I65"/>
  <c r="H65"/>
  <c r="F65"/>
  <c r="H64"/>
  <c r="I61"/>
  <c r="H61"/>
  <c r="I60"/>
  <c r="F59"/>
  <c r="I59" s="1"/>
  <c r="I56"/>
  <c r="F56"/>
  <c r="H56" s="1"/>
  <c r="I55"/>
  <c r="F55"/>
  <c r="H55" s="1"/>
  <c r="I54"/>
  <c r="H54"/>
  <c r="F53"/>
  <c r="I53" s="1"/>
  <c r="F52"/>
  <c r="I52" s="1"/>
  <c r="I51"/>
  <c r="F51"/>
  <c r="H51" s="1"/>
  <c r="F50"/>
  <c r="I50" s="1"/>
  <c r="F49"/>
  <c r="I49" s="1"/>
  <c r="F48"/>
  <c r="I48" s="1"/>
  <c r="F47"/>
  <c r="I47" s="1"/>
  <c r="H44"/>
  <c r="I42"/>
  <c r="I41"/>
  <c r="H40"/>
  <c r="I39"/>
  <c r="I38"/>
  <c r="I37"/>
  <c r="H37"/>
  <c r="H35"/>
  <c r="H34"/>
  <c r="H33"/>
  <c r="F33"/>
  <c r="I33" s="1"/>
  <c r="I32"/>
  <c r="H32"/>
  <c r="I31"/>
  <c r="F31"/>
  <c r="H31" s="1"/>
  <c r="I30"/>
  <c r="F30"/>
  <c r="H30" s="1"/>
  <c r="I29"/>
  <c r="F29"/>
  <c r="H29" s="1"/>
  <c r="F26"/>
  <c r="I26" s="1"/>
  <c r="I25"/>
  <c r="F25"/>
  <c r="H25" s="1"/>
  <c r="F24"/>
  <c r="I24" s="1"/>
  <c r="F23"/>
  <c r="I23" s="1"/>
  <c r="F22"/>
  <c r="I22" s="1"/>
  <c r="F21"/>
  <c r="I21" s="1"/>
  <c r="F20"/>
  <c r="I20" s="1"/>
  <c r="I19"/>
  <c r="F19"/>
  <c r="H19" s="1"/>
  <c r="E18"/>
  <c r="F18" s="1"/>
  <c r="F17"/>
  <c r="I17" s="1"/>
  <c r="F16"/>
  <c r="I16" s="1"/>
  <c r="H17" l="1"/>
  <c r="H39"/>
  <c r="H43"/>
  <c r="H62"/>
  <c r="H87"/>
  <c r="H41"/>
  <c r="H71"/>
  <c r="H69"/>
  <c r="H59"/>
  <c r="H52"/>
  <c r="H50"/>
  <c r="H48"/>
  <c r="H26"/>
  <c r="H24"/>
  <c r="H22"/>
  <c r="H20"/>
  <c r="H88"/>
  <c r="H89" s="1"/>
  <c r="I88"/>
  <c r="H18"/>
  <c r="I18"/>
  <c r="H16"/>
  <c r="H21"/>
  <c r="H23"/>
  <c r="H38"/>
  <c r="H42"/>
  <c r="H47"/>
  <c r="H49"/>
  <c r="H53"/>
  <c r="H60"/>
  <c r="H70"/>
  <c r="H81" l="1"/>
  <c r="I105"/>
  <c r="F52" i="38" l="1"/>
  <c r="I52" s="1"/>
  <c r="F51"/>
  <c r="I53"/>
  <c r="I51"/>
  <c r="I109"/>
  <c r="I95"/>
  <c r="I94"/>
  <c r="I93"/>
  <c r="I92"/>
  <c r="I91"/>
  <c r="I90"/>
  <c r="I66"/>
  <c r="H108"/>
  <c r="H90"/>
  <c r="E87"/>
  <c r="F87" s="1"/>
  <c r="H86"/>
  <c r="F86"/>
  <c r="I86" s="1"/>
  <c r="I84"/>
  <c r="I83"/>
  <c r="I81"/>
  <c r="H81"/>
  <c r="I79"/>
  <c r="H79"/>
  <c r="H77"/>
  <c r="H76"/>
  <c r="I75"/>
  <c r="H75"/>
  <c r="I73"/>
  <c r="H73"/>
  <c r="I72"/>
  <c r="F72"/>
  <c r="H72" s="1"/>
  <c r="I71"/>
  <c r="F71"/>
  <c r="H71" s="1"/>
  <c r="F70"/>
  <c r="I70" s="1"/>
  <c r="F69"/>
  <c r="H69" s="1"/>
  <c r="F68"/>
  <c r="I68" s="1"/>
  <c r="H67"/>
  <c r="H66"/>
  <c r="I64"/>
  <c r="H64"/>
  <c r="F64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H52"/>
  <c r="H51"/>
  <c r="I50"/>
  <c r="F50"/>
  <c r="H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I32"/>
  <c r="H32"/>
  <c r="I31"/>
  <c r="F31"/>
  <c r="H31" s="1"/>
  <c r="I30"/>
  <c r="F30"/>
  <c r="H30" s="1"/>
  <c r="I29"/>
  <c r="H29"/>
  <c r="F29"/>
  <c r="F26"/>
  <c r="H26" s="1"/>
  <c r="I25"/>
  <c r="H25"/>
  <c r="F25"/>
  <c r="F24"/>
  <c r="H24" s="1"/>
  <c r="F23"/>
  <c r="I23" s="1"/>
  <c r="F22"/>
  <c r="H22" s="1"/>
  <c r="F21"/>
  <c r="I21" s="1"/>
  <c r="F20"/>
  <c r="H20" s="1"/>
  <c r="I19"/>
  <c r="F19"/>
  <c r="H19" s="1"/>
  <c r="F18"/>
  <c r="H18" s="1"/>
  <c r="E18"/>
  <c r="F17"/>
  <c r="H17" s="1"/>
  <c r="H16"/>
  <c r="F16"/>
  <c r="I16" s="1"/>
  <c r="I88" i="37"/>
  <c r="I66"/>
  <c r="I112" i="36"/>
  <c r="I111"/>
  <c r="I110"/>
  <c r="I100"/>
  <c r="I88" i="38" l="1"/>
  <c r="H70"/>
  <c r="H68"/>
  <c r="H61"/>
  <c r="H58"/>
  <c r="H48"/>
  <c r="H46"/>
  <c r="H42"/>
  <c r="H38"/>
  <c r="H23"/>
  <c r="H21"/>
  <c r="H80"/>
  <c r="I87"/>
  <c r="H87"/>
  <c r="H88" s="1"/>
  <c r="I17"/>
  <c r="I18"/>
  <c r="I20"/>
  <c r="I22"/>
  <c r="I24"/>
  <c r="I26"/>
  <c r="I39"/>
  <c r="I41"/>
  <c r="I43"/>
  <c r="I47"/>
  <c r="I49"/>
  <c r="I59"/>
  <c r="I69"/>
  <c r="I109" i="37"/>
  <c r="I91"/>
  <c r="I73"/>
  <c r="I94"/>
  <c r="I93"/>
  <c r="I92"/>
  <c r="I90"/>
  <c r="H108"/>
  <c r="H90"/>
  <c r="E87"/>
  <c r="F87" s="1"/>
  <c r="F86"/>
  <c r="H86" s="1"/>
  <c r="I84"/>
  <c r="I83"/>
  <c r="I81"/>
  <c r="H81"/>
  <c r="I79"/>
  <c r="H79"/>
  <c r="H77"/>
  <c r="H76"/>
  <c r="I75"/>
  <c r="H75"/>
  <c r="H73"/>
  <c r="I72"/>
  <c r="F72"/>
  <c r="H72" s="1"/>
  <c r="I71"/>
  <c r="F71"/>
  <c r="H71" s="1"/>
  <c r="F70"/>
  <c r="I70" s="1"/>
  <c r="F69"/>
  <c r="H69" s="1"/>
  <c r="F68"/>
  <c r="I68" s="1"/>
  <c r="H67"/>
  <c r="H66"/>
  <c r="I64"/>
  <c r="F64"/>
  <c r="H64" s="1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I50"/>
  <c r="H50"/>
  <c r="F50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I32"/>
  <c r="H32"/>
  <c r="I31"/>
  <c r="F31"/>
  <c r="H31" s="1"/>
  <c r="I30"/>
  <c r="F30"/>
  <c r="H30" s="1"/>
  <c r="I29"/>
  <c r="F29"/>
  <c r="H29" s="1"/>
  <c r="F26"/>
  <c r="H26" s="1"/>
  <c r="I25"/>
  <c r="F25"/>
  <c r="H25" s="1"/>
  <c r="F24"/>
  <c r="H24" s="1"/>
  <c r="F23"/>
  <c r="I23" s="1"/>
  <c r="F22"/>
  <c r="H22" s="1"/>
  <c r="F21"/>
  <c r="I21" s="1"/>
  <c r="F20"/>
  <c r="H20" s="1"/>
  <c r="I19"/>
  <c r="F19"/>
  <c r="H19" s="1"/>
  <c r="E18"/>
  <c r="F18" s="1"/>
  <c r="H17"/>
  <c r="F17"/>
  <c r="I17" s="1"/>
  <c r="F16"/>
  <c r="I16" s="1"/>
  <c r="I111" i="38" l="1"/>
  <c r="H48" i="37"/>
  <c r="H46"/>
  <c r="H42"/>
  <c r="H38"/>
  <c r="H87"/>
  <c r="H88" s="1"/>
  <c r="I87"/>
  <c r="H18"/>
  <c r="I18"/>
  <c r="H16"/>
  <c r="I20"/>
  <c r="H21"/>
  <c r="I22"/>
  <c r="H23"/>
  <c r="I24"/>
  <c r="I26"/>
  <c r="I39"/>
  <c r="I41"/>
  <c r="I43"/>
  <c r="I47"/>
  <c r="I49"/>
  <c r="H58"/>
  <c r="I59"/>
  <c r="H61"/>
  <c r="H68"/>
  <c r="I69"/>
  <c r="H70"/>
  <c r="I86"/>
  <c r="H80" l="1"/>
  <c r="I111"/>
  <c r="I107" i="36" l="1"/>
  <c r="I106"/>
  <c r="I105"/>
  <c r="I104"/>
  <c r="I103"/>
  <c r="I102"/>
  <c r="I101"/>
  <c r="I99"/>
  <c r="I98"/>
  <c r="I97"/>
  <c r="I96"/>
  <c r="I95"/>
  <c r="I94"/>
  <c r="I93"/>
  <c r="I92"/>
  <c r="H109"/>
  <c r="H92"/>
  <c r="F89"/>
  <c r="H89" s="1"/>
  <c r="H90" s="1"/>
  <c r="E89"/>
  <c r="F88"/>
  <c r="H88" s="1"/>
  <c r="I84"/>
  <c r="I83"/>
  <c r="I81"/>
  <c r="H81"/>
  <c r="I79"/>
  <c r="H79"/>
  <c r="H77"/>
  <c r="H76"/>
  <c r="I75"/>
  <c r="H75"/>
  <c r="H73"/>
  <c r="I72"/>
  <c r="F72"/>
  <c r="H72" s="1"/>
  <c r="I71"/>
  <c r="F71"/>
  <c r="H71" s="1"/>
  <c r="F70"/>
  <c r="I70" s="1"/>
  <c r="F69"/>
  <c r="H69" s="1"/>
  <c r="F68"/>
  <c r="I68" s="1"/>
  <c r="H67"/>
  <c r="I66"/>
  <c r="H66"/>
  <c r="I64"/>
  <c r="H64"/>
  <c r="F64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I50"/>
  <c r="F50"/>
  <c r="H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I32"/>
  <c r="H32"/>
  <c r="I31"/>
  <c r="F31"/>
  <c r="H31" s="1"/>
  <c r="I30"/>
  <c r="F30"/>
  <c r="H30" s="1"/>
  <c r="I29"/>
  <c r="H29"/>
  <c r="F29"/>
  <c r="F26"/>
  <c r="H26" s="1"/>
  <c r="I25"/>
  <c r="H25"/>
  <c r="F25"/>
  <c r="F24"/>
  <c r="H24" s="1"/>
  <c r="F23"/>
  <c r="I23" s="1"/>
  <c r="F22"/>
  <c r="H22" s="1"/>
  <c r="F21"/>
  <c r="I21" s="1"/>
  <c r="F20"/>
  <c r="H20" s="1"/>
  <c r="I19"/>
  <c r="H19"/>
  <c r="F19"/>
  <c r="F18"/>
  <c r="H18" s="1"/>
  <c r="E18"/>
  <c r="F17"/>
  <c r="H17" s="1"/>
  <c r="H16"/>
  <c r="F16"/>
  <c r="I16" s="1"/>
  <c r="I57" i="32"/>
  <c r="I57" i="31"/>
  <c r="I57" i="30"/>
  <c r="I57" i="17"/>
  <c r="I88" i="35"/>
  <c r="I92"/>
  <c r="I91"/>
  <c r="I90"/>
  <c r="H91"/>
  <c r="H90"/>
  <c r="E87"/>
  <c r="F87" s="1"/>
  <c r="F86"/>
  <c r="I86" s="1"/>
  <c r="I84"/>
  <c r="I83"/>
  <c r="I81"/>
  <c r="H81"/>
  <c r="I79"/>
  <c r="H79"/>
  <c r="H77"/>
  <c r="H76"/>
  <c r="I75"/>
  <c r="H75"/>
  <c r="H73"/>
  <c r="I72"/>
  <c r="F72"/>
  <c r="H72" s="1"/>
  <c r="I71"/>
  <c r="F71"/>
  <c r="H71" s="1"/>
  <c r="F70"/>
  <c r="I70" s="1"/>
  <c r="F69"/>
  <c r="I69" s="1"/>
  <c r="F68"/>
  <c r="I68" s="1"/>
  <c r="H67"/>
  <c r="I66"/>
  <c r="H66"/>
  <c r="I64"/>
  <c r="F64"/>
  <c r="H64" s="1"/>
  <c r="H63"/>
  <c r="F61"/>
  <c r="I61" s="1"/>
  <c r="I60"/>
  <c r="H60"/>
  <c r="F59"/>
  <c r="I59" s="1"/>
  <c r="F58"/>
  <c r="I58" s="1"/>
  <c r="I55"/>
  <c r="F55"/>
  <c r="H55" s="1"/>
  <c r="I54"/>
  <c r="F54"/>
  <c r="H54" s="1"/>
  <c r="H53"/>
  <c r="F52"/>
  <c r="H52" s="1"/>
  <c r="F51"/>
  <c r="H51" s="1"/>
  <c r="I50"/>
  <c r="F50"/>
  <c r="H50" s="1"/>
  <c r="F49"/>
  <c r="I49" s="1"/>
  <c r="F48"/>
  <c r="I48" s="1"/>
  <c r="F47"/>
  <c r="I47" s="1"/>
  <c r="F46"/>
  <c r="I46" s="1"/>
  <c r="I44"/>
  <c r="H44"/>
  <c r="F43"/>
  <c r="I43" s="1"/>
  <c r="F42"/>
  <c r="I42" s="1"/>
  <c r="F41"/>
  <c r="I41" s="1"/>
  <c r="H40"/>
  <c r="F39"/>
  <c r="I39" s="1"/>
  <c r="F38"/>
  <c r="I38" s="1"/>
  <c r="I37"/>
  <c r="H37"/>
  <c r="H35"/>
  <c r="H34"/>
  <c r="H33"/>
  <c r="F33"/>
  <c r="I33" s="1"/>
  <c r="I32"/>
  <c r="H32"/>
  <c r="I31"/>
  <c r="F31"/>
  <c r="H31" s="1"/>
  <c r="I30"/>
  <c r="H30"/>
  <c r="F30"/>
  <c r="I29"/>
  <c r="F29"/>
  <c r="H29" s="1"/>
  <c r="F26"/>
  <c r="I26" s="1"/>
  <c r="I25"/>
  <c r="F25"/>
  <c r="H25" s="1"/>
  <c r="F24"/>
  <c r="I24" s="1"/>
  <c r="F23"/>
  <c r="I23" s="1"/>
  <c r="F22"/>
  <c r="I22" s="1"/>
  <c r="F21"/>
  <c r="I21" s="1"/>
  <c r="F20"/>
  <c r="I20" s="1"/>
  <c r="I19"/>
  <c r="F19"/>
  <c r="H19" s="1"/>
  <c r="E18"/>
  <c r="F18" s="1"/>
  <c r="F17"/>
  <c r="I17" s="1"/>
  <c r="F16"/>
  <c r="I16" s="1"/>
  <c r="I88" i="34"/>
  <c r="H94"/>
  <c r="H93"/>
  <c r="I92"/>
  <c r="H92"/>
  <c r="H91"/>
  <c r="I90"/>
  <c r="H90"/>
  <c r="E87"/>
  <c r="F87" s="1"/>
  <c r="H86"/>
  <c r="F86"/>
  <c r="I86" s="1"/>
  <c r="I84"/>
  <c r="I83"/>
  <c r="I81"/>
  <c r="H81"/>
  <c r="I79"/>
  <c r="H79"/>
  <c r="H77"/>
  <c r="H76"/>
  <c r="I75"/>
  <c r="H75"/>
  <c r="H73"/>
  <c r="I72"/>
  <c r="F72"/>
  <c r="H72" s="1"/>
  <c r="I71"/>
  <c r="F71"/>
  <c r="H71" s="1"/>
  <c r="F70"/>
  <c r="H70" s="1"/>
  <c r="F69"/>
  <c r="I69" s="1"/>
  <c r="F68"/>
  <c r="H68" s="1"/>
  <c r="H67"/>
  <c r="I66"/>
  <c r="H66"/>
  <c r="I64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I50"/>
  <c r="F50"/>
  <c r="H50" s="1"/>
  <c r="F49"/>
  <c r="I49" s="1"/>
  <c r="H48"/>
  <c r="F48"/>
  <c r="I48" s="1"/>
  <c r="F47"/>
  <c r="I47" s="1"/>
  <c r="F46"/>
  <c r="I46" s="1"/>
  <c r="I44"/>
  <c r="H44"/>
  <c r="F43"/>
  <c r="I43" s="1"/>
  <c r="F42"/>
  <c r="I42" s="1"/>
  <c r="F41"/>
  <c r="I41" s="1"/>
  <c r="H40"/>
  <c r="F39"/>
  <c r="I39" s="1"/>
  <c r="F38"/>
  <c r="I38" s="1"/>
  <c r="I37"/>
  <c r="H37"/>
  <c r="H35"/>
  <c r="H34"/>
  <c r="H33"/>
  <c r="F33"/>
  <c r="I33" s="1"/>
  <c r="I32"/>
  <c r="H32"/>
  <c r="I31"/>
  <c r="F31"/>
  <c r="H31" s="1"/>
  <c r="I30"/>
  <c r="F30"/>
  <c r="H30" s="1"/>
  <c r="I29"/>
  <c r="H29"/>
  <c r="F29"/>
  <c r="F26"/>
  <c r="I26" s="1"/>
  <c r="I25"/>
  <c r="H25"/>
  <c r="F25"/>
  <c r="F24"/>
  <c r="I24" s="1"/>
  <c r="F23"/>
  <c r="I23" s="1"/>
  <c r="F22"/>
  <c r="I22" s="1"/>
  <c r="F21"/>
  <c r="I21" s="1"/>
  <c r="F20"/>
  <c r="I20" s="1"/>
  <c r="I19"/>
  <c r="F19"/>
  <c r="H19" s="1"/>
  <c r="F18"/>
  <c r="I18" s="1"/>
  <c r="E18"/>
  <c r="F17"/>
  <c r="I17" s="1"/>
  <c r="F16"/>
  <c r="H16" s="1"/>
  <c r="I19" i="33"/>
  <c r="I25"/>
  <c r="I29"/>
  <c r="I30"/>
  <c r="I31"/>
  <c r="I32"/>
  <c r="I50"/>
  <c r="I71"/>
  <c r="I72"/>
  <c r="I84"/>
  <c r="I83"/>
  <c r="I90"/>
  <c r="I64"/>
  <c r="I101" i="31"/>
  <c r="I100"/>
  <c r="H94" i="33"/>
  <c r="H93"/>
  <c r="I92"/>
  <c r="I95" s="1"/>
  <c r="H92"/>
  <c r="H91"/>
  <c r="H90"/>
  <c r="E87"/>
  <c r="F87" s="1"/>
  <c r="F86"/>
  <c r="H86" s="1"/>
  <c r="I81"/>
  <c r="H81"/>
  <c r="I79"/>
  <c r="H79"/>
  <c r="H77"/>
  <c r="H76"/>
  <c r="I75"/>
  <c r="H75"/>
  <c r="H73"/>
  <c r="F72"/>
  <c r="H71"/>
  <c r="F71"/>
  <c r="F70"/>
  <c r="I70" s="1"/>
  <c r="H69"/>
  <c r="F69"/>
  <c r="I69" s="1"/>
  <c r="F68"/>
  <c r="I68" s="1"/>
  <c r="H67"/>
  <c r="I66"/>
  <c r="H66"/>
  <c r="F64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F52"/>
  <c r="H52" s="1"/>
  <c r="F51"/>
  <c r="H51" s="1"/>
  <c r="H50"/>
  <c r="F50"/>
  <c r="F49"/>
  <c r="H49" s="1"/>
  <c r="H48"/>
  <c r="F48"/>
  <c r="I48" s="1"/>
  <c r="F47"/>
  <c r="H47" s="1"/>
  <c r="H46"/>
  <c r="F46"/>
  <c r="I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H32"/>
  <c r="H31"/>
  <c r="F31"/>
  <c r="F30"/>
  <c r="H30" s="1"/>
  <c r="H29"/>
  <c r="F29"/>
  <c r="F26"/>
  <c r="H26" s="1"/>
  <c r="H25"/>
  <c r="F25"/>
  <c r="F24"/>
  <c r="H24" s="1"/>
  <c r="H23"/>
  <c r="F23"/>
  <c r="I23" s="1"/>
  <c r="F22"/>
  <c r="H22" s="1"/>
  <c r="H21"/>
  <c r="F21"/>
  <c r="I21" s="1"/>
  <c r="F20"/>
  <c r="H20" s="1"/>
  <c r="H19"/>
  <c r="F19"/>
  <c r="F18"/>
  <c r="H18" s="1"/>
  <c r="E18"/>
  <c r="F17"/>
  <c r="H17" s="1"/>
  <c r="H16"/>
  <c r="F16"/>
  <c r="I16" s="1"/>
  <c r="H70" i="36" l="1"/>
  <c r="H68"/>
  <c r="H61"/>
  <c r="H58"/>
  <c r="H80" s="1"/>
  <c r="H48"/>
  <c r="H46"/>
  <c r="H42"/>
  <c r="H38"/>
  <c r="H23"/>
  <c r="H21"/>
  <c r="I17"/>
  <c r="I18"/>
  <c r="I20"/>
  <c r="I22"/>
  <c r="I24"/>
  <c r="I26"/>
  <c r="I39"/>
  <c r="I41"/>
  <c r="I43"/>
  <c r="I47"/>
  <c r="I49"/>
  <c r="I59"/>
  <c r="I69"/>
  <c r="I88"/>
  <c r="I89"/>
  <c r="H17" i="35"/>
  <c r="H26"/>
  <c r="H86"/>
  <c r="H69"/>
  <c r="H59"/>
  <c r="H49"/>
  <c r="H47"/>
  <c r="H43"/>
  <c r="H41"/>
  <c r="H39"/>
  <c r="H24"/>
  <c r="H22"/>
  <c r="H20"/>
  <c r="H18"/>
  <c r="I18"/>
  <c r="H87"/>
  <c r="H88" s="1"/>
  <c r="I87"/>
  <c r="I94" s="1"/>
  <c r="H16"/>
  <c r="H21"/>
  <c r="H23"/>
  <c r="H38"/>
  <c r="H42"/>
  <c r="H46"/>
  <c r="H48"/>
  <c r="H58"/>
  <c r="H61"/>
  <c r="H68"/>
  <c r="H70"/>
  <c r="H69" i="34"/>
  <c r="H59"/>
  <c r="H46"/>
  <c r="H42"/>
  <c r="H38"/>
  <c r="H23"/>
  <c r="H21"/>
  <c r="I87"/>
  <c r="H87"/>
  <c r="H88" s="1"/>
  <c r="H80"/>
  <c r="I16"/>
  <c r="H17"/>
  <c r="H18"/>
  <c r="H20"/>
  <c r="H22"/>
  <c r="H24"/>
  <c r="H26"/>
  <c r="H39"/>
  <c r="H41"/>
  <c r="H43"/>
  <c r="H47"/>
  <c r="H49"/>
  <c r="I58"/>
  <c r="I61"/>
  <c r="I68"/>
  <c r="I70"/>
  <c r="H42" i="33"/>
  <c r="H38"/>
  <c r="H87"/>
  <c r="H88" s="1"/>
  <c r="I87"/>
  <c r="I17"/>
  <c r="I18"/>
  <c r="I20"/>
  <c r="I22"/>
  <c r="I24"/>
  <c r="I26"/>
  <c r="I39"/>
  <c r="I41"/>
  <c r="I43"/>
  <c r="I47"/>
  <c r="I49"/>
  <c r="I88" s="1"/>
  <c r="H58"/>
  <c r="I59"/>
  <c r="H61"/>
  <c r="H64"/>
  <c r="H68"/>
  <c r="H70"/>
  <c r="H72"/>
  <c r="I86"/>
  <c r="I114" i="36" l="1"/>
  <c r="H80" i="35"/>
  <c r="I97" i="34"/>
  <c r="I97" i="33"/>
  <c r="H80"/>
  <c r="I98" i="32" l="1"/>
  <c r="I91"/>
  <c r="I93"/>
  <c r="I97" l="1"/>
  <c r="I96"/>
  <c r="I95"/>
  <c r="I94"/>
  <c r="H97"/>
  <c r="H96"/>
  <c r="H95"/>
  <c r="H94"/>
  <c r="H93"/>
  <c r="E90"/>
  <c r="F90" s="1"/>
  <c r="F89"/>
  <c r="H89" s="1"/>
  <c r="H87"/>
  <c r="H86"/>
  <c r="I84"/>
  <c r="H84"/>
  <c r="F82"/>
  <c r="H82" s="1"/>
  <c r="I81"/>
  <c r="H81"/>
  <c r="F80"/>
  <c r="H80" s="1"/>
  <c r="H79"/>
  <c r="F78"/>
  <c r="H78" s="1"/>
  <c r="F76"/>
  <c r="I76" s="1"/>
  <c r="F75"/>
  <c r="I75" s="1"/>
  <c r="F73"/>
  <c r="I73" s="1"/>
  <c r="F72"/>
  <c r="I72" s="1"/>
  <c r="F71"/>
  <c r="I71" s="1"/>
  <c r="H70"/>
  <c r="F70"/>
  <c r="I70" s="1"/>
  <c r="F69"/>
  <c r="I69" s="1"/>
  <c r="F68"/>
  <c r="I68" s="1"/>
  <c r="F67"/>
  <c r="H67" s="1"/>
  <c r="I66"/>
  <c r="F66"/>
  <c r="H66" s="1"/>
  <c r="F64"/>
  <c r="I64" s="1"/>
  <c r="F63"/>
  <c r="H63" s="1"/>
  <c r="H61"/>
  <c r="F60"/>
  <c r="I60" s="1"/>
  <c r="F59"/>
  <c r="H59" s="1"/>
  <c r="F58"/>
  <c r="I58" s="1"/>
  <c r="F57"/>
  <c r="I54"/>
  <c r="F54"/>
  <c r="H54" s="1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F43"/>
  <c r="I43" s="1"/>
  <c r="I42"/>
  <c r="H42"/>
  <c r="F41"/>
  <c r="I41" s="1"/>
  <c r="F40"/>
  <c r="I40" s="1"/>
  <c r="F39"/>
  <c r="I39" s="1"/>
  <c r="F38"/>
  <c r="I38" s="1"/>
  <c r="I37"/>
  <c r="H37"/>
  <c r="H35"/>
  <c r="H34"/>
  <c r="H33"/>
  <c r="F33"/>
  <c r="I33" s="1"/>
  <c r="E33"/>
  <c r="F32"/>
  <c r="I32" s="1"/>
  <c r="F31"/>
  <c r="I31" s="1"/>
  <c r="F30"/>
  <c r="I30" s="1"/>
  <c r="F29"/>
  <c r="I29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H43" l="1"/>
  <c r="H38"/>
  <c r="H25"/>
  <c r="H16"/>
  <c r="H40"/>
  <c r="H57"/>
  <c r="H60"/>
  <c r="H64"/>
  <c r="H75"/>
  <c r="H68"/>
  <c r="H72"/>
  <c r="H50"/>
  <c r="H48"/>
  <c r="H46"/>
  <c r="H31"/>
  <c r="H29"/>
  <c r="H23"/>
  <c r="H21"/>
  <c r="H19"/>
  <c r="H90"/>
  <c r="H91" s="1"/>
  <c r="I90"/>
  <c r="H17"/>
  <c r="H18"/>
  <c r="H20"/>
  <c r="H22"/>
  <c r="H24"/>
  <c r="H26"/>
  <c r="H30"/>
  <c r="H32"/>
  <c r="H39"/>
  <c r="H41"/>
  <c r="H45"/>
  <c r="H47"/>
  <c r="H49"/>
  <c r="H51"/>
  <c r="H58"/>
  <c r="H69"/>
  <c r="H71"/>
  <c r="H73"/>
  <c r="H76"/>
  <c r="I89"/>
  <c r="I100" l="1"/>
  <c r="H85"/>
  <c r="I99" i="31" l="1"/>
  <c r="I98"/>
  <c r="I96"/>
  <c r="I97"/>
  <c r="I95"/>
  <c r="I94"/>
  <c r="H99"/>
  <c r="H98"/>
  <c r="H97"/>
  <c r="H96"/>
  <c r="H95"/>
  <c r="H94"/>
  <c r="H93"/>
  <c r="I91"/>
  <c r="I81"/>
  <c r="I66"/>
  <c r="I42"/>
  <c r="I41"/>
  <c r="I93"/>
  <c r="E90"/>
  <c r="F90" s="1"/>
  <c r="F89"/>
  <c r="H89" s="1"/>
  <c r="H87"/>
  <c r="H86"/>
  <c r="I84"/>
  <c r="H84"/>
  <c r="F82"/>
  <c r="H82" s="1"/>
  <c r="H81"/>
  <c r="F80"/>
  <c r="H80" s="1"/>
  <c r="H79"/>
  <c r="H78"/>
  <c r="F78"/>
  <c r="F76"/>
  <c r="H76" s="1"/>
  <c r="H75"/>
  <c r="F75"/>
  <c r="I75" s="1"/>
  <c r="F73"/>
  <c r="H73" s="1"/>
  <c r="F72"/>
  <c r="I72" s="1"/>
  <c r="F71"/>
  <c r="H71" s="1"/>
  <c r="F70"/>
  <c r="I70" s="1"/>
  <c r="F69"/>
  <c r="H69" s="1"/>
  <c r="F68"/>
  <c r="I68" s="1"/>
  <c r="F67"/>
  <c r="H67" s="1"/>
  <c r="F66"/>
  <c r="H66" s="1"/>
  <c r="F64"/>
  <c r="H64" s="1"/>
  <c r="F63"/>
  <c r="H63" s="1"/>
  <c r="H61"/>
  <c r="F60"/>
  <c r="H60" s="1"/>
  <c r="F59"/>
  <c r="H59" s="1"/>
  <c r="H58"/>
  <c r="F58"/>
  <c r="I58" s="1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3"/>
  <c r="H43" s="1"/>
  <c r="H42"/>
  <c r="F41"/>
  <c r="F40"/>
  <c r="H40" s="1"/>
  <c r="F39"/>
  <c r="I39" s="1"/>
  <c r="H38"/>
  <c r="F38"/>
  <c r="I38" s="1"/>
  <c r="I37"/>
  <c r="H37"/>
  <c r="H35"/>
  <c r="H34"/>
  <c r="H33"/>
  <c r="F33"/>
  <c r="I33" s="1"/>
  <c r="E33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H17"/>
  <c r="F17"/>
  <c r="I17" s="1"/>
  <c r="F16"/>
  <c r="H16" s="1"/>
  <c r="I42" i="30"/>
  <c r="I41"/>
  <c r="I41" i="17"/>
  <c r="I42"/>
  <c r="H68" i="31" l="1"/>
  <c r="H72"/>
  <c r="H85" s="1"/>
  <c r="H70"/>
  <c r="H51"/>
  <c r="I18"/>
  <c r="H18"/>
  <c r="H90"/>
  <c r="H91" s="1"/>
  <c r="I90"/>
  <c r="I16"/>
  <c r="I19"/>
  <c r="H20"/>
  <c r="I21"/>
  <c r="H22"/>
  <c r="I23"/>
  <c r="H24"/>
  <c r="I25"/>
  <c r="H26"/>
  <c r="I29"/>
  <c r="H30"/>
  <c r="I31"/>
  <c r="H32"/>
  <c r="H39"/>
  <c r="I40"/>
  <c r="H41"/>
  <c r="I43"/>
  <c r="H45"/>
  <c r="I46"/>
  <c r="H47"/>
  <c r="I48"/>
  <c r="H49"/>
  <c r="I50"/>
  <c r="I60"/>
  <c r="I64"/>
  <c r="I69"/>
  <c r="I71"/>
  <c r="I73"/>
  <c r="I76"/>
  <c r="I89"/>
  <c r="I103" l="1"/>
  <c r="I93" i="30" l="1"/>
  <c r="I80"/>
  <c r="E90"/>
  <c r="F90" s="1"/>
  <c r="H90" s="1"/>
  <c r="H91" s="1"/>
  <c r="F89"/>
  <c r="H89" s="1"/>
  <c r="H87"/>
  <c r="H86"/>
  <c r="I84"/>
  <c r="H84"/>
  <c r="F82"/>
  <c r="H82" s="1"/>
  <c r="H81"/>
  <c r="F80"/>
  <c r="H80" s="1"/>
  <c r="H79"/>
  <c r="F78"/>
  <c r="H78" s="1"/>
  <c r="F76"/>
  <c r="H76" s="1"/>
  <c r="F75"/>
  <c r="I75" s="1"/>
  <c r="F73"/>
  <c r="H73" s="1"/>
  <c r="F72"/>
  <c r="I72" s="1"/>
  <c r="F71"/>
  <c r="H71" s="1"/>
  <c r="F70"/>
  <c r="I70" s="1"/>
  <c r="F69"/>
  <c r="H69" s="1"/>
  <c r="F68"/>
  <c r="I68" s="1"/>
  <c r="F67"/>
  <c r="H67" s="1"/>
  <c r="F66"/>
  <c r="H66" s="1"/>
  <c r="F64"/>
  <c r="H64" s="1"/>
  <c r="F63"/>
  <c r="H63" s="1"/>
  <c r="H61"/>
  <c r="F60"/>
  <c r="H60" s="1"/>
  <c r="F59"/>
  <c r="H59" s="1"/>
  <c r="F58"/>
  <c r="I58" s="1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3"/>
  <c r="H43" s="1"/>
  <c r="H42"/>
  <c r="F41"/>
  <c r="F40"/>
  <c r="H40" s="1"/>
  <c r="F39"/>
  <c r="I39" s="1"/>
  <c r="F38"/>
  <c r="H38" s="1"/>
  <c r="I37"/>
  <c r="H37"/>
  <c r="H35"/>
  <c r="H34"/>
  <c r="H33"/>
  <c r="F33"/>
  <c r="I33" s="1"/>
  <c r="E33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5" i="17"/>
  <c r="I94"/>
  <c r="H94"/>
  <c r="I93"/>
  <c r="H93"/>
  <c r="I52"/>
  <c r="H22" i="30" l="1"/>
  <c r="H26"/>
  <c r="H32"/>
  <c r="H39"/>
  <c r="H45"/>
  <c r="H49"/>
  <c r="H58"/>
  <c r="H70"/>
  <c r="H75"/>
  <c r="H17"/>
  <c r="H20"/>
  <c r="H24"/>
  <c r="H30"/>
  <c r="H41"/>
  <c r="H47"/>
  <c r="H51"/>
  <c r="H68"/>
  <c r="H72"/>
  <c r="I18"/>
  <c r="H18"/>
  <c r="H85"/>
  <c r="I16"/>
  <c r="I19"/>
  <c r="I21"/>
  <c r="I23"/>
  <c r="I25"/>
  <c r="I29"/>
  <c r="I31"/>
  <c r="I38"/>
  <c r="I40"/>
  <c r="I43"/>
  <c r="I46"/>
  <c r="I48"/>
  <c r="I50"/>
  <c r="I60"/>
  <c r="I64"/>
  <c r="I69"/>
  <c r="I71"/>
  <c r="I73"/>
  <c r="I76"/>
  <c r="I89"/>
  <c r="I90"/>
  <c r="I37" i="17"/>
  <c r="E90"/>
  <c r="F90" s="1"/>
  <c r="H90" s="1"/>
  <c r="F89"/>
  <c r="I89" s="1"/>
  <c r="H87"/>
  <c r="H86"/>
  <c r="I84"/>
  <c r="H84"/>
  <c r="F82"/>
  <c r="H82" s="1"/>
  <c r="H81"/>
  <c r="F80"/>
  <c r="H80" s="1"/>
  <c r="H79"/>
  <c r="F78"/>
  <c r="H78" s="1"/>
  <c r="F76"/>
  <c r="I76" s="1"/>
  <c r="F75"/>
  <c r="H75" s="1"/>
  <c r="F73"/>
  <c r="F72"/>
  <c r="F71"/>
  <c r="F70"/>
  <c r="F69"/>
  <c r="F68"/>
  <c r="F67"/>
  <c r="H67" s="1"/>
  <c r="F66"/>
  <c r="H66" s="1"/>
  <c r="F64"/>
  <c r="I64" s="1"/>
  <c r="F63"/>
  <c r="H63" s="1"/>
  <c r="H61"/>
  <c r="F60"/>
  <c r="I60" s="1"/>
  <c r="F59"/>
  <c r="H59" s="1"/>
  <c r="F58"/>
  <c r="H58" s="1"/>
  <c r="F57"/>
  <c r="I54"/>
  <c r="F54"/>
  <c r="H54" s="1"/>
  <c r="I53"/>
  <c r="F53"/>
  <c r="H53" s="1"/>
  <c r="H52"/>
  <c r="F51"/>
  <c r="F50"/>
  <c r="F49"/>
  <c r="H49" s="1"/>
  <c r="F48"/>
  <c r="F47"/>
  <c r="F46"/>
  <c r="F45"/>
  <c r="F43"/>
  <c r="H43" s="1"/>
  <c r="H42"/>
  <c r="F41"/>
  <c r="F40"/>
  <c r="H40" s="1"/>
  <c r="F39"/>
  <c r="I39" s="1"/>
  <c r="F38"/>
  <c r="H38" s="1"/>
  <c r="H37"/>
  <c r="F26"/>
  <c r="H26" s="1"/>
  <c r="H35"/>
  <c r="H34"/>
  <c r="F25"/>
  <c r="I25" s="1"/>
  <c r="H33"/>
  <c r="F33"/>
  <c r="I33" s="1"/>
  <c r="E33"/>
  <c r="F32"/>
  <c r="H32" s="1"/>
  <c r="F31"/>
  <c r="H31" s="1"/>
  <c r="F30"/>
  <c r="H30" s="1"/>
  <c r="F29"/>
  <c r="H29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91" i="30" l="1"/>
  <c r="I95" s="1"/>
  <c r="I40" i="17"/>
  <c r="I38"/>
  <c r="H69"/>
  <c r="I69"/>
  <c r="H71"/>
  <c r="I71"/>
  <c r="H73"/>
  <c r="I73"/>
  <c r="H68"/>
  <c r="I68"/>
  <c r="H70"/>
  <c r="I70"/>
  <c r="H72"/>
  <c r="I72"/>
  <c r="H51"/>
  <c r="I51"/>
  <c r="H50"/>
  <c r="I50"/>
  <c r="H45"/>
  <c r="I45"/>
  <c r="H47"/>
  <c r="I47"/>
  <c r="H46"/>
  <c r="I46"/>
  <c r="H48"/>
  <c r="I48"/>
  <c r="I29"/>
  <c r="I32"/>
  <c r="I31"/>
  <c r="I30"/>
  <c r="I20"/>
  <c r="I19"/>
  <c r="I23"/>
  <c r="I24"/>
  <c r="I22"/>
  <c r="I21"/>
  <c r="H64"/>
  <c r="H16"/>
  <c r="H25"/>
  <c r="H39"/>
  <c r="H60"/>
  <c r="H76"/>
  <c r="H89"/>
  <c r="H41"/>
  <c r="H57"/>
  <c r="I17"/>
  <c r="I18"/>
  <c r="I26"/>
  <c r="I43"/>
  <c r="I49"/>
  <c r="I58"/>
  <c r="I75"/>
  <c r="I90"/>
  <c r="I91" l="1"/>
  <c r="H85"/>
  <c r="H91" l="1"/>
  <c r="I97" l="1"/>
</calcChain>
</file>

<file path=xl/sharedStrings.xml><?xml version="1.0" encoding="utf-8"?>
<sst xmlns="http://schemas.openxmlformats.org/spreadsheetml/2006/main" count="2886" uniqueCount="278">
  <si>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</si>
  <si>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</si>
  <si>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</si>
  <si>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</si>
  <si>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</si>
  <si>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</si>
  <si>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</si>
  <si>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</si>
  <si>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</si>
  <si>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</si>
  <si>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</si>
  <si>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</si>
  <si>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</si>
  <si>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</si>
  <si>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</si>
  <si>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</si>
  <si>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</si>
  <si>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</si>
  <si>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</si>
  <si>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</si>
  <si>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</si>
  <si>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</si>
  <si>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</si>
  <si>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</si>
  <si>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</si>
  <si>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</si>
  <si>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</si>
  <si>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</si>
  <si>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</si>
  <si>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</si>
  <si>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</si>
  <si>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</si>
  <si>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</si>
  <si>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</si>
  <si>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</si>
  <si>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</si>
  <si>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</si>
  <si>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</si>
  <si>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</si>
  <si>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</si>
  <si>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</si>
  <si>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</si>
  <si>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</si>
  <si>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</si>
  <si>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</si>
  <si>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</si>
  <si>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</si>
  <si>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</si>
  <si>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</si>
  <si>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</si>
  <si>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</si>
  <si>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</si>
  <si>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</si>
  <si>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</si>
  <si>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</si>
  <si>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</si>
  <si>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</si>
  <si>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</si>
  <si>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</si>
  <si>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</si>
  <si>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</si>
  <si>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</si>
  <si>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</si>
  <si>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</si>
  <si>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</si>
  <si>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</si>
  <si>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</si>
  <si>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</si>
  <si>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</si>
  <si>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</si>
  <si>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</si>
  <si>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</si>
  <si>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</si>
  <si>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</si>
  <si>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</si>
  <si>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</si>
  <si>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</si>
  <si>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</si>
  <si>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</si>
  <si>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</si>
  <si>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</si>
  <si>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ООО «Жилсервис»</t>
  </si>
  <si>
    <t>Влажное подметание лестничных клеток 1 этажа</t>
  </si>
  <si>
    <t>генеральный директор Куканов Ю.Л.</t>
  </si>
  <si>
    <t>Очистка оголовков дымоходов и вентканалов от наледи и снега</t>
  </si>
  <si>
    <t xml:space="preserve">2 раза в месяц  </t>
  </si>
  <si>
    <t>шт</t>
  </si>
  <si>
    <t>Дератизация</t>
  </si>
  <si>
    <t>Влажное подметание лестничных клеток 2-5 этажа</t>
  </si>
  <si>
    <t>Мытье лестничных  площадок и маршей 1-5 этаж.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</si>
  <si>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</si>
  <si>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</si>
  <si>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</si>
  <si>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</si>
  <si>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</si>
  <si>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</si>
  <si>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</si>
  <si>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</si>
  <si>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</si>
  <si>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</si>
  <si>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</si>
  <si>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</si>
  <si>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</si>
  <si>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</si>
  <si>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</si>
  <si>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</si>
  <si>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</si>
  <si>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 xml:space="preserve">6 раз за сезон </t>
  </si>
  <si>
    <t>Работа автовышки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</si>
  <si>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</si>
  <si>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</si>
  <si>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</si>
  <si>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</si>
  <si>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</si>
  <si>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</si>
  <si>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</si>
  <si>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</si>
  <si>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ул.Космонавтов пгт.Ярега
</t>
  </si>
  <si>
    <t>Очистка урн от мусора</t>
  </si>
  <si>
    <t>24 раза за сезон</t>
  </si>
  <si>
    <t>Проверка дымоходов</t>
  </si>
  <si>
    <t>Осмотр рулонной кровли</t>
  </si>
  <si>
    <t>Очистка внутреннего водостока</t>
  </si>
  <si>
    <t>водосток</t>
  </si>
  <si>
    <t>Очистка водостоков от наледи</t>
  </si>
  <si>
    <t xml:space="preserve"> </t>
  </si>
  <si>
    <t>АКТ №1</t>
  </si>
  <si>
    <t>Подметание территории с усовершенствованным покрытием асф.: крыльца, контейнерн пл., проезд, тротуар</t>
  </si>
  <si>
    <t>IV. Содержание общего имущества МКД</t>
  </si>
  <si>
    <t>V. Прочие услуги</t>
  </si>
  <si>
    <t>АКТ №2</t>
  </si>
  <si>
    <t>5 раз в год</t>
  </si>
  <si>
    <t>156 раз в год</t>
  </si>
  <si>
    <t>104 раза в год</t>
  </si>
  <si>
    <t xml:space="preserve">24 раза в год </t>
  </si>
  <si>
    <t>за период с 01.01.2018 г. по 31.01.2018 г.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</si>
  <si>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04.12.2017г. стороны,  и ООО «Жилсервис», 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 составили настоящий Акт о нижеследующем:</t>
    </r>
  </si>
  <si>
    <r>
      <t>1. Исполнителем  предъявлены   к   приемке  следующие  оказанные   на   основании  Договора   на   содержание   и   ремонт  многоквартирного   дома  №</t>
    </r>
    <r>
      <rPr>
        <u/>
        <sz val="12"/>
        <rFont val="Times New Roman"/>
        <family val="1"/>
        <charset val="204"/>
      </rPr>
      <t xml:space="preserve">    </t>
    </r>
    <r>
      <rPr>
        <sz val="12"/>
        <rFont val="Times New Roman"/>
        <family val="1"/>
        <charset val="204"/>
      </rPr>
      <t xml:space="preserve">   от </t>
    </r>
    <r>
      <rPr>
        <u/>
        <sz val="12"/>
        <rFont val="Times New Roman"/>
        <family val="1"/>
        <charset val="204"/>
      </rPr>
      <t xml:space="preserve">                                </t>
    </r>
    <r>
      <rPr>
        <sz val="12"/>
        <rFont val="Times New Roman"/>
        <family val="1"/>
        <charset val="204"/>
      </rPr>
      <t>20  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д.6</t>
    </r>
  </si>
  <si>
    <t>48 раз в сезон</t>
  </si>
  <si>
    <t>48 раз за сезон</t>
  </si>
  <si>
    <t>48 раз</t>
  </si>
  <si>
    <t>155 раз в год</t>
  </si>
  <si>
    <t>по мере необходимости</t>
  </si>
  <si>
    <t>Сдвигание снега в дни снегопада</t>
  </si>
  <si>
    <t>Очистка вручную от снега и наледи люков каналиационных и водопроводных колодцев</t>
  </si>
  <si>
    <t>2 раза в месяц</t>
  </si>
  <si>
    <t>Очистка края кровли от слежавшегося снега со сбрасыванием сосулек (10% от S кровли, козырьки над подъездами)</t>
  </si>
  <si>
    <t>Очистка  от мусора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</si>
  <si>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</si>
  <si>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</si>
  <si>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</si>
  <si>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с общедомовых приборов учёта холодной воды</t>
  </si>
  <si>
    <t>Смена светодиодных светильников в.о.</t>
  </si>
  <si>
    <t>Стоимость светодиодного светильника</t>
  </si>
  <si>
    <t>руб.</t>
  </si>
  <si>
    <t>Смена светильника РКУ</t>
  </si>
  <si>
    <t>Техническое диагностирование ВДГО</t>
  </si>
  <si>
    <t>1 раз в 5 лет</t>
  </si>
  <si>
    <t>II. Уборка земельного участка</t>
  </si>
  <si>
    <t>III. Проведение технических осмотров</t>
  </si>
  <si>
    <t>по  необходимости</t>
  </si>
  <si>
    <t>Внеплановый осмотр электросетей, армазуры и электрооборудования на лестничных клетках</t>
  </si>
  <si>
    <t>Итого затраты за месяц</t>
  </si>
  <si>
    <t>за период с 01.02.2018 г. по 28.02.2018 г.</t>
  </si>
  <si>
    <t>за период с 01.03.2018 г. по 31.03.2018 г.</t>
  </si>
  <si>
    <t>III. Содержание общего имущества МКД</t>
  </si>
  <si>
    <t>IV. Прочие услуги</t>
  </si>
  <si>
    <t>Смена арматуры - вентилей и клапанов обратных муфтовых диаметром до 20 мм</t>
  </si>
  <si>
    <t>1 шт</t>
  </si>
  <si>
    <t>Смена трубопроводов на полипропиленовые трубы PN25 диаметром 25мм</t>
  </si>
  <si>
    <t>1 м</t>
  </si>
  <si>
    <t>Уплотнение сгонов с применением льняной пряди или асбестового шнура</t>
  </si>
  <si>
    <t>1 соединение</t>
  </si>
  <si>
    <t>Ремонт силового предохранительного шкафа (без стоимости материалов)</t>
  </si>
  <si>
    <t>Внеплановый осмотр вводных электрических щитков</t>
  </si>
  <si>
    <t>100шт</t>
  </si>
  <si>
    <t>АКТ №3</t>
  </si>
  <si>
    <t>за период с 01.04.2018 г. по 30.04.2018 г.</t>
  </si>
  <si>
    <t>Смена пакетных выключателей</t>
  </si>
  <si>
    <t>164м2</t>
  </si>
  <si>
    <t>2. Всего за период с 01.04.2018 по 30.04.2018 выполнено работ (оказано услуг) на общую сумму: 94423,50 руб.</t>
  </si>
  <si>
    <t>(девяносто четыре тысячи четыреста двадцать три рубля 50 копеек)</t>
  </si>
  <si>
    <t>АКТ №5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</si>
  <si>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09.12.2013г. стороны,  и ООО «Жилсервис», 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 составили настоящий Акт о нижеследующем:</t>
    </r>
  </si>
  <si>
    <t>ежедневно</t>
  </si>
  <si>
    <t xml:space="preserve">II. Уборка земельного участка </t>
  </si>
  <si>
    <t>1000-м2</t>
  </si>
  <si>
    <t>Сдвигание снега в дни снегопада (проезд)</t>
  </si>
  <si>
    <t>12 раз за сезон</t>
  </si>
  <si>
    <t>Сдвигание снега в дни снегопада (крыльца, тротуары)</t>
  </si>
  <si>
    <t>Вывоз снега с придомовой территории</t>
  </si>
  <si>
    <t>1м3</t>
  </si>
  <si>
    <t>45 раз за сезон</t>
  </si>
  <si>
    <t>III. Плановые осмотры</t>
  </si>
  <si>
    <t>Очистка края кровли от слежавшегося снега со сбрасыванием сосулек (10% от S кровли) и козырьки</t>
  </si>
  <si>
    <t>Очистка от мусора</t>
  </si>
  <si>
    <t>Замена ламп ДРЛ</t>
  </si>
  <si>
    <t>Итого месячные затраты</t>
  </si>
  <si>
    <t>Ремонт и регулировка доводчика ( без стоимости доводчика)</t>
  </si>
  <si>
    <t>за период с 01.05.2018 г. по 31.05.2018 г.</t>
  </si>
  <si>
    <t>Осмотр кровли рулонной</t>
  </si>
  <si>
    <t>2. Всего за период с 01.05.2018 по 31.05.2018 выполнено работ (оказано услуг) на общую сумму: 224211,90 руб.</t>
  </si>
  <si>
    <t>(двести двадцать четыре тысячи двести одиннадцать рублей 90 копеек)</t>
  </si>
  <si>
    <t>АКТ №6</t>
  </si>
  <si>
    <t>за период с 01.06.2018 г. по 30.06.2018 г.</t>
  </si>
  <si>
    <t>2. Всего за период с 01.06.2018 по 30.06.2018 выполнено работ (оказано услуг) на общую сумму: 69076,41 руб.</t>
  </si>
  <si>
    <t>(шестьдесят девять тысяч семьдесят шесть рублей 41 копейка)</t>
  </si>
  <si>
    <t>ООО «Движение»</t>
  </si>
  <si>
    <t>АКТ №7</t>
  </si>
  <si>
    <t>за период с 01.07.2018 г. по 31.07.2018 г.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</si>
  <si>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09.12.2013г. стороны,  и ООО «Движение», 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 составили настоящий Акт о нижеследующем:</t>
    </r>
  </si>
  <si>
    <t>2. Всего за период с 01.07.2018 по 31.07.2018 выполнено работ (оказано услуг) на общую сумму: 69200,35 руб.</t>
  </si>
  <si>
    <t>(шестьдесят девять тысяч двести рублей 35 копеек)</t>
  </si>
  <si>
    <t>2. Всего за период с 01.01.2018 по 31.01.2018 выполнено работ (оказано услуг) на общую сумму: 116156,90 руб.</t>
  </si>
  <si>
    <t>(сто шестнадцать тысяч сто пятьдесят шесть рублей 90 копеек)</t>
  </si>
  <si>
    <t>2. Всего за период с 01.02.2018 по 28.02.2018 выполнено работ (оказано услуг) на общую сумму: 83473,29 руб.</t>
  </si>
  <si>
    <t>(восемьдесят три тысячи четыреста семьдесят три рубля 29 копеек)</t>
  </si>
  <si>
    <t>2. Всего за период с 01.03.2018 по 31.03.2018 выполнено работ (оказано услуг) на общую сумму: 96734,94 руб.</t>
  </si>
  <si>
    <t>(девяносто шесть тысяч семьсот тридцать четыре рубля 94 копейки)</t>
  </si>
  <si>
    <t>за период с 01.08.2018 г. по 31.08.2018 г.</t>
  </si>
  <si>
    <t>Смена полиэтиленовых канализационных труб диаметром 50*1000</t>
  </si>
  <si>
    <t>Переход чугун-пластик 100</t>
  </si>
  <si>
    <t>Ревизия 100</t>
  </si>
  <si>
    <t>Патрубок компенсационный 100</t>
  </si>
  <si>
    <t>Овод 10-45</t>
  </si>
  <si>
    <t>Манжета 100</t>
  </si>
  <si>
    <t>Переход 100*50</t>
  </si>
  <si>
    <t>Тройник 100*100*100</t>
  </si>
  <si>
    <t>Колено 25-90</t>
  </si>
  <si>
    <t>Тройник 25*20</t>
  </si>
  <si>
    <t>Муфта 25</t>
  </si>
  <si>
    <t>Муфта 32*25</t>
  </si>
  <si>
    <t>Муфта 25*20</t>
  </si>
  <si>
    <t>Муфта разъемная 32*25 ВР</t>
  </si>
  <si>
    <t>Муфта разъемная 32*25 НР</t>
  </si>
  <si>
    <t>АКТ №8</t>
  </si>
  <si>
    <t>АКТ №4</t>
  </si>
  <si>
    <t>АКТ №9</t>
  </si>
  <si>
    <t>Смена пробко-спускных кранов</t>
  </si>
  <si>
    <t>Смена прокладок на пол/сушителе</t>
  </si>
  <si>
    <t>Подключение и отключение сварочного аппарата</t>
  </si>
  <si>
    <t>Ниппель 1/2 НР</t>
  </si>
  <si>
    <t>за период с 01.09.2018 г. по 30.09.2018 г.</t>
  </si>
  <si>
    <t>Муфта разъемная 25*3/4 ВР</t>
  </si>
  <si>
    <t>Муфта разъемная 25*3/4 НР</t>
  </si>
  <si>
    <t>2. Всего за период с 01.09.2018 по 30.09.2018 выполнено работ (оказано услуг) на общую сумму: 121021,88 руб.</t>
  </si>
  <si>
    <t>(сто двадцать одна тысяча двадцать один рубль 88 копеек)</t>
  </si>
  <si>
    <t>Смена полиэтиленовых канализационных труб диаметром 100*1000</t>
  </si>
  <si>
    <t>Муфта 100</t>
  </si>
  <si>
    <t>Осмотр водопроводов, канализации, отопления в квартирах</t>
  </si>
  <si>
    <t>100 кв.</t>
  </si>
  <si>
    <t>2. Всего за период с 01.10.2018 по 31.10.2018 выполнено работ (оказано услуг) на общую сумму: 79032,41 руб.</t>
  </si>
  <si>
    <t>(семьдесят девять тысяч тридцать два рубля 41 копейка)</t>
  </si>
  <si>
    <t>за период с 01.10.2018 г. по 31.10.2018 г.</t>
  </si>
  <si>
    <t>АКТ №10</t>
  </si>
  <si>
    <t>АКТ №11</t>
  </si>
  <si>
    <t>за период с 01.11.2018 г. по 30.11.2018 г.</t>
  </si>
  <si>
    <t>Смена патронов</t>
  </si>
  <si>
    <t>Смена трубопроводов на полипропиленовые трубы PN20 диаметром 20мм (с 79 кв. до подвала)</t>
  </si>
  <si>
    <t>16м</t>
  </si>
  <si>
    <t>Муфта 20</t>
  </si>
  <si>
    <t>Тройник 20</t>
  </si>
  <si>
    <t>Колено 20-90</t>
  </si>
  <si>
    <t>Муфта разъемная 20*1/2 ВР</t>
  </si>
  <si>
    <t>Муфта разъемная 20*1/2 НР</t>
  </si>
  <si>
    <t>Вентиль (ш) 25</t>
  </si>
  <si>
    <t>Колено 20-45</t>
  </si>
  <si>
    <t>2. Всего за период с 01.11.2018 по 30.11.2018 выполнено работ (оказано услуг) на общую сумму: 82077,18 руб.</t>
  </si>
  <si>
    <t>(восемьдесят две тысячи семьдесят семь рублей 18 копеек)</t>
  </si>
  <si>
    <t>АКТ №12</t>
  </si>
  <si>
    <t>за период с 01.12.2018 г. по 31.12.2018 г.</t>
  </si>
  <si>
    <t>Внеплановая проверка вентканалов</t>
  </si>
  <si>
    <t>2. Всего за период с 01.12.2018 по 31.12.2018 выполнено работ (оказано услуг) на общую сумму: 7096,12 руб.</t>
  </si>
  <si>
    <t>(семьдесят восемь тысяч девяносто шесть рублей 12 копеек)</t>
  </si>
  <si>
    <t>Обслуживание газового оборудования</t>
  </si>
  <si>
    <t>руб</t>
  </si>
  <si>
    <t>2. Всего за период с 01.08.2018 по 31.08.2018 выполнено работ (оказано услуг) на общую сумму: 127606,00 руб.</t>
  </si>
  <si>
    <t>(сто двадцать семь тысяч шестьсот шесть рублей 00 копеек)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</si>
</sst>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2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0" fillId="0" borderId="3" xfId="0" applyBorder="1"/>
    <xf numFmtId="0" fontId="11" fillId="0" borderId="20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8" fillId="2" borderId="9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3" borderId="9" xfId="0" applyNumberFormat="1" applyFont="1" applyFill="1" applyBorder="1" applyAlignment="1">
      <alignment horizontal="center" vertical="center" wrapText="1"/>
    </xf>
    <xf numFmtId="4" fontId="18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8" fillId="3" borderId="9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118"/>
  <sheetViews>
    <sheetView topLeftCell="A83" workbookViewId="0">
      <selection activeCell="B99" sqref="B99:G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81</v>
      </c>
      <c r="I1" s="23"/>
      <c r="J1" s="1"/>
      <c r="K1" s="1"/>
      <c r="L1" s="1"/>
      <c r="M1" s="1"/>
    </row>
    <row r="2" spans="1:13" ht="15.75">
      <c r="A2" s="25" t="s">
        <v>61</v>
      </c>
      <c r="J2" s="2"/>
      <c r="K2" s="2"/>
      <c r="L2" s="2"/>
      <c r="M2" s="2"/>
    </row>
    <row r="3" spans="1:13" ht="15.75" customHeight="1">
      <c r="A3" s="195" t="s">
        <v>126</v>
      </c>
      <c r="B3" s="195"/>
      <c r="C3" s="195"/>
      <c r="D3" s="195"/>
      <c r="E3" s="195"/>
      <c r="F3" s="195"/>
      <c r="G3" s="195"/>
      <c r="H3" s="195"/>
      <c r="I3" s="195"/>
      <c r="J3" s="3"/>
      <c r="K3" s="3"/>
      <c r="L3" s="3"/>
    </row>
    <row r="4" spans="1:13" ht="31.5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13" ht="15.75">
      <c r="A5" s="195" t="s">
        <v>135</v>
      </c>
      <c r="B5" s="197"/>
      <c r="C5" s="197"/>
      <c r="D5" s="197"/>
      <c r="E5" s="197"/>
      <c r="F5" s="197"/>
      <c r="G5" s="197"/>
      <c r="H5" s="197"/>
      <c r="I5" s="197"/>
      <c r="J5" s="2"/>
      <c r="K5" s="2"/>
      <c r="L5" s="2"/>
      <c r="M5" s="2"/>
    </row>
    <row r="6" spans="1:13" ht="15.75">
      <c r="A6" s="2"/>
      <c r="B6" s="42"/>
      <c r="C6" s="42"/>
      <c r="D6" s="42"/>
      <c r="E6" s="42"/>
      <c r="F6" s="42"/>
      <c r="G6" s="42"/>
      <c r="H6" s="42"/>
      <c r="I6" s="27">
        <v>43131</v>
      </c>
      <c r="J6" s="2"/>
      <c r="K6" s="2"/>
      <c r="L6" s="2"/>
      <c r="M6" s="2"/>
    </row>
    <row r="7" spans="1:13" ht="15.75">
      <c r="B7" s="44"/>
      <c r="C7" s="44"/>
      <c r="D7" s="4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8" t="s">
        <v>136</v>
      </c>
      <c r="B8" s="198"/>
      <c r="C8" s="198"/>
      <c r="D8" s="198"/>
      <c r="E8" s="198"/>
      <c r="F8" s="198"/>
      <c r="G8" s="198"/>
      <c r="H8" s="198"/>
      <c r="I8" s="198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  <c r="J10" s="2"/>
      <c r="K10" s="2"/>
      <c r="L10" s="2"/>
      <c r="M10" s="2"/>
    </row>
    <row r="11" spans="1:13" ht="8.2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91</v>
      </c>
      <c r="C19" s="54" t="s">
        <v>92</v>
      </c>
      <c r="D19" s="53" t="s">
        <v>93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 t="shared" ref="I22:I24" si="1"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 t="shared" si="1"/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 t="shared" si="1"/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53" t="s">
        <v>63</v>
      </c>
      <c r="C25" s="54" t="s">
        <v>33</v>
      </c>
      <c r="D25" s="53" t="s">
        <v>141</v>
      </c>
      <c r="E25" s="55">
        <v>0.1</v>
      </c>
      <c r="F25" s="56">
        <f>SUM(E25*155)</f>
        <v>15.5</v>
      </c>
      <c r="G25" s="56">
        <v>264.85000000000002</v>
      </c>
      <c r="H25" s="57">
        <f>SUM(F25*G25/1000)</f>
        <v>4.105175</v>
      </c>
      <c r="I25" s="12">
        <f>F25/12*G25</f>
        <v>342.09791666666672</v>
      </c>
      <c r="J25" s="87"/>
      <c r="K25" s="85"/>
      <c r="L25" s="85"/>
      <c r="M25" s="85"/>
    </row>
    <row r="26" spans="1:13" s="86" customFormat="1" ht="15.75" customHeight="1">
      <c r="A26" s="26">
        <v>5</v>
      </c>
      <c r="B26" s="61" t="s">
        <v>23</v>
      </c>
      <c r="C26" s="54" t="s">
        <v>24</v>
      </c>
      <c r="D26" s="61" t="s">
        <v>125</v>
      </c>
      <c r="E26" s="55">
        <v>3945</v>
      </c>
      <c r="F26" s="56">
        <f>SUM(E26*12)</f>
        <v>47340</v>
      </c>
      <c r="G26" s="56">
        <v>3.64</v>
      </c>
      <c r="H26" s="57">
        <f>SUM(F26*G26/1000)</f>
        <v>172.3176</v>
      </c>
      <c r="I26" s="12">
        <f>F26/12*G26</f>
        <v>14359.800000000001</v>
      </c>
      <c r="J26" s="88"/>
    </row>
    <row r="27" spans="1:13" ht="15.75" customHeight="1">
      <c r="A27" s="202" t="s">
        <v>158</v>
      </c>
      <c r="B27" s="203"/>
      <c r="C27" s="203"/>
      <c r="D27" s="203"/>
      <c r="E27" s="203"/>
      <c r="F27" s="203"/>
      <c r="G27" s="203"/>
      <c r="H27" s="203"/>
      <c r="I27" s="204"/>
      <c r="J27" s="20"/>
      <c r="K27" s="8"/>
      <c r="L27" s="8"/>
      <c r="M27" s="8"/>
    </row>
    <row r="28" spans="1:13" s="86" customFormat="1" ht="15.75" hidden="1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  <c r="J28" s="88"/>
    </row>
    <row r="29" spans="1:13" s="86" customFormat="1" ht="15.75" hidden="1" customHeight="1">
      <c r="A29" s="26"/>
      <c r="B29" s="53" t="s">
        <v>99</v>
      </c>
      <c r="C29" s="54" t="s">
        <v>29</v>
      </c>
      <c r="D29" s="53" t="s">
        <v>138</v>
      </c>
      <c r="E29" s="56">
        <v>355.5</v>
      </c>
      <c r="F29" s="56">
        <f>SUM(E29*48/1000)</f>
        <v>17.064</v>
      </c>
      <c r="G29" s="56">
        <v>204.44</v>
      </c>
      <c r="H29" s="57">
        <f t="shared" ref="H29:H35" si="2">SUM(F29*G29/1000)</f>
        <v>3.4885641599999997</v>
      </c>
      <c r="I29" s="12">
        <f>F29/6*G29</f>
        <v>581.42736000000002</v>
      </c>
      <c r="J29" s="87"/>
      <c r="K29" s="85"/>
      <c r="L29" s="85"/>
      <c r="M29" s="85"/>
    </row>
    <row r="30" spans="1:13" s="86" customFormat="1" ht="31.5" hidden="1" customHeight="1">
      <c r="A30" s="26"/>
      <c r="B30" s="53" t="s">
        <v>127</v>
      </c>
      <c r="C30" s="54" t="s">
        <v>100</v>
      </c>
      <c r="D30" s="53" t="s">
        <v>139</v>
      </c>
      <c r="E30" s="56">
        <v>111.6</v>
      </c>
      <c r="F30" s="56">
        <f>SUM(E30*48/1000)</f>
        <v>5.3567999999999989</v>
      </c>
      <c r="G30" s="56">
        <v>339.21</v>
      </c>
      <c r="H30" s="57">
        <f t="shared" si="2"/>
        <v>1.8170801279999995</v>
      </c>
      <c r="I30" s="12">
        <f t="shared" ref="I30:I33" si="3">F30/6*G30</f>
        <v>302.84668799999992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27</v>
      </c>
      <c r="C31" s="54" t="s">
        <v>100</v>
      </c>
      <c r="D31" s="53" t="s">
        <v>52</v>
      </c>
      <c r="E31" s="56">
        <v>355.5</v>
      </c>
      <c r="F31" s="56">
        <f>SUM(E31/1000)</f>
        <v>0.35549999999999998</v>
      </c>
      <c r="G31" s="56">
        <v>3961.23</v>
      </c>
      <c r="H31" s="57">
        <f t="shared" si="2"/>
        <v>1.408217265</v>
      </c>
      <c r="I31" s="12">
        <f>F31*G31</f>
        <v>1408.217265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118</v>
      </c>
      <c r="C32" s="54" t="s">
        <v>39</v>
      </c>
      <c r="D32" s="53" t="s">
        <v>140</v>
      </c>
      <c r="E32" s="56">
        <v>6</v>
      </c>
      <c r="F32" s="56">
        <f>SUM(E32*48/100)</f>
        <v>2.88</v>
      </c>
      <c r="G32" s="56">
        <v>1707.63</v>
      </c>
      <c r="H32" s="57">
        <f>G32*F32/1000</f>
        <v>4.9179744000000003</v>
      </c>
      <c r="I32" s="12">
        <f t="shared" si="3"/>
        <v>819.66240000000005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101</v>
      </c>
      <c r="C33" s="54" t="s">
        <v>31</v>
      </c>
      <c r="D33" s="53" t="s">
        <v>62</v>
      </c>
      <c r="E33" s="60">
        <f>1/3</f>
        <v>0.33333333333333331</v>
      </c>
      <c r="F33" s="56">
        <f>155/3</f>
        <v>51.666666666666664</v>
      </c>
      <c r="G33" s="56">
        <v>74.349999999999994</v>
      </c>
      <c r="H33" s="57">
        <f>SUM(G33*155/3/1000)</f>
        <v>3.8414166666666665</v>
      </c>
      <c r="I33" s="12">
        <f t="shared" si="3"/>
        <v>640.23611111111109</v>
      </c>
      <c r="J33" s="87"/>
      <c r="K33" s="85"/>
      <c r="L33" s="85"/>
      <c r="M33" s="85"/>
    </row>
    <row r="34" spans="1:14" s="86" customFormat="1" ht="15.75" hidden="1" customHeight="1">
      <c r="A34" s="26"/>
      <c r="B34" s="53" t="s">
        <v>64</v>
      </c>
      <c r="C34" s="54" t="s">
        <v>33</v>
      </c>
      <c r="D34" s="53" t="s">
        <v>66</v>
      </c>
      <c r="E34" s="55"/>
      <c r="F34" s="56">
        <v>1</v>
      </c>
      <c r="G34" s="56">
        <v>250.92</v>
      </c>
      <c r="H34" s="57">
        <f t="shared" si="2"/>
        <v>0.25091999999999998</v>
      </c>
      <c r="I34" s="12">
        <v>0</v>
      </c>
      <c r="J34" s="87"/>
      <c r="K34" s="85"/>
    </row>
    <row r="35" spans="1:14" s="86" customFormat="1" ht="15.75" hidden="1" customHeight="1">
      <c r="A35" s="26"/>
      <c r="B35" s="53" t="s">
        <v>65</v>
      </c>
      <c r="C35" s="54" t="s">
        <v>32</v>
      </c>
      <c r="D35" s="53" t="s">
        <v>66</v>
      </c>
      <c r="E35" s="55"/>
      <c r="F35" s="56">
        <v>1</v>
      </c>
      <c r="G35" s="56">
        <v>1490.33</v>
      </c>
      <c r="H35" s="57">
        <f t="shared" si="2"/>
        <v>1.4903299999999999</v>
      </c>
      <c r="I35" s="12">
        <v>0</v>
      </c>
      <c r="J35" s="88"/>
    </row>
    <row r="36" spans="1:14" s="86" customFormat="1" ht="15.75" customHeight="1">
      <c r="A36" s="26"/>
      <c r="B36" s="75" t="s">
        <v>5</v>
      </c>
      <c r="C36" s="54"/>
      <c r="D36" s="53"/>
      <c r="E36" s="55"/>
      <c r="F36" s="56"/>
      <c r="G36" s="56"/>
      <c r="H36" s="57" t="s">
        <v>125</v>
      </c>
      <c r="I36" s="12"/>
      <c r="J36" s="88"/>
    </row>
    <row r="37" spans="1:14" s="86" customFormat="1" ht="15.75" customHeight="1">
      <c r="A37" s="26">
        <v>6</v>
      </c>
      <c r="B37" s="53" t="s">
        <v>26</v>
      </c>
      <c r="C37" s="54" t="s">
        <v>32</v>
      </c>
      <c r="D37" s="53"/>
      <c r="E37" s="55"/>
      <c r="F37" s="56">
        <v>3</v>
      </c>
      <c r="G37" s="56">
        <v>2003</v>
      </c>
      <c r="H37" s="57">
        <f t="shared" ref="H37:H43" si="4">SUM(F37*G37/1000)</f>
        <v>6.0090000000000003</v>
      </c>
      <c r="I37" s="12">
        <f t="shared" ref="I37:I43" si="5">F37/6*G37</f>
        <v>1001.5</v>
      </c>
      <c r="J37" s="88"/>
    </row>
    <row r="38" spans="1:14" s="86" customFormat="1" ht="15.75" customHeight="1">
      <c r="A38" s="26">
        <v>7</v>
      </c>
      <c r="B38" s="53" t="s">
        <v>143</v>
      </c>
      <c r="C38" s="54" t="s">
        <v>29</v>
      </c>
      <c r="D38" s="53" t="s">
        <v>102</v>
      </c>
      <c r="E38" s="55">
        <v>111.6</v>
      </c>
      <c r="F38" s="56">
        <f>E38*30/1000</f>
        <v>3.3479999999999999</v>
      </c>
      <c r="G38" s="56">
        <v>2757.78</v>
      </c>
      <c r="H38" s="57">
        <f>G38*F38/1000</f>
        <v>9.23304744</v>
      </c>
      <c r="I38" s="12">
        <f t="shared" si="5"/>
        <v>1538.84124</v>
      </c>
      <c r="J38" s="88"/>
      <c r="L38" s="18"/>
      <c r="M38" s="19"/>
      <c r="N38" s="90"/>
    </row>
    <row r="39" spans="1:14" s="86" customFormat="1" ht="15.75" customHeight="1">
      <c r="A39" s="26">
        <v>8</v>
      </c>
      <c r="B39" s="53" t="s">
        <v>67</v>
      </c>
      <c r="C39" s="54" t="s">
        <v>29</v>
      </c>
      <c r="D39" s="53" t="s">
        <v>103</v>
      </c>
      <c r="E39" s="56">
        <v>111.6</v>
      </c>
      <c r="F39" s="56">
        <f>SUM(E39*155/1000)</f>
        <v>17.297999999999998</v>
      </c>
      <c r="G39" s="56">
        <v>460.02</v>
      </c>
      <c r="H39" s="57">
        <f t="shared" si="4"/>
        <v>7.9574259599999984</v>
      </c>
      <c r="I39" s="12">
        <f t="shared" si="5"/>
        <v>1326.2376599999998</v>
      </c>
      <c r="J39" s="88"/>
      <c r="L39" s="18"/>
      <c r="M39" s="19"/>
      <c r="N39" s="90"/>
    </row>
    <row r="40" spans="1:14" s="86" customFormat="1" ht="15.75" customHeight="1">
      <c r="A40" s="26">
        <v>9</v>
      </c>
      <c r="B40" s="53" t="s">
        <v>80</v>
      </c>
      <c r="C40" s="54" t="s">
        <v>100</v>
      </c>
      <c r="D40" s="53" t="s">
        <v>102</v>
      </c>
      <c r="E40" s="56">
        <v>111.6</v>
      </c>
      <c r="F40" s="56">
        <f>SUM(E40*30/1000)</f>
        <v>3.3479999999999999</v>
      </c>
      <c r="G40" s="56">
        <v>7611.16</v>
      </c>
      <c r="H40" s="57">
        <f t="shared" si="4"/>
        <v>25.482163679999999</v>
      </c>
      <c r="I40" s="12">
        <f t="shared" si="5"/>
        <v>4247.0272799999993</v>
      </c>
      <c r="J40" s="88"/>
      <c r="L40" s="18"/>
      <c r="M40" s="19"/>
      <c r="N40" s="90"/>
    </row>
    <row r="41" spans="1:14" s="86" customFormat="1" ht="15.75" customHeight="1">
      <c r="A41" s="26">
        <v>10</v>
      </c>
      <c r="B41" s="53" t="s">
        <v>104</v>
      </c>
      <c r="C41" s="54" t="s">
        <v>100</v>
      </c>
      <c r="D41" s="53" t="s">
        <v>119</v>
      </c>
      <c r="E41" s="56">
        <v>111.6</v>
      </c>
      <c r="F41" s="56">
        <f>SUM(E41*24/1000)</f>
        <v>2.6783999999999994</v>
      </c>
      <c r="G41" s="56">
        <v>562.25</v>
      </c>
      <c r="H41" s="57">
        <f t="shared" si="4"/>
        <v>1.5059303999999998</v>
      </c>
      <c r="I41" s="12">
        <f>F41/7.5*G41</f>
        <v>200.79071999999996</v>
      </c>
      <c r="J41" s="88"/>
      <c r="L41" s="18"/>
      <c r="M41" s="19"/>
      <c r="N41" s="90"/>
    </row>
    <row r="42" spans="1:14" s="86" customFormat="1" ht="15.75" customHeight="1">
      <c r="A42" s="26">
        <v>11</v>
      </c>
      <c r="B42" s="53" t="s">
        <v>68</v>
      </c>
      <c r="C42" s="54" t="s">
        <v>33</v>
      </c>
      <c r="D42" s="53"/>
      <c r="E42" s="55"/>
      <c r="F42" s="56">
        <v>0.6</v>
      </c>
      <c r="G42" s="56">
        <v>974.83</v>
      </c>
      <c r="H42" s="57">
        <f t="shared" si="4"/>
        <v>0.58489800000000003</v>
      </c>
      <c r="I42" s="12">
        <f>F42/7.5*G42</f>
        <v>77.986400000000003</v>
      </c>
      <c r="J42" s="88"/>
      <c r="L42" s="18"/>
      <c r="M42" s="19"/>
      <c r="N42" s="90"/>
    </row>
    <row r="43" spans="1:14" s="86" customFormat="1" ht="15.75" customHeight="1">
      <c r="A43" s="26">
        <v>12</v>
      </c>
      <c r="B43" s="72" t="s">
        <v>144</v>
      </c>
      <c r="C43" s="73" t="s">
        <v>29</v>
      </c>
      <c r="D43" s="53" t="s">
        <v>145</v>
      </c>
      <c r="E43" s="55">
        <v>1.2</v>
      </c>
      <c r="F43" s="56">
        <f>SUM(E43*12/1000)</f>
        <v>1.4399999999999998E-2</v>
      </c>
      <c r="G43" s="56">
        <v>260.2</v>
      </c>
      <c r="H43" s="57">
        <f t="shared" si="4"/>
        <v>3.7468799999999993E-3</v>
      </c>
      <c r="I43" s="12">
        <f t="shared" si="5"/>
        <v>0.62447999999999992</v>
      </c>
      <c r="J43" s="88"/>
      <c r="L43" s="18"/>
      <c r="M43" s="19"/>
      <c r="N43" s="90"/>
    </row>
    <row r="44" spans="1:14" s="86" customFormat="1" ht="15.75" customHeight="1">
      <c r="A44" s="202" t="s">
        <v>159</v>
      </c>
      <c r="B44" s="203"/>
      <c r="C44" s="203"/>
      <c r="D44" s="203"/>
      <c r="E44" s="203"/>
      <c r="F44" s="203"/>
      <c r="G44" s="203"/>
      <c r="H44" s="203"/>
      <c r="I44" s="204"/>
      <c r="J44" s="88"/>
      <c r="L44" s="18"/>
      <c r="M44" s="19"/>
      <c r="N44" s="90"/>
    </row>
    <row r="45" spans="1:14" s="86" customFormat="1" ht="15.75" hidden="1" customHeight="1">
      <c r="A45" s="26"/>
      <c r="B45" s="53" t="s">
        <v>121</v>
      </c>
      <c r="C45" s="54" t="s">
        <v>100</v>
      </c>
      <c r="D45" s="53" t="s">
        <v>41</v>
      </c>
      <c r="E45" s="55">
        <v>1030.4000000000001</v>
      </c>
      <c r="F45" s="56">
        <f>SUM(E45*2/1000)</f>
        <v>2.0608</v>
      </c>
      <c r="G45" s="12">
        <v>1114.1300000000001</v>
      </c>
      <c r="H45" s="57">
        <f t="shared" ref="H45:H54" si="6">SUM(F45*G45/1000)</f>
        <v>2.2959991039999998</v>
      </c>
      <c r="I45" s="12">
        <f t="shared" ref="I45:I47" si="7">F45/2*G45</f>
        <v>1147.999552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100</v>
      </c>
      <c r="D46" s="53" t="s">
        <v>41</v>
      </c>
      <c r="E46" s="55">
        <v>132</v>
      </c>
      <c r="F46" s="56">
        <f>E46*2/1000</f>
        <v>0.26400000000000001</v>
      </c>
      <c r="G46" s="12">
        <v>4419.05</v>
      </c>
      <c r="H46" s="57">
        <f t="shared" si="6"/>
        <v>1.1666292</v>
      </c>
      <c r="I46" s="12">
        <f t="shared" si="7"/>
        <v>583.31460000000004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100</v>
      </c>
      <c r="D47" s="53" t="s">
        <v>41</v>
      </c>
      <c r="E47" s="55">
        <v>4248.22</v>
      </c>
      <c r="F47" s="56">
        <f>SUM(E47*2/1000)</f>
        <v>8.4964399999999998</v>
      </c>
      <c r="G47" s="12">
        <v>1803.69</v>
      </c>
      <c r="H47" s="57">
        <f t="shared" si="6"/>
        <v>15.3249438636</v>
      </c>
      <c r="I47" s="12">
        <f t="shared" si="7"/>
        <v>7662.4719317999998</v>
      </c>
      <c r="J47" s="88"/>
      <c r="L47" s="18"/>
      <c r="M47" s="19"/>
      <c r="N47" s="90"/>
    </row>
    <row r="48" spans="1:14" s="86" customFormat="1" ht="15.75" hidden="1" customHeight="1">
      <c r="A48" s="26"/>
      <c r="B48" s="53" t="s">
        <v>36</v>
      </c>
      <c r="C48" s="54" t="s">
        <v>100</v>
      </c>
      <c r="D48" s="53" t="s">
        <v>41</v>
      </c>
      <c r="E48" s="55">
        <v>2163.66</v>
      </c>
      <c r="F48" s="56">
        <f>SUM(E48*2/1000)</f>
        <v>4.3273199999999994</v>
      </c>
      <c r="G48" s="12">
        <v>1243.43</v>
      </c>
      <c r="H48" s="57">
        <f t="shared" si="6"/>
        <v>5.3807195075999994</v>
      </c>
      <c r="I48" s="12">
        <f>F48/2*G48</f>
        <v>2690.3597537999999</v>
      </c>
      <c r="J48" s="88"/>
      <c r="L48" s="18"/>
      <c r="M48" s="19"/>
      <c r="N48" s="90"/>
    </row>
    <row r="49" spans="1:21" s="86" customFormat="1" ht="15.75" customHeight="1">
      <c r="A49" s="26">
        <v>13</v>
      </c>
      <c r="B49" s="53" t="s">
        <v>55</v>
      </c>
      <c r="C49" s="54" t="s">
        <v>100</v>
      </c>
      <c r="D49" s="53" t="s">
        <v>131</v>
      </c>
      <c r="E49" s="55">
        <v>3945</v>
      </c>
      <c r="F49" s="56">
        <f>SUM(E49*5/1000)</f>
        <v>19.725000000000001</v>
      </c>
      <c r="G49" s="12">
        <v>1083.69</v>
      </c>
      <c r="H49" s="57">
        <f t="shared" si="6"/>
        <v>21.37578525</v>
      </c>
      <c r="I49" s="12">
        <f>F49/5*G49</f>
        <v>4275.1570500000007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105</v>
      </c>
      <c r="C50" s="54" t="s">
        <v>100</v>
      </c>
      <c r="D50" s="53" t="s">
        <v>41</v>
      </c>
      <c r="E50" s="55">
        <v>3945</v>
      </c>
      <c r="F50" s="56">
        <f>SUM(E50*2/1000)</f>
        <v>7.89</v>
      </c>
      <c r="G50" s="12">
        <v>1591.6</v>
      </c>
      <c r="H50" s="57">
        <f t="shared" si="6"/>
        <v>12.557723999999999</v>
      </c>
      <c r="I50" s="12">
        <f>F50/2*G50</f>
        <v>6278.8619999999992</v>
      </c>
      <c r="J50" s="88"/>
      <c r="L50" s="18"/>
      <c r="M50" s="19"/>
      <c r="N50" s="90"/>
    </row>
    <row r="51" spans="1:21" s="86" customFormat="1" ht="31.5" hidden="1" customHeight="1">
      <c r="A51" s="26"/>
      <c r="B51" s="53" t="s">
        <v>106</v>
      </c>
      <c r="C51" s="54" t="s">
        <v>37</v>
      </c>
      <c r="D51" s="53" t="s">
        <v>41</v>
      </c>
      <c r="E51" s="55">
        <v>30</v>
      </c>
      <c r="F51" s="56">
        <f>SUM(E51*2/100)</f>
        <v>0.6</v>
      </c>
      <c r="G51" s="12">
        <v>4058.32</v>
      </c>
      <c r="H51" s="57">
        <f t="shared" si="6"/>
        <v>2.4349920000000003</v>
      </c>
      <c r="I51" s="12">
        <f t="shared" ref="I51:I52" si="8">F51/2*G51</f>
        <v>1217.4960000000001</v>
      </c>
      <c r="J51" s="88"/>
      <c r="L51" s="18"/>
      <c r="M51" s="19"/>
      <c r="N51" s="90"/>
    </row>
    <row r="52" spans="1:21" s="86" customFormat="1" ht="15.75" hidden="1" customHeight="1">
      <c r="A52" s="26"/>
      <c r="B52" s="53" t="s">
        <v>38</v>
      </c>
      <c r="C52" s="54" t="s">
        <v>39</v>
      </c>
      <c r="D52" s="53" t="s">
        <v>41</v>
      </c>
      <c r="E52" s="55">
        <v>1</v>
      </c>
      <c r="F52" s="56">
        <v>0.02</v>
      </c>
      <c r="G52" s="12">
        <v>7412.92</v>
      </c>
      <c r="H52" s="57">
        <f t="shared" si="6"/>
        <v>0.14825839999999998</v>
      </c>
      <c r="I52" s="12">
        <f t="shared" si="8"/>
        <v>74.129199999999997</v>
      </c>
      <c r="J52" s="88"/>
      <c r="L52" s="18"/>
      <c r="M52" s="19"/>
      <c r="N52" s="90"/>
    </row>
    <row r="53" spans="1:21" s="86" customFormat="1" ht="15.75" customHeight="1">
      <c r="A53" s="26">
        <v>14</v>
      </c>
      <c r="B53" s="53" t="s">
        <v>120</v>
      </c>
      <c r="C53" s="54" t="s">
        <v>86</v>
      </c>
      <c r="D53" s="53" t="s">
        <v>69</v>
      </c>
      <c r="E53" s="55">
        <v>90</v>
      </c>
      <c r="F53" s="56">
        <f>E53*3</f>
        <v>270</v>
      </c>
      <c r="G53" s="12">
        <v>185.08</v>
      </c>
      <c r="H53" s="57">
        <f t="shared" si="6"/>
        <v>49.971600000000009</v>
      </c>
      <c r="I53" s="12">
        <f>E53*G53</f>
        <v>16657.2</v>
      </c>
      <c r="J53" s="88"/>
      <c r="L53" s="18"/>
      <c r="M53" s="19"/>
      <c r="N53" s="90"/>
    </row>
    <row r="54" spans="1:21" s="86" customFormat="1" ht="15.75" customHeight="1">
      <c r="A54" s="26">
        <v>15</v>
      </c>
      <c r="B54" s="53" t="s">
        <v>40</v>
      </c>
      <c r="C54" s="54" t="s">
        <v>86</v>
      </c>
      <c r="D54" s="53" t="s">
        <v>69</v>
      </c>
      <c r="E54" s="55">
        <v>180</v>
      </c>
      <c r="F54" s="56">
        <f>SUM(E54)*3</f>
        <v>540</v>
      </c>
      <c r="G54" s="12">
        <v>86.15</v>
      </c>
      <c r="H54" s="57">
        <f t="shared" si="6"/>
        <v>46.521000000000001</v>
      </c>
      <c r="I54" s="12">
        <f>E54*G54</f>
        <v>15507.000000000002</v>
      </c>
      <c r="J54" s="88"/>
      <c r="L54" s="18"/>
      <c r="M54" s="19"/>
      <c r="N54" s="90"/>
    </row>
    <row r="55" spans="1:21" s="86" customFormat="1" ht="15.75" customHeight="1">
      <c r="A55" s="202" t="s">
        <v>128</v>
      </c>
      <c r="B55" s="203"/>
      <c r="C55" s="203"/>
      <c r="D55" s="203"/>
      <c r="E55" s="203"/>
      <c r="F55" s="203"/>
      <c r="G55" s="203"/>
      <c r="H55" s="203"/>
      <c r="I55" s="204"/>
      <c r="J55" s="88"/>
      <c r="L55" s="18"/>
      <c r="M55" s="19"/>
      <c r="N55" s="90"/>
    </row>
    <row r="56" spans="1:21" s="86" customFormat="1" ht="15.75" customHeight="1">
      <c r="A56" s="26"/>
      <c r="B56" s="75" t="s">
        <v>42</v>
      </c>
      <c r="C56" s="54"/>
      <c r="D56" s="53"/>
      <c r="E56" s="55"/>
      <c r="F56" s="56"/>
      <c r="G56" s="56"/>
      <c r="H56" s="57"/>
      <c r="I56" s="12"/>
      <c r="J56" s="88"/>
      <c r="L56" s="18"/>
      <c r="M56" s="19"/>
      <c r="N56" s="90"/>
    </row>
    <row r="57" spans="1:21" s="86" customFormat="1" ht="47.25" customHeight="1">
      <c r="A57" s="26">
        <v>16</v>
      </c>
      <c r="B57" s="53" t="s">
        <v>146</v>
      </c>
      <c r="C57" s="54" t="s">
        <v>90</v>
      </c>
      <c r="D57" s="53" t="s">
        <v>107</v>
      </c>
      <c r="E57" s="55">
        <v>30.6</v>
      </c>
      <c r="F57" s="56">
        <f>SUM(E57*6/100)</f>
        <v>1.8360000000000003</v>
      </c>
      <c r="G57" s="12">
        <v>2029.3</v>
      </c>
      <c r="H57" s="57">
        <f>SUM(F57*G57/1000)</f>
        <v>3.7257948000000005</v>
      </c>
      <c r="I57" s="12">
        <f>G57*1.07</f>
        <v>2171.3510000000001</v>
      </c>
      <c r="J57" s="88"/>
      <c r="L57" s="18"/>
      <c r="M57" s="19"/>
      <c r="N57" s="90"/>
    </row>
    <row r="58" spans="1:21" s="86" customFormat="1" ht="31.5" customHeight="1">
      <c r="A58" s="26">
        <v>17</v>
      </c>
      <c r="B58" s="53" t="s">
        <v>84</v>
      </c>
      <c r="C58" s="54" t="s">
        <v>90</v>
      </c>
      <c r="D58" s="53" t="s">
        <v>85</v>
      </c>
      <c r="E58" s="55">
        <v>39.69</v>
      </c>
      <c r="F58" s="56">
        <f>SUM(E58*12/100)</f>
        <v>4.7627999999999995</v>
      </c>
      <c r="G58" s="12">
        <v>2029.3</v>
      </c>
      <c r="H58" s="57">
        <f>SUM(F58*G58/1000)</f>
        <v>9.6651500399999986</v>
      </c>
      <c r="I58" s="12">
        <f>F58/6*G58</f>
        <v>1610.8583399999998</v>
      </c>
      <c r="J58" s="88"/>
      <c r="L58" s="18"/>
      <c r="M58" s="19"/>
      <c r="N58" s="90"/>
    </row>
    <row r="59" spans="1:21" s="86" customFormat="1" ht="15.75" hidden="1" customHeight="1">
      <c r="A59" s="26"/>
      <c r="B59" s="62" t="s">
        <v>122</v>
      </c>
      <c r="C59" s="63" t="s">
        <v>123</v>
      </c>
      <c r="D59" s="62" t="s">
        <v>41</v>
      </c>
      <c r="E59" s="64">
        <v>6</v>
      </c>
      <c r="F59" s="56">
        <f>SUM(E59*2)</f>
        <v>12</v>
      </c>
      <c r="G59" s="12">
        <v>237.1</v>
      </c>
      <c r="H59" s="57">
        <f>SUM(F59*G59/1000)</f>
        <v>2.8451999999999997</v>
      </c>
      <c r="I59" s="12">
        <v>0</v>
      </c>
      <c r="J59" s="88"/>
      <c r="L59" s="18"/>
      <c r="M59" s="19"/>
      <c r="N59" s="90"/>
    </row>
    <row r="60" spans="1:21" s="86" customFormat="1" ht="15.75" customHeight="1">
      <c r="A60" s="26">
        <v>18</v>
      </c>
      <c r="B60" s="53" t="s">
        <v>124</v>
      </c>
      <c r="C60" s="54" t="s">
        <v>90</v>
      </c>
      <c r="D60" s="53" t="s">
        <v>107</v>
      </c>
      <c r="E60" s="55">
        <v>18.84</v>
      </c>
      <c r="F60" s="56">
        <f>SUM(E60*6/100)</f>
        <v>1.1303999999999998</v>
      </c>
      <c r="G60" s="12">
        <v>2029.3</v>
      </c>
      <c r="H60" s="57">
        <f>SUM(F60*G60/1000)</f>
        <v>2.2939207199999996</v>
      </c>
      <c r="I60" s="12">
        <f>F60/6*G60</f>
        <v>382.32011999999997</v>
      </c>
      <c r="J60" s="88"/>
      <c r="L60" s="18"/>
    </row>
    <row r="61" spans="1:21" s="86" customFormat="1" ht="15.75" hidden="1" customHeight="1">
      <c r="A61" s="26"/>
      <c r="B61" s="62" t="s">
        <v>108</v>
      </c>
      <c r="C61" s="63" t="s">
        <v>32</v>
      </c>
      <c r="D61" s="62" t="s">
        <v>142</v>
      </c>
      <c r="E61" s="64"/>
      <c r="F61" s="65">
        <v>3</v>
      </c>
      <c r="G61" s="12">
        <v>1582.05</v>
      </c>
      <c r="H61" s="57">
        <f>SUM(F61*G61/1000)</f>
        <v>4.7461499999999992</v>
      </c>
      <c r="I61" s="12">
        <v>0</v>
      </c>
      <c r="J61" s="88"/>
      <c r="L61" s="18"/>
    </row>
    <row r="62" spans="1:21" s="86" customFormat="1" ht="15.75" customHeight="1">
      <c r="A62" s="26"/>
      <c r="B62" s="76" t="s">
        <v>43</v>
      </c>
      <c r="C62" s="63"/>
      <c r="D62" s="62"/>
      <c r="E62" s="64"/>
      <c r="F62" s="65"/>
      <c r="G62" s="12"/>
      <c r="H62" s="66"/>
      <c r="I62" s="12"/>
      <c r="J62" s="88"/>
      <c r="L62" s="18"/>
    </row>
    <row r="63" spans="1:21" s="86" customFormat="1" ht="15.75" hidden="1" customHeight="1">
      <c r="A63" s="26"/>
      <c r="B63" s="62" t="s">
        <v>147</v>
      </c>
      <c r="C63" s="63" t="s">
        <v>51</v>
      </c>
      <c r="D63" s="62" t="s">
        <v>52</v>
      </c>
      <c r="E63" s="64">
        <v>203.1</v>
      </c>
      <c r="F63" s="67">
        <f>E63/100</f>
        <v>2.0310000000000001</v>
      </c>
      <c r="G63" s="12">
        <v>1040.8399999999999</v>
      </c>
      <c r="H63" s="66">
        <f>F63*G63/1000</f>
        <v>2.1139460399999996</v>
      </c>
      <c r="I63" s="12">
        <v>0</v>
      </c>
    </row>
    <row r="64" spans="1:21" s="86" customFormat="1" ht="15.75" customHeight="1">
      <c r="A64" s="26">
        <v>19</v>
      </c>
      <c r="B64" s="62" t="s">
        <v>87</v>
      </c>
      <c r="C64" s="63" t="s">
        <v>25</v>
      </c>
      <c r="D64" s="62" t="s">
        <v>30</v>
      </c>
      <c r="E64" s="64">
        <v>200</v>
      </c>
      <c r="F64" s="67">
        <f>E64*12</f>
        <v>2400</v>
      </c>
      <c r="G64" s="48">
        <v>1.2</v>
      </c>
      <c r="H64" s="65">
        <f>F64*G64/1000</f>
        <v>2.88</v>
      </c>
      <c r="I64" s="12">
        <f>F64/12*G64</f>
        <v>240</v>
      </c>
      <c r="J64" s="89"/>
      <c r="K64" s="89"/>
      <c r="L64" s="91"/>
      <c r="M64" s="91"/>
      <c r="N64" s="91"/>
      <c r="O64" s="91"/>
      <c r="P64" s="91"/>
      <c r="Q64" s="91"/>
      <c r="R64" s="91"/>
      <c r="S64" s="91"/>
      <c r="T64" s="91"/>
      <c r="U64" s="91"/>
    </row>
    <row r="65" spans="1:21" s="86" customFormat="1" ht="15.75" hidden="1" customHeight="1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  <c r="J65" s="91"/>
      <c r="K65" s="91"/>
      <c r="L65" s="91"/>
      <c r="M65" s="91"/>
      <c r="N65" s="91"/>
      <c r="O65" s="91"/>
      <c r="P65" s="91"/>
      <c r="Q65" s="91"/>
      <c r="S65" s="91"/>
      <c r="T65" s="91"/>
      <c r="U65" s="91"/>
    </row>
    <row r="66" spans="1:21" s="86" customFormat="1" ht="15.75" hidden="1" customHeight="1">
      <c r="A66" s="26"/>
      <c r="B66" s="13" t="s">
        <v>45</v>
      </c>
      <c r="C66" s="15" t="s">
        <v>86</v>
      </c>
      <c r="D66" s="13" t="s">
        <v>66</v>
      </c>
      <c r="E66" s="17">
        <v>7</v>
      </c>
      <c r="F66" s="67">
        <f>E66</f>
        <v>7</v>
      </c>
      <c r="G66" s="12">
        <v>291.68</v>
      </c>
      <c r="H66" s="68">
        <f t="shared" ref="H66:H84" si="9">SUM(F66*G66/1000)</f>
        <v>2.04176</v>
      </c>
      <c r="I66" s="12">
        <v>0</v>
      </c>
      <c r="J66" s="92"/>
      <c r="K66" s="92"/>
      <c r="L66" s="92"/>
      <c r="M66" s="92"/>
      <c r="N66" s="92"/>
      <c r="O66" s="92"/>
      <c r="P66" s="92"/>
      <c r="Q66" s="92"/>
      <c r="R66" s="205"/>
      <c r="S66" s="205"/>
      <c r="T66" s="205"/>
      <c r="U66" s="205"/>
    </row>
    <row r="67" spans="1:21" s="86" customFormat="1" ht="15.75" hidden="1" customHeight="1">
      <c r="A67" s="26"/>
      <c r="B67" s="13" t="s">
        <v>46</v>
      </c>
      <c r="C67" s="15" t="s">
        <v>86</v>
      </c>
      <c r="D67" s="13" t="s">
        <v>66</v>
      </c>
      <c r="E67" s="17">
        <v>3</v>
      </c>
      <c r="F67" s="67">
        <f>E67</f>
        <v>3</v>
      </c>
      <c r="G67" s="12">
        <v>100.01</v>
      </c>
      <c r="H67" s="68">
        <f t="shared" si="9"/>
        <v>0.30003000000000002</v>
      </c>
      <c r="I67" s="12">
        <v>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pans="1:21" s="86" customFormat="1" ht="15.75" hidden="1" customHeight="1">
      <c r="A68" s="26"/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2">
        <v>278.24</v>
      </c>
      <c r="H68" s="68">
        <f t="shared" si="9"/>
        <v>39.523992000000007</v>
      </c>
      <c r="I68" s="12">
        <f>F68*G68</f>
        <v>39523.992000000006</v>
      </c>
    </row>
    <row r="69" spans="1:21" s="86" customFormat="1" ht="15.75" hidden="1" customHeight="1">
      <c r="A69" s="26"/>
      <c r="B69" s="13" t="s">
        <v>48</v>
      </c>
      <c r="C69" s="15" t="s">
        <v>110</v>
      </c>
      <c r="D69" s="13"/>
      <c r="E69" s="55">
        <v>14205</v>
      </c>
      <c r="F69" s="12">
        <f>SUM(E69/1000)</f>
        <v>14.205</v>
      </c>
      <c r="G69" s="12">
        <v>216.68</v>
      </c>
      <c r="H69" s="68">
        <f t="shared" si="9"/>
        <v>3.0779394</v>
      </c>
      <c r="I69" s="12">
        <f t="shared" ref="I69:I73" si="10">F69*G69</f>
        <v>3077.9394000000002</v>
      </c>
    </row>
    <row r="70" spans="1:21" s="86" customFormat="1" ht="15.75" hidden="1" customHeight="1">
      <c r="A70" s="26"/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2">
        <v>2720.94</v>
      </c>
      <c r="H70" s="68">
        <f t="shared" si="9"/>
        <v>57.983231399999994</v>
      </c>
      <c r="I70" s="12">
        <f t="shared" si="10"/>
        <v>57983.231399999997</v>
      </c>
    </row>
    <row r="71" spans="1:21" s="86" customFormat="1" ht="15.75" hidden="1" customHeight="1">
      <c r="A71" s="26"/>
      <c r="B71" s="69" t="s">
        <v>111</v>
      </c>
      <c r="C71" s="15" t="s">
        <v>33</v>
      </c>
      <c r="D71" s="13"/>
      <c r="E71" s="55">
        <v>7</v>
      </c>
      <c r="F71" s="12">
        <f>SUM(E71)</f>
        <v>7</v>
      </c>
      <c r="G71" s="12">
        <v>44.31</v>
      </c>
      <c r="H71" s="68">
        <f t="shared" si="9"/>
        <v>0.31017</v>
      </c>
      <c r="I71" s="12">
        <f t="shared" si="10"/>
        <v>310.17</v>
      </c>
    </row>
    <row r="72" spans="1:21" s="86" customFormat="1" ht="15.75" hidden="1" customHeight="1">
      <c r="A72" s="26"/>
      <c r="B72" s="69" t="s">
        <v>112</v>
      </c>
      <c r="C72" s="15" t="s">
        <v>33</v>
      </c>
      <c r="D72" s="13"/>
      <c r="E72" s="55">
        <v>7</v>
      </c>
      <c r="F72" s="12">
        <f>SUM(E72)</f>
        <v>7</v>
      </c>
      <c r="G72" s="12">
        <v>47.79</v>
      </c>
      <c r="H72" s="68">
        <f t="shared" si="9"/>
        <v>0.33452999999999999</v>
      </c>
      <c r="I72" s="12">
        <f t="shared" si="10"/>
        <v>334.53</v>
      </c>
    </row>
    <row r="73" spans="1:21" s="86" customFormat="1" ht="15.75" hidden="1" customHeight="1">
      <c r="A73" s="26"/>
      <c r="B73" s="13" t="s">
        <v>56</v>
      </c>
      <c r="C73" s="15" t="s">
        <v>57</v>
      </c>
      <c r="D73" s="13" t="s">
        <v>52</v>
      </c>
      <c r="E73" s="17">
        <v>6</v>
      </c>
      <c r="F73" s="12">
        <f>SUM(E73)</f>
        <v>6</v>
      </c>
      <c r="G73" s="12">
        <v>65.42</v>
      </c>
      <c r="H73" s="68">
        <f t="shared" si="9"/>
        <v>0.39251999999999998</v>
      </c>
      <c r="I73" s="12">
        <f t="shared" si="10"/>
        <v>392.52</v>
      </c>
    </row>
    <row r="74" spans="1:21" s="86" customFormat="1" ht="15.75" customHeight="1">
      <c r="A74" s="26"/>
      <c r="B74" s="83" t="s">
        <v>148</v>
      </c>
      <c r="C74" s="15"/>
      <c r="D74" s="13"/>
      <c r="E74" s="17"/>
      <c r="F74" s="48"/>
      <c r="G74" s="12"/>
      <c r="H74" s="68"/>
      <c r="I74" s="12"/>
    </row>
    <row r="75" spans="1:21" s="86" customFormat="1" ht="15.75" customHeight="1">
      <c r="A75" s="26">
        <v>20</v>
      </c>
      <c r="B75" s="13" t="s">
        <v>149</v>
      </c>
      <c r="C75" s="26" t="s">
        <v>150</v>
      </c>
      <c r="D75" s="13" t="s">
        <v>66</v>
      </c>
      <c r="E75" s="17">
        <v>3945</v>
      </c>
      <c r="F75" s="56">
        <f>SUM(E75)*12</f>
        <v>47340</v>
      </c>
      <c r="G75" s="12">
        <v>2.2799999999999998</v>
      </c>
      <c r="H75" s="68">
        <f t="shared" ref="H75:H76" si="11">SUM(F75*G75/1000)</f>
        <v>107.93519999999999</v>
      </c>
      <c r="I75" s="12">
        <f>F75/12*G75</f>
        <v>8994.5999999999985</v>
      </c>
    </row>
    <row r="76" spans="1:21" s="86" customFormat="1" ht="15.75" customHeight="1">
      <c r="A76" s="26">
        <v>21</v>
      </c>
      <c r="B76" s="72" t="s">
        <v>151</v>
      </c>
      <c r="C76" s="73" t="s">
        <v>86</v>
      </c>
      <c r="D76" s="13"/>
      <c r="E76" s="17">
        <v>1</v>
      </c>
      <c r="F76" s="56">
        <f>SUM(E76)*12</f>
        <v>12</v>
      </c>
      <c r="G76" s="12">
        <v>50.68</v>
      </c>
      <c r="H76" s="68">
        <f t="shared" si="11"/>
        <v>0.60815999999999992</v>
      </c>
      <c r="I76" s="12">
        <f>F76/12*G76</f>
        <v>50.68</v>
      </c>
    </row>
    <row r="77" spans="1:21" s="86" customFormat="1" ht="15.75" hidden="1" customHeight="1">
      <c r="A77" s="26"/>
      <c r="B77" s="83" t="s">
        <v>70</v>
      </c>
      <c r="C77" s="15"/>
      <c r="D77" s="13"/>
      <c r="E77" s="17"/>
      <c r="F77" s="12"/>
      <c r="G77" s="12"/>
      <c r="H77" s="68" t="s">
        <v>125</v>
      </c>
      <c r="I77" s="12"/>
    </row>
    <row r="78" spans="1:21" s="86" customFormat="1" ht="15.75" hidden="1" customHeight="1">
      <c r="A78" s="26"/>
      <c r="B78" s="13" t="s">
        <v>152</v>
      </c>
      <c r="C78" s="15" t="s">
        <v>31</v>
      </c>
      <c r="D78" s="13" t="s">
        <v>160</v>
      </c>
      <c r="E78" s="17">
        <v>2</v>
      </c>
      <c r="F78" s="56">
        <f t="shared" ref="F78" si="12">E78</f>
        <v>2</v>
      </c>
      <c r="G78" s="12">
        <v>1029.1199999999999</v>
      </c>
      <c r="H78" s="68">
        <f>G78*F78/1000</f>
        <v>2.0582399999999996</v>
      </c>
      <c r="I78" s="12">
        <v>0</v>
      </c>
    </row>
    <row r="79" spans="1:21" s="86" customFormat="1" ht="15.75" hidden="1" customHeight="1">
      <c r="A79" s="26"/>
      <c r="B79" s="13" t="s">
        <v>153</v>
      </c>
      <c r="C79" s="15" t="s">
        <v>154</v>
      </c>
      <c r="D79" s="13" t="s">
        <v>160</v>
      </c>
      <c r="E79" s="17">
        <v>1</v>
      </c>
      <c r="F79" s="12">
        <v>1</v>
      </c>
      <c r="G79" s="12">
        <v>735</v>
      </c>
      <c r="H79" s="68">
        <f t="shared" ref="H79:H82" si="13">SUM(F79*G79/1000)</f>
        <v>0.73499999999999999</v>
      </c>
      <c r="I79" s="12">
        <v>0</v>
      </c>
    </row>
    <row r="80" spans="1:21" s="86" customFormat="1" ht="15.75" hidden="1" customHeight="1">
      <c r="A80" s="77"/>
      <c r="B80" s="13" t="s">
        <v>71</v>
      </c>
      <c r="C80" s="15" t="s">
        <v>73</v>
      </c>
      <c r="D80" s="13" t="s">
        <v>160</v>
      </c>
      <c r="E80" s="17">
        <v>3</v>
      </c>
      <c r="F80" s="12">
        <f>E80/10</f>
        <v>0.3</v>
      </c>
      <c r="G80" s="12">
        <v>657.87</v>
      </c>
      <c r="H80" s="68">
        <f t="shared" si="13"/>
        <v>0.19736099999999998</v>
      </c>
      <c r="I80" s="12">
        <v>0</v>
      </c>
    </row>
    <row r="81" spans="1:9" s="86" customFormat="1" ht="15.75" hidden="1" customHeight="1">
      <c r="A81" s="77"/>
      <c r="B81" s="13" t="s">
        <v>72</v>
      </c>
      <c r="C81" s="15" t="s">
        <v>31</v>
      </c>
      <c r="D81" s="13" t="s">
        <v>160</v>
      </c>
      <c r="E81" s="17">
        <v>1</v>
      </c>
      <c r="F81" s="48">
        <v>1</v>
      </c>
      <c r="G81" s="12">
        <v>1118.72</v>
      </c>
      <c r="H81" s="68">
        <f t="shared" si="13"/>
        <v>1.1187199999999999</v>
      </c>
      <c r="I81" s="12">
        <v>0</v>
      </c>
    </row>
    <row r="82" spans="1:9" s="86" customFormat="1" ht="15.75" hidden="1" customHeight="1">
      <c r="A82" s="77"/>
      <c r="B82" s="72" t="s">
        <v>155</v>
      </c>
      <c r="C82" s="73" t="s">
        <v>86</v>
      </c>
      <c r="D82" s="13" t="s">
        <v>160</v>
      </c>
      <c r="E82" s="17">
        <v>1</v>
      </c>
      <c r="F82" s="56">
        <f>E82</f>
        <v>1</v>
      </c>
      <c r="G82" s="12">
        <v>1605.83</v>
      </c>
      <c r="H82" s="68">
        <f t="shared" si="13"/>
        <v>1.6058299999999999</v>
      </c>
      <c r="I82" s="12">
        <v>0</v>
      </c>
    </row>
    <row r="83" spans="1:9" s="86" customFormat="1" ht="15.75" customHeight="1">
      <c r="A83" s="77"/>
      <c r="B83" s="70" t="s">
        <v>74</v>
      </c>
      <c r="C83" s="15"/>
      <c r="D83" s="13"/>
      <c r="E83" s="17"/>
      <c r="F83" s="12"/>
      <c r="G83" s="12" t="s">
        <v>125</v>
      </c>
      <c r="H83" s="68" t="s">
        <v>125</v>
      </c>
      <c r="I83" s="12"/>
    </row>
    <row r="84" spans="1:9" s="86" customFormat="1" ht="15.75" customHeight="1">
      <c r="A84" s="77">
        <v>22</v>
      </c>
      <c r="B84" s="39" t="s">
        <v>115</v>
      </c>
      <c r="C84" s="15" t="s">
        <v>75</v>
      </c>
      <c r="D84" s="13"/>
      <c r="E84" s="17"/>
      <c r="F84" s="12">
        <v>0.6</v>
      </c>
      <c r="G84" s="12">
        <v>3619.09</v>
      </c>
      <c r="H84" s="68">
        <f t="shared" si="9"/>
        <v>2.1714540000000002</v>
      </c>
      <c r="I84" s="12">
        <f>G84*0.06</f>
        <v>217.1454</v>
      </c>
    </row>
    <row r="85" spans="1:9" s="86" customFormat="1" ht="15.75" hidden="1" customHeight="1">
      <c r="A85" s="77"/>
      <c r="B85" s="83" t="s">
        <v>113</v>
      </c>
      <c r="C85" s="70"/>
      <c r="D85" s="28"/>
      <c r="E85" s="29"/>
      <c r="F85" s="59"/>
      <c r="G85" s="59"/>
      <c r="H85" s="71">
        <f>SUM(H57:H84)</f>
        <v>248.6642994</v>
      </c>
      <c r="I85" s="59"/>
    </row>
    <row r="86" spans="1:9" s="86" customFormat="1" ht="15.75" hidden="1" customHeight="1">
      <c r="A86" s="77"/>
      <c r="B86" s="53" t="s">
        <v>114</v>
      </c>
      <c r="C86" s="15"/>
      <c r="D86" s="13"/>
      <c r="E86" s="49"/>
      <c r="F86" s="12">
        <v>1</v>
      </c>
      <c r="G86" s="12">
        <v>32126.400000000001</v>
      </c>
      <c r="H86" s="68">
        <f>G86*F86/1000</f>
        <v>32.126400000000004</v>
      </c>
      <c r="I86" s="12">
        <v>0</v>
      </c>
    </row>
    <row r="87" spans="1:9" s="86" customFormat="1" ht="15.75" hidden="1" customHeight="1">
      <c r="A87" s="77"/>
      <c r="B87" s="53" t="s">
        <v>156</v>
      </c>
      <c r="C87" s="15"/>
      <c r="D87" s="13" t="s">
        <v>157</v>
      </c>
      <c r="E87" s="13"/>
      <c r="F87" s="12">
        <v>90</v>
      </c>
      <c r="G87" s="12">
        <v>700</v>
      </c>
      <c r="H87" s="68">
        <f>G87*F87/1000</f>
        <v>63</v>
      </c>
      <c r="I87" s="12">
        <v>0</v>
      </c>
    </row>
    <row r="88" spans="1:9" s="86" customFormat="1" ht="15.75" customHeight="1">
      <c r="A88" s="210" t="s">
        <v>129</v>
      </c>
      <c r="B88" s="211"/>
      <c r="C88" s="211"/>
      <c r="D88" s="211"/>
      <c r="E88" s="211"/>
      <c r="F88" s="211"/>
      <c r="G88" s="211"/>
      <c r="H88" s="211"/>
      <c r="I88" s="212"/>
    </row>
    <row r="89" spans="1:9" s="86" customFormat="1" ht="15.75" customHeight="1">
      <c r="A89" s="77">
        <v>23</v>
      </c>
      <c r="B89" s="53" t="s">
        <v>116</v>
      </c>
      <c r="C89" s="15" t="s">
        <v>53</v>
      </c>
      <c r="D89" s="93" t="s">
        <v>54</v>
      </c>
      <c r="E89" s="12">
        <v>3945</v>
      </c>
      <c r="F89" s="12">
        <f>SUM(E89*12)</f>
        <v>47340</v>
      </c>
      <c r="G89" s="12">
        <v>3.1</v>
      </c>
      <c r="H89" s="68">
        <f>SUM(F89*G89/1000)</f>
        <v>146.75399999999999</v>
      </c>
      <c r="I89" s="12">
        <f>F89/12*G89</f>
        <v>12229.5</v>
      </c>
    </row>
    <row r="90" spans="1:9" s="86" customFormat="1" ht="31.5" customHeight="1">
      <c r="A90" s="26">
        <v>24</v>
      </c>
      <c r="B90" s="13" t="s">
        <v>76</v>
      </c>
      <c r="C90" s="15"/>
      <c r="D90" s="93" t="s">
        <v>54</v>
      </c>
      <c r="E90" s="55">
        <f>E89</f>
        <v>3945</v>
      </c>
      <c r="F90" s="12">
        <f>E90*12</f>
        <v>47340</v>
      </c>
      <c r="G90" s="12">
        <v>3.5</v>
      </c>
      <c r="H90" s="68">
        <f>F90*G90/1000</f>
        <v>165.69</v>
      </c>
      <c r="I90" s="12">
        <f>F90/12*G90</f>
        <v>13807.5</v>
      </c>
    </row>
    <row r="91" spans="1:9" s="86" customFormat="1" ht="15.75" customHeight="1">
      <c r="A91" s="26"/>
      <c r="B91" s="31" t="s">
        <v>79</v>
      </c>
      <c r="C91" s="32"/>
      <c r="D91" s="14"/>
      <c r="E91" s="14"/>
      <c r="F91" s="17"/>
      <c r="G91" s="30"/>
      <c r="H91" s="71">
        <f>H90</f>
        <v>165.69</v>
      </c>
      <c r="I91" s="29">
        <f>SUM(I16+I17+I18+I25+I26+I37+I38+I39+I40+I41+I42+I43+I49+I53+I54+I57+I58+I60+I64+I75+I76+I84+I89+I90)</f>
        <v>115946.28128666665</v>
      </c>
    </row>
    <row r="92" spans="1:9" s="86" customFormat="1" ht="15.75" customHeight="1">
      <c r="A92" s="207" t="s">
        <v>59</v>
      </c>
      <c r="B92" s="208"/>
      <c r="C92" s="208"/>
      <c r="D92" s="208"/>
      <c r="E92" s="208"/>
      <c r="F92" s="208"/>
      <c r="G92" s="208"/>
      <c r="H92" s="208"/>
      <c r="I92" s="209"/>
    </row>
    <row r="93" spans="1:9" ht="31.5" customHeight="1">
      <c r="A93" s="26">
        <v>25</v>
      </c>
      <c r="B93" s="72" t="s">
        <v>161</v>
      </c>
      <c r="C93" s="73" t="s">
        <v>37</v>
      </c>
      <c r="D93" s="13"/>
      <c r="E93" s="17"/>
      <c r="F93" s="12">
        <v>0.01</v>
      </c>
      <c r="G93" s="12">
        <v>3724.37</v>
      </c>
      <c r="H93" s="68">
        <f>G93*F93/1000</f>
        <v>3.7243699999999998E-2</v>
      </c>
      <c r="I93" s="74">
        <f>G93*0.01</f>
        <v>37.243699999999997</v>
      </c>
    </row>
    <row r="94" spans="1:9" ht="31.5" customHeight="1">
      <c r="A94" s="26">
        <v>26</v>
      </c>
      <c r="B94" s="72" t="s">
        <v>78</v>
      </c>
      <c r="C94" s="73" t="s">
        <v>86</v>
      </c>
      <c r="D94" s="13"/>
      <c r="E94" s="17"/>
      <c r="F94" s="12">
        <v>2</v>
      </c>
      <c r="G94" s="12">
        <v>86.69</v>
      </c>
      <c r="H94" s="68">
        <f>G94*F94/1000</f>
        <v>0.17338000000000001</v>
      </c>
      <c r="I94" s="12">
        <f>G94*2</f>
        <v>173.38</v>
      </c>
    </row>
    <row r="95" spans="1:9" ht="16.5" customHeight="1">
      <c r="A95" s="26"/>
      <c r="B95" s="37" t="s">
        <v>50</v>
      </c>
      <c r="C95" s="33"/>
      <c r="D95" s="40"/>
      <c r="E95" s="33">
        <v>1</v>
      </c>
      <c r="F95" s="33"/>
      <c r="G95" s="33"/>
      <c r="H95" s="33"/>
      <c r="I95" s="29">
        <f>SUM(I93:I94)</f>
        <v>210.62369999999999</v>
      </c>
    </row>
    <row r="96" spans="1:9" ht="16.5" customHeight="1">
      <c r="A96" s="26"/>
      <c r="B96" s="39" t="s">
        <v>77</v>
      </c>
      <c r="C96" s="14"/>
      <c r="D96" s="14"/>
      <c r="E96" s="34"/>
      <c r="F96" s="34"/>
      <c r="G96" s="35"/>
      <c r="H96" s="35"/>
      <c r="I96" s="16">
        <v>0</v>
      </c>
    </row>
    <row r="97" spans="1:9" ht="15.75" customHeight="1">
      <c r="A97" s="41"/>
      <c r="B97" s="38" t="s">
        <v>162</v>
      </c>
      <c r="C97" s="30"/>
      <c r="D97" s="30"/>
      <c r="E97" s="30"/>
      <c r="F97" s="30"/>
      <c r="G97" s="30"/>
      <c r="H97" s="30"/>
      <c r="I97" s="36">
        <f>I91+I95</f>
        <v>116156.90498666665</v>
      </c>
    </row>
    <row r="98" spans="1:9" ht="15.75" customHeight="1">
      <c r="A98" s="206" t="s">
        <v>213</v>
      </c>
      <c r="B98" s="206"/>
      <c r="C98" s="206"/>
      <c r="D98" s="206"/>
      <c r="E98" s="206"/>
      <c r="F98" s="206"/>
      <c r="G98" s="206"/>
      <c r="H98" s="206"/>
      <c r="I98" s="206"/>
    </row>
    <row r="99" spans="1:9" ht="15.75" customHeight="1">
      <c r="A99" s="45"/>
      <c r="B99" s="213" t="s">
        <v>214</v>
      </c>
      <c r="C99" s="213"/>
      <c r="D99" s="213"/>
      <c r="E99" s="213"/>
      <c r="F99" s="213"/>
      <c r="G99" s="213"/>
      <c r="H99" s="52"/>
      <c r="I99" s="3"/>
    </row>
    <row r="100" spans="1:9" ht="15.75" customHeight="1">
      <c r="A100" s="43"/>
      <c r="B100" s="214" t="s">
        <v>6</v>
      </c>
      <c r="C100" s="214"/>
      <c r="D100" s="214"/>
      <c r="E100" s="214"/>
      <c r="F100" s="214"/>
      <c r="G100" s="214"/>
      <c r="H100" s="21"/>
      <c r="I100" s="5"/>
    </row>
    <row r="101" spans="1:9" ht="6.75" customHeight="1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 customHeight="1">
      <c r="A102" s="215" t="s">
        <v>7</v>
      </c>
      <c r="B102" s="215"/>
      <c r="C102" s="215"/>
      <c r="D102" s="215"/>
      <c r="E102" s="215"/>
      <c r="F102" s="215"/>
      <c r="G102" s="215"/>
      <c r="H102" s="215"/>
      <c r="I102" s="215"/>
    </row>
    <row r="103" spans="1:9" ht="15.75" customHeight="1">
      <c r="A103" s="215" t="s">
        <v>8</v>
      </c>
      <c r="B103" s="215"/>
      <c r="C103" s="215"/>
      <c r="D103" s="215"/>
      <c r="E103" s="215"/>
      <c r="F103" s="215"/>
      <c r="G103" s="215"/>
      <c r="H103" s="215"/>
      <c r="I103" s="215"/>
    </row>
    <row r="104" spans="1:9" ht="15.75" customHeight="1">
      <c r="A104" s="216" t="s">
        <v>60</v>
      </c>
      <c r="B104" s="216"/>
      <c r="C104" s="216"/>
      <c r="D104" s="216"/>
      <c r="E104" s="216"/>
      <c r="F104" s="216"/>
      <c r="G104" s="216"/>
      <c r="H104" s="216"/>
      <c r="I104" s="216"/>
    </row>
    <row r="105" spans="1:9" ht="15.75" customHeight="1">
      <c r="A105" s="10"/>
    </row>
    <row r="106" spans="1:9" ht="15.75" customHeight="1">
      <c r="A106" s="200" t="s">
        <v>9</v>
      </c>
      <c r="B106" s="200"/>
      <c r="C106" s="200"/>
      <c r="D106" s="200"/>
      <c r="E106" s="200"/>
      <c r="F106" s="200"/>
      <c r="G106" s="200"/>
      <c r="H106" s="200"/>
      <c r="I106" s="200"/>
    </row>
    <row r="107" spans="1:9" ht="8.25" customHeight="1">
      <c r="A107" s="4"/>
    </row>
    <row r="108" spans="1:9" ht="15.75" customHeight="1">
      <c r="B108" s="44" t="s">
        <v>10</v>
      </c>
      <c r="C108" s="218" t="s">
        <v>83</v>
      </c>
      <c r="D108" s="218"/>
      <c r="E108" s="218"/>
      <c r="F108" s="50"/>
      <c r="I108" s="47"/>
    </row>
    <row r="109" spans="1:9" ht="15.75" customHeight="1">
      <c r="A109" s="43"/>
      <c r="C109" s="214" t="s">
        <v>11</v>
      </c>
      <c r="D109" s="214"/>
      <c r="E109" s="214"/>
      <c r="F109" s="21"/>
      <c r="I109" s="46" t="s">
        <v>12</v>
      </c>
    </row>
    <row r="110" spans="1:9" ht="15.75" customHeight="1">
      <c r="A110" s="22"/>
      <c r="C110" s="11"/>
      <c r="D110" s="11"/>
      <c r="G110" s="11"/>
      <c r="H110" s="11"/>
    </row>
    <row r="111" spans="1:9" ht="15.75" customHeight="1">
      <c r="B111" s="44" t="s">
        <v>13</v>
      </c>
      <c r="C111" s="219"/>
      <c r="D111" s="219"/>
      <c r="E111" s="219"/>
      <c r="F111" s="51"/>
      <c r="I111" s="47"/>
    </row>
    <row r="112" spans="1:9" ht="15.75" customHeight="1">
      <c r="A112" s="43"/>
      <c r="C112" s="220" t="s">
        <v>11</v>
      </c>
      <c r="D112" s="220"/>
      <c r="E112" s="220"/>
      <c r="F112" s="43"/>
      <c r="I112" s="46" t="s">
        <v>12</v>
      </c>
    </row>
    <row r="113" spans="1:9" ht="15.75" customHeight="1">
      <c r="A113" s="4" t="s">
        <v>14</v>
      </c>
    </row>
    <row r="114" spans="1:9" ht="15.75" customHeight="1">
      <c r="A114" s="221" t="s">
        <v>15</v>
      </c>
      <c r="B114" s="221"/>
      <c r="C114" s="221"/>
      <c r="D114" s="221"/>
      <c r="E114" s="221"/>
      <c r="F114" s="221"/>
      <c r="G114" s="221"/>
      <c r="H114" s="221"/>
      <c r="I114" s="221"/>
    </row>
    <row r="115" spans="1:9" ht="45" customHeight="1">
      <c r="A115" s="217" t="s">
        <v>16</v>
      </c>
      <c r="B115" s="217"/>
      <c r="C115" s="217"/>
      <c r="D115" s="217"/>
      <c r="E115" s="217"/>
      <c r="F115" s="217"/>
      <c r="G115" s="217"/>
      <c r="H115" s="217"/>
      <c r="I115" s="217"/>
    </row>
    <row r="116" spans="1:9" ht="30" customHeight="1">
      <c r="A116" s="217" t="s">
        <v>17</v>
      </c>
      <c r="B116" s="217"/>
      <c r="C116" s="217"/>
      <c r="D116" s="217"/>
      <c r="E116" s="217"/>
      <c r="F116" s="217"/>
      <c r="G116" s="217"/>
      <c r="H116" s="217"/>
      <c r="I116" s="217"/>
    </row>
    <row r="117" spans="1:9" ht="30" customHeight="1">
      <c r="A117" s="217" t="s">
        <v>21</v>
      </c>
      <c r="B117" s="217"/>
      <c r="C117" s="217"/>
      <c r="D117" s="217"/>
      <c r="E117" s="217"/>
      <c r="F117" s="217"/>
      <c r="G117" s="217"/>
      <c r="H117" s="217"/>
      <c r="I117" s="217"/>
    </row>
    <row r="118" spans="1:9" ht="15" customHeight="1">
      <c r="A118" s="217" t="s">
        <v>20</v>
      </c>
      <c r="B118" s="217"/>
      <c r="C118" s="217"/>
      <c r="D118" s="217"/>
      <c r="E118" s="217"/>
      <c r="F118" s="217"/>
      <c r="G118" s="217"/>
      <c r="H118" s="217"/>
      <c r="I118" s="217"/>
    </row>
  </sheetData>
  <autoFilter ref="I12:I62"/>
  <mergeCells count="29">
    <mergeCell ref="A116:I116"/>
    <mergeCell ref="A117:I117"/>
    <mergeCell ref="A118:I118"/>
    <mergeCell ref="C108:E108"/>
    <mergeCell ref="C109:E109"/>
    <mergeCell ref="C111:E111"/>
    <mergeCell ref="C112:E112"/>
    <mergeCell ref="A114:I114"/>
    <mergeCell ref="A115:I115"/>
    <mergeCell ref="A106:I106"/>
    <mergeCell ref="A15:I15"/>
    <mergeCell ref="A27:I27"/>
    <mergeCell ref="R66:U66"/>
    <mergeCell ref="A98:I98"/>
    <mergeCell ref="A92:I92"/>
    <mergeCell ref="A44:I44"/>
    <mergeCell ref="A55:I55"/>
    <mergeCell ref="A88:I88"/>
    <mergeCell ref="B99:G99"/>
    <mergeCell ref="B100:G100"/>
    <mergeCell ref="A102:I102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12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16"/>
  <sheetViews>
    <sheetView workbookViewId="0">
      <selection activeCell="B97" sqref="B97:G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81</v>
      </c>
      <c r="I1" s="23"/>
      <c r="J1" s="1"/>
      <c r="K1" s="1"/>
      <c r="L1" s="1"/>
      <c r="M1" s="1"/>
    </row>
    <row r="2" spans="1:13" ht="15.75">
      <c r="A2" s="25" t="s">
        <v>61</v>
      </c>
      <c r="J2" s="2"/>
      <c r="K2" s="2"/>
      <c r="L2" s="2"/>
      <c r="M2" s="2"/>
    </row>
    <row r="3" spans="1:13" ht="15.75" customHeight="1">
      <c r="A3" s="195" t="s">
        <v>130</v>
      </c>
      <c r="B3" s="195"/>
      <c r="C3" s="195"/>
      <c r="D3" s="195"/>
      <c r="E3" s="195"/>
      <c r="F3" s="195"/>
      <c r="G3" s="195"/>
      <c r="H3" s="195"/>
      <c r="I3" s="195"/>
      <c r="J3" s="3"/>
      <c r="K3" s="3"/>
      <c r="L3" s="3"/>
    </row>
    <row r="4" spans="1:13" ht="31.5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13" ht="15.75">
      <c r="A5" s="195" t="s">
        <v>163</v>
      </c>
      <c r="B5" s="197"/>
      <c r="C5" s="197"/>
      <c r="D5" s="197"/>
      <c r="E5" s="197"/>
      <c r="F5" s="197"/>
      <c r="G5" s="197"/>
      <c r="H5" s="197"/>
      <c r="I5" s="197"/>
      <c r="J5" s="2"/>
      <c r="K5" s="2"/>
      <c r="L5" s="2"/>
      <c r="M5" s="2"/>
    </row>
    <row r="6" spans="1:13" ht="15.75">
      <c r="A6" s="2"/>
      <c r="B6" s="84"/>
      <c r="C6" s="84"/>
      <c r="D6" s="84"/>
      <c r="E6" s="84"/>
      <c r="F6" s="84"/>
      <c r="G6" s="84"/>
      <c r="H6" s="84"/>
      <c r="I6" s="27">
        <v>43159</v>
      </c>
      <c r="J6" s="2"/>
      <c r="K6" s="2"/>
      <c r="L6" s="2"/>
      <c r="M6" s="2"/>
    </row>
    <row r="7" spans="1:13" ht="15.75">
      <c r="B7" s="82"/>
      <c r="C7" s="82"/>
      <c r="D7" s="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8" t="s">
        <v>136</v>
      </c>
      <c r="B8" s="198"/>
      <c r="C8" s="198"/>
      <c r="D8" s="198"/>
      <c r="E8" s="198"/>
      <c r="F8" s="198"/>
      <c r="G8" s="198"/>
      <c r="H8" s="198"/>
      <c r="I8" s="198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  <c r="J10" s="2"/>
      <c r="K10" s="2"/>
      <c r="L10" s="2"/>
      <c r="M10" s="2"/>
    </row>
    <row r="11" spans="1:13" ht="15.7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91</v>
      </c>
      <c r="C19" s="54" t="s">
        <v>92</v>
      </c>
      <c r="D19" s="53" t="s">
        <v>93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 t="shared" ref="I22:I24" si="1"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 t="shared" si="1"/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 t="shared" si="1"/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53" t="s">
        <v>63</v>
      </c>
      <c r="C25" s="54" t="s">
        <v>33</v>
      </c>
      <c r="D25" s="53" t="s">
        <v>141</v>
      </c>
      <c r="E25" s="55">
        <v>0.1</v>
      </c>
      <c r="F25" s="56">
        <f>SUM(E25*155)</f>
        <v>15.5</v>
      </c>
      <c r="G25" s="56">
        <v>264.85000000000002</v>
      </c>
      <c r="H25" s="57">
        <f>SUM(F25*G25/1000)</f>
        <v>4.105175</v>
      </c>
      <c r="I25" s="12">
        <f>F25/12*G25</f>
        <v>342.09791666666672</v>
      </c>
      <c r="J25" s="87"/>
      <c r="K25" s="85"/>
      <c r="L25" s="85"/>
      <c r="M25" s="85"/>
    </row>
    <row r="26" spans="1:13" s="86" customFormat="1" ht="15.75" customHeight="1">
      <c r="A26" s="26">
        <v>5</v>
      </c>
      <c r="B26" s="61" t="s">
        <v>23</v>
      </c>
      <c r="C26" s="54" t="s">
        <v>24</v>
      </c>
      <c r="D26" s="61" t="s">
        <v>125</v>
      </c>
      <c r="E26" s="55">
        <v>3945</v>
      </c>
      <c r="F26" s="56">
        <f>SUM(E26*12)</f>
        <v>47340</v>
      </c>
      <c r="G26" s="56">
        <v>3.64</v>
      </c>
      <c r="H26" s="57">
        <f>SUM(F26*G26/1000)</f>
        <v>172.3176</v>
      </c>
      <c r="I26" s="12">
        <f>F26/12*G26</f>
        <v>14359.800000000001</v>
      </c>
      <c r="J26" s="88"/>
    </row>
    <row r="27" spans="1:13" ht="15.75" customHeight="1">
      <c r="A27" s="202" t="s">
        <v>158</v>
      </c>
      <c r="B27" s="203"/>
      <c r="C27" s="203"/>
      <c r="D27" s="203"/>
      <c r="E27" s="203"/>
      <c r="F27" s="203"/>
      <c r="G27" s="203"/>
      <c r="H27" s="203"/>
      <c r="I27" s="204"/>
      <c r="J27" s="20"/>
      <c r="K27" s="8"/>
      <c r="L27" s="8"/>
      <c r="M27" s="8"/>
    </row>
    <row r="28" spans="1:13" s="86" customFormat="1" ht="15.75" hidden="1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  <c r="J28" s="88"/>
    </row>
    <row r="29" spans="1:13" s="86" customFormat="1" ht="15.75" hidden="1" customHeight="1">
      <c r="A29" s="26"/>
      <c r="B29" s="53" t="s">
        <v>99</v>
      </c>
      <c r="C29" s="54" t="s">
        <v>29</v>
      </c>
      <c r="D29" s="53" t="s">
        <v>138</v>
      </c>
      <c r="E29" s="56">
        <v>355.5</v>
      </c>
      <c r="F29" s="56">
        <f>SUM(E29*48/1000)</f>
        <v>17.064</v>
      </c>
      <c r="G29" s="56">
        <v>204.44</v>
      </c>
      <c r="H29" s="57">
        <f t="shared" ref="H29:H35" si="2">SUM(F29*G29/1000)</f>
        <v>3.4885641599999997</v>
      </c>
      <c r="I29" s="12">
        <f>F29/6*G29</f>
        <v>581.42736000000002</v>
      </c>
      <c r="J29" s="87"/>
      <c r="K29" s="85"/>
      <c r="L29" s="85"/>
      <c r="M29" s="85"/>
    </row>
    <row r="30" spans="1:13" s="86" customFormat="1" ht="31.5" hidden="1" customHeight="1">
      <c r="A30" s="26"/>
      <c r="B30" s="53" t="s">
        <v>127</v>
      </c>
      <c r="C30" s="54" t="s">
        <v>100</v>
      </c>
      <c r="D30" s="53" t="s">
        <v>139</v>
      </c>
      <c r="E30" s="56">
        <v>111.6</v>
      </c>
      <c r="F30" s="56">
        <f>SUM(E30*48/1000)</f>
        <v>5.3567999999999989</v>
      </c>
      <c r="G30" s="56">
        <v>339.21</v>
      </c>
      <c r="H30" s="57">
        <f t="shared" si="2"/>
        <v>1.8170801279999995</v>
      </c>
      <c r="I30" s="12">
        <f t="shared" ref="I30:I33" si="3">F30/6*G30</f>
        <v>302.84668799999992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27</v>
      </c>
      <c r="C31" s="54" t="s">
        <v>100</v>
      </c>
      <c r="D31" s="53" t="s">
        <v>52</v>
      </c>
      <c r="E31" s="56">
        <v>355.5</v>
      </c>
      <c r="F31" s="56">
        <f>SUM(E31/1000)</f>
        <v>0.35549999999999998</v>
      </c>
      <c r="G31" s="56">
        <v>3961.23</v>
      </c>
      <c r="H31" s="57">
        <f t="shared" si="2"/>
        <v>1.408217265</v>
      </c>
      <c r="I31" s="12">
        <f>F31*G31</f>
        <v>1408.217265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118</v>
      </c>
      <c r="C32" s="54" t="s">
        <v>39</v>
      </c>
      <c r="D32" s="53" t="s">
        <v>140</v>
      </c>
      <c r="E32" s="56">
        <v>6</v>
      </c>
      <c r="F32" s="56">
        <f>SUM(E32*48/100)</f>
        <v>2.88</v>
      </c>
      <c r="G32" s="56">
        <v>1707.63</v>
      </c>
      <c r="H32" s="57">
        <f>G32*F32/1000</f>
        <v>4.9179744000000003</v>
      </c>
      <c r="I32" s="12">
        <f t="shared" si="3"/>
        <v>819.66240000000005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101</v>
      </c>
      <c r="C33" s="54" t="s">
        <v>31</v>
      </c>
      <c r="D33" s="53" t="s">
        <v>62</v>
      </c>
      <c r="E33" s="60">
        <f>1/3</f>
        <v>0.33333333333333331</v>
      </c>
      <c r="F33" s="56">
        <f>155/3</f>
        <v>51.666666666666664</v>
      </c>
      <c r="G33" s="56">
        <v>74.349999999999994</v>
      </c>
      <c r="H33" s="57">
        <f>SUM(G33*155/3/1000)</f>
        <v>3.8414166666666665</v>
      </c>
      <c r="I33" s="12">
        <f t="shared" si="3"/>
        <v>640.23611111111109</v>
      </c>
      <c r="J33" s="87"/>
      <c r="K33" s="85"/>
      <c r="L33" s="85"/>
      <c r="M33" s="85"/>
    </row>
    <row r="34" spans="1:14" s="86" customFormat="1" ht="15.75" hidden="1" customHeight="1">
      <c r="A34" s="26"/>
      <c r="B34" s="53" t="s">
        <v>64</v>
      </c>
      <c r="C34" s="54" t="s">
        <v>33</v>
      </c>
      <c r="D34" s="53" t="s">
        <v>66</v>
      </c>
      <c r="E34" s="55"/>
      <c r="F34" s="56">
        <v>1</v>
      </c>
      <c r="G34" s="56">
        <v>250.92</v>
      </c>
      <c r="H34" s="57">
        <f t="shared" si="2"/>
        <v>0.25091999999999998</v>
      </c>
      <c r="I34" s="12">
        <v>0</v>
      </c>
      <c r="J34" s="87"/>
      <c r="K34" s="85"/>
    </row>
    <row r="35" spans="1:14" s="86" customFormat="1" ht="15.75" hidden="1" customHeight="1">
      <c r="A35" s="26"/>
      <c r="B35" s="53" t="s">
        <v>65</v>
      </c>
      <c r="C35" s="54" t="s">
        <v>32</v>
      </c>
      <c r="D35" s="53" t="s">
        <v>66</v>
      </c>
      <c r="E35" s="55"/>
      <c r="F35" s="56">
        <v>1</v>
      </c>
      <c r="G35" s="56">
        <v>1490.33</v>
      </c>
      <c r="H35" s="57">
        <f t="shared" si="2"/>
        <v>1.4903299999999999</v>
      </c>
      <c r="I35" s="12">
        <v>0</v>
      </c>
      <c r="J35" s="88"/>
    </row>
    <row r="36" spans="1:14" s="86" customFormat="1" ht="15.75" customHeight="1">
      <c r="A36" s="26"/>
      <c r="B36" s="75" t="s">
        <v>5</v>
      </c>
      <c r="C36" s="54"/>
      <c r="D36" s="53"/>
      <c r="E36" s="55"/>
      <c r="F36" s="56"/>
      <c r="G36" s="56"/>
      <c r="H36" s="57" t="s">
        <v>125</v>
      </c>
      <c r="I36" s="12"/>
      <c r="J36" s="88"/>
    </row>
    <row r="37" spans="1:14" s="86" customFormat="1" ht="15.75" customHeight="1">
      <c r="A37" s="26">
        <v>6</v>
      </c>
      <c r="B37" s="53" t="s">
        <v>26</v>
      </c>
      <c r="C37" s="54" t="s">
        <v>32</v>
      </c>
      <c r="D37" s="53"/>
      <c r="E37" s="55"/>
      <c r="F37" s="56">
        <v>3</v>
      </c>
      <c r="G37" s="56">
        <v>2003</v>
      </c>
      <c r="H37" s="57">
        <f t="shared" ref="H37:H43" si="4">SUM(F37*G37/1000)</f>
        <v>6.0090000000000003</v>
      </c>
      <c r="I37" s="12">
        <f t="shared" ref="I37:I43" si="5">F37/6*G37</f>
        <v>1001.5</v>
      </c>
      <c r="J37" s="88"/>
    </row>
    <row r="38" spans="1:14" s="86" customFormat="1" ht="15.75" customHeight="1">
      <c r="A38" s="26">
        <v>7</v>
      </c>
      <c r="B38" s="53" t="s">
        <v>143</v>
      </c>
      <c r="C38" s="54" t="s">
        <v>29</v>
      </c>
      <c r="D38" s="53" t="s">
        <v>102</v>
      </c>
      <c r="E38" s="55">
        <v>111.6</v>
      </c>
      <c r="F38" s="56">
        <f>E38*30/1000</f>
        <v>3.3479999999999999</v>
      </c>
      <c r="G38" s="56">
        <v>2757.78</v>
      </c>
      <c r="H38" s="57">
        <f>G38*F38/1000</f>
        <v>9.23304744</v>
      </c>
      <c r="I38" s="12">
        <f t="shared" si="5"/>
        <v>1538.84124</v>
      </c>
      <c r="J38" s="88"/>
      <c r="L38" s="18"/>
      <c r="M38" s="19"/>
      <c r="N38" s="90"/>
    </row>
    <row r="39" spans="1:14" s="86" customFormat="1" ht="15.75" customHeight="1">
      <c r="A39" s="26">
        <v>8</v>
      </c>
      <c r="B39" s="53" t="s">
        <v>67</v>
      </c>
      <c r="C39" s="54" t="s">
        <v>29</v>
      </c>
      <c r="D39" s="53" t="s">
        <v>103</v>
      </c>
      <c r="E39" s="56">
        <v>111.6</v>
      </c>
      <c r="F39" s="56">
        <f>SUM(E39*155/1000)</f>
        <v>17.297999999999998</v>
      </c>
      <c r="G39" s="56">
        <v>460.02</v>
      </c>
      <c r="H39" s="57">
        <f t="shared" si="4"/>
        <v>7.9574259599999984</v>
      </c>
      <c r="I39" s="12">
        <f t="shared" si="5"/>
        <v>1326.2376599999998</v>
      </c>
      <c r="J39" s="88"/>
      <c r="L39" s="18"/>
      <c r="M39" s="19"/>
      <c r="N39" s="90"/>
    </row>
    <row r="40" spans="1:14" s="86" customFormat="1" ht="15.75" customHeight="1">
      <c r="A40" s="26">
        <v>9</v>
      </c>
      <c r="B40" s="53" t="s">
        <v>80</v>
      </c>
      <c r="C40" s="54" t="s">
        <v>100</v>
      </c>
      <c r="D40" s="53" t="s">
        <v>102</v>
      </c>
      <c r="E40" s="56">
        <v>111.6</v>
      </c>
      <c r="F40" s="56">
        <f>SUM(E40*30/1000)</f>
        <v>3.3479999999999999</v>
      </c>
      <c r="G40" s="56">
        <v>7611.16</v>
      </c>
      <c r="H40" s="57">
        <f t="shared" si="4"/>
        <v>25.482163679999999</v>
      </c>
      <c r="I40" s="12">
        <f t="shared" si="5"/>
        <v>4247.0272799999993</v>
      </c>
      <c r="J40" s="88"/>
      <c r="L40" s="18"/>
      <c r="M40" s="19"/>
      <c r="N40" s="90"/>
    </row>
    <row r="41" spans="1:14" s="86" customFormat="1" ht="15.75" customHeight="1">
      <c r="A41" s="26">
        <v>10</v>
      </c>
      <c r="B41" s="53" t="s">
        <v>104</v>
      </c>
      <c r="C41" s="54" t="s">
        <v>100</v>
      </c>
      <c r="D41" s="53" t="s">
        <v>119</v>
      </c>
      <c r="E41" s="56">
        <v>111.6</v>
      </c>
      <c r="F41" s="56">
        <f>SUM(E41*24/1000)</f>
        <v>2.6783999999999994</v>
      </c>
      <c r="G41" s="56">
        <v>562.25</v>
      </c>
      <c r="H41" s="57">
        <f t="shared" si="4"/>
        <v>1.5059303999999998</v>
      </c>
      <c r="I41" s="12">
        <f>F41/7.5*G41</f>
        <v>200.79071999999996</v>
      </c>
      <c r="J41" s="88"/>
      <c r="L41" s="18"/>
      <c r="M41" s="19"/>
      <c r="N41" s="90"/>
    </row>
    <row r="42" spans="1:14" s="86" customFormat="1" ht="15.75" customHeight="1">
      <c r="A42" s="26">
        <v>11</v>
      </c>
      <c r="B42" s="53" t="s">
        <v>68</v>
      </c>
      <c r="C42" s="54" t="s">
        <v>33</v>
      </c>
      <c r="D42" s="53"/>
      <c r="E42" s="55"/>
      <c r="F42" s="56">
        <v>0.6</v>
      </c>
      <c r="G42" s="56">
        <v>974.83</v>
      </c>
      <c r="H42" s="57">
        <f t="shared" si="4"/>
        <v>0.58489800000000003</v>
      </c>
      <c r="I42" s="12">
        <f>F42/7.5*G42</f>
        <v>77.986400000000003</v>
      </c>
      <c r="J42" s="88"/>
      <c r="L42" s="18"/>
      <c r="M42" s="19"/>
      <c r="N42" s="90"/>
    </row>
    <row r="43" spans="1:14" s="86" customFormat="1" ht="15.75" customHeight="1">
      <c r="A43" s="26">
        <v>12</v>
      </c>
      <c r="B43" s="72" t="s">
        <v>144</v>
      </c>
      <c r="C43" s="73" t="s">
        <v>29</v>
      </c>
      <c r="D43" s="53" t="s">
        <v>145</v>
      </c>
      <c r="E43" s="55">
        <v>1.2</v>
      </c>
      <c r="F43" s="56">
        <f>SUM(E43*12/1000)</f>
        <v>1.4399999999999998E-2</v>
      </c>
      <c r="G43" s="56">
        <v>260.2</v>
      </c>
      <c r="H43" s="57">
        <f t="shared" si="4"/>
        <v>3.7468799999999993E-3</v>
      </c>
      <c r="I43" s="12">
        <f t="shared" si="5"/>
        <v>0.62447999999999992</v>
      </c>
      <c r="J43" s="88"/>
      <c r="L43" s="18"/>
      <c r="M43" s="19"/>
      <c r="N43" s="90"/>
    </row>
    <row r="44" spans="1:14" s="86" customFormat="1" ht="15.75" customHeight="1">
      <c r="A44" s="202" t="s">
        <v>159</v>
      </c>
      <c r="B44" s="203"/>
      <c r="C44" s="203"/>
      <c r="D44" s="203"/>
      <c r="E44" s="203"/>
      <c r="F44" s="203"/>
      <c r="G44" s="203"/>
      <c r="H44" s="203"/>
      <c r="I44" s="204"/>
      <c r="J44" s="88"/>
      <c r="L44" s="18"/>
      <c r="M44" s="19"/>
      <c r="N44" s="90"/>
    </row>
    <row r="45" spans="1:14" s="86" customFormat="1" ht="15.75" hidden="1" customHeight="1">
      <c r="A45" s="26"/>
      <c r="B45" s="53" t="s">
        <v>121</v>
      </c>
      <c r="C45" s="54" t="s">
        <v>100</v>
      </c>
      <c r="D45" s="53" t="s">
        <v>41</v>
      </c>
      <c r="E45" s="55">
        <v>1030.4000000000001</v>
      </c>
      <c r="F45" s="56">
        <f>SUM(E45*2/1000)</f>
        <v>2.0608</v>
      </c>
      <c r="G45" s="12">
        <v>1114.1300000000001</v>
      </c>
      <c r="H45" s="57">
        <f t="shared" ref="H45:H54" si="6">SUM(F45*G45/1000)</f>
        <v>2.2959991039999998</v>
      </c>
      <c r="I45" s="12">
        <f t="shared" ref="I45:I47" si="7">F45/2*G45</f>
        <v>1147.999552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100</v>
      </c>
      <c r="D46" s="53" t="s">
        <v>41</v>
      </c>
      <c r="E46" s="55">
        <v>132</v>
      </c>
      <c r="F46" s="56">
        <f>E46*2/1000</f>
        <v>0.26400000000000001</v>
      </c>
      <c r="G46" s="12">
        <v>4419.05</v>
      </c>
      <c r="H46" s="57">
        <f t="shared" si="6"/>
        <v>1.1666292</v>
      </c>
      <c r="I46" s="12">
        <f t="shared" si="7"/>
        <v>583.31460000000004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100</v>
      </c>
      <c r="D47" s="53" t="s">
        <v>41</v>
      </c>
      <c r="E47" s="55">
        <v>4248.22</v>
      </c>
      <c r="F47" s="56">
        <f>SUM(E47*2/1000)</f>
        <v>8.4964399999999998</v>
      </c>
      <c r="G47" s="12">
        <v>1803.69</v>
      </c>
      <c r="H47" s="57">
        <f t="shared" si="6"/>
        <v>15.3249438636</v>
      </c>
      <c r="I47" s="12">
        <f t="shared" si="7"/>
        <v>7662.4719317999998</v>
      </c>
      <c r="J47" s="88"/>
      <c r="L47" s="18"/>
      <c r="M47" s="19"/>
      <c r="N47" s="90"/>
    </row>
    <row r="48" spans="1:14" s="86" customFormat="1" ht="15.75" hidden="1" customHeight="1">
      <c r="A48" s="26"/>
      <c r="B48" s="53" t="s">
        <v>36</v>
      </c>
      <c r="C48" s="54" t="s">
        <v>100</v>
      </c>
      <c r="D48" s="53" t="s">
        <v>41</v>
      </c>
      <c r="E48" s="55">
        <v>2163.66</v>
      </c>
      <c r="F48" s="56">
        <f>SUM(E48*2/1000)</f>
        <v>4.3273199999999994</v>
      </c>
      <c r="G48" s="12">
        <v>1243.43</v>
      </c>
      <c r="H48" s="57">
        <f t="shared" si="6"/>
        <v>5.3807195075999994</v>
      </c>
      <c r="I48" s="12">
        <f>F48/2*G48</f>
        <v>2690.3597537999999</v>
      </c>
      <c r="J48" s="88"/>
      <c r="L48" s="18"/>
      <c r="M48" s="19"/>
      <c r="N48" s="90"/>
    </row>
    <row r="49" spans="1:21" s="86" customFormat="1" ht="15.75" customHeight="1">
      <c r="A49" s="26">
        <v>13</v>
      </c>
      <c r="B49" s="53" t="s">
        <v>55</v>
      </c>
      <c r="C49" s="54" t="s">
        <v>100</v>
      </c>
      <c r="D49" s="53" t="s">
        <v>131</v>
      </c>
      <c r="E49" s="55">
        <v>3945</v>
      </c>
      <c r="F49" s="56">
        <f>SUM(E49*5/1000)</f>
        <v>19.725000000000001</v>
      </c>
      <c r="G49" s="12">
        <v>1083.69</v>
      </c>
      <c r="H49" s="57">
        <f t="shared" si="6"/>
        <v>21.37578525</v>
      </c>
      <c r="I49" s="12">
        <f>F49/5*G49</f>
        <v>4275.1570500000007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105</v>
      </c>
      <c r="C50" s="54" t="s">
        <v>100</v>
      </c>
      <c r="D50" s="53" t="s">
        <v>41</v>
      </c>
      <c r="E50" s="55">
        <v>3945</v>
      </c>
      <c r="F50" s="56">
        <f>SUM(E50*2/1000)</f>
        <v>7.89</v>
      </c>
      <c r="G50" s="12">
        <v>1591.6</v>
      </c>
      <c r="H50" s="57">
        <f t="shared" si="6"/>
        <v>12.557723999999999</v>
      </c>
      <c r="I50" s="12">
        <f>F50/2*G50</f>
        <v>6278.8619999999992</v>
      </c>
      <c r="J50" s="88"/>
      <c r="L50" s="18"/>
      <c r="M50" s="19"/>
      <c r="N50" s="90"/>
    </row>
    <row r="51" spans="1:21" s="86" customFormat="1" ht="31.5" hidden="1" customHeight="1">
      <c r="A51" s="26"/>
      <c r="B51" s="53" t="s">
        <v>106</v>
      </c>
      <c r="C51" s="54" t="s">
        <v>37</v>
      </c>
      <c r="D51" s="53" t="s">
        <v>41</v>
      </c>
      <c r="E51" s="55">
        <v>30</v>
      </c>
      <c r="F51" s="56">
        <f>SUM(E51*2/100)</f>
        <v>0.6</v>
      </c>
      <c r="G51" s="12">
        <v>4058.32</v>
      </c>
      <c r="H51" s="57">
        <f t="shared" si="6"/>
        <v>2.4349920000000003</v>
      </c>
      <c r="I51" s="12">
        <f t="shared" ref="I51:I52" si="8">F51/2*G51</f>
        <v>1217.4960000000001</v>
      </c>
      <c r="J51" s="88"/>
      <c r="L51" s="18"/>
      <c r="M51" s="19"/>
      <c r="N51" s="90"/>
    </row>
    <row r="52" spans="1:21" s="86" customFormat="1" ht="15.75" hidden="1" customHeight="1">
      <c r="A52" s="26"/>
      <c r="B52" s="53" t="s">
        <v>38</v>
      </c>
      <c r="C52" s="54" t="s">
        <v>39</v>
      </c>
      <c r="D52" s="53" t="s">
        <v>41</v>
      </c>
      <c r="E52" s="55">
        <v>1</v>
      </c>
      <c r="F52" s="56">
        <v>0.02</v>
      </c>
      <c r="G52" s="12">
        <v>7412.92</v>
      </c>
      <c r="H52" s="57">
        <f t="shared" si="6"/>
        <v>0.14825839999999998</v>
      </c>
      <c r="I52" s="12">
        <f t="shared" si="8"/>
        <v>74.129199999999997</v>
      </c>
      <c r="J52" s="88"/>
      <c r="L52" s="18"/>
      <c r="M52" s="19"/>
      <c r="N52" s="90"/>
    </row>
    <row r="53" spans="1:21" s="86" customFormat="1" ht="15.75" hidden="1" customHeight="1">
      <c r="A53" s="26">
        <v>14</v>
      </c>
      <c r="B53" s="53" t="s">
        <v>120</v>
      </c>
      <c r="C53" s="54" t="s">
        <v>86</v>
      </c>
      <c r="D53" s="53" t="s">
        <v>69</v>
      </c>
      <c r="E53" s="55">
        <v>90</v>
      </c>
      <c r="F53" s="56">
        <f>E53*3</f>
        <v>270</v>
      </c>
      <c r="G53" s="12">
        <v>185.08</v>
      </c>
      <c r="H53" s="57">
        <f t="shared" si="6"/>
        <v>49.971600000000009</v>
      </c>
      <c r="I53" s="12">
        <f>E53*G53</f>
        <v>16657.2</v>
      </c>
      <c r="J53" s="88"/>
      <c r="L53" s="18"/>
      <c r="M53" s="19"/>
      <c r="N53" s="90"/>
    </row>
    <row r="54" spans="1:21" s="86" customFormat="1" ht="15.75" hidden="1" customHeight="1">
      <c r="A54" s="26">
        <v>15</v>
      </c>
      <c r="B54" s="53" t="s">
        <v>40</v>
      </c>
      <c r="C54" s="54" t="s">
        <v>86</v>
      </c>
      <c r="D54" s="53" t="s">
        <v>69</v>
      </c>
      <c r="E54" s="55">
        <v>180</v>
      </c>
      <c r="F54" s="56">
        <f>SUM(E54)*3</f>
        <v>540</v>
      </c>
      <c r="G54" s="12">
        <v>86.15</v>
      </c>
      <c r="H54" s="57">
        <f t="shared" si="6"/>
        <v>46.521000000000001</v>
      </c>
      <c r="I54" s="12">
        <f>E54*G54</f>
        <v>15507.000000000002</v>
      </c>
      <c r="J54" s="88"/>
      <c r="L54" s="18"/>
      <c r="M54" s="19"/>
      <c r="N54" s="90"/>
    </row>
    <row r="55" spans="1:21" s="86" customFormat="1" ht="15.75" customHeight="1">
      <c r="A55" s="202" t="s">
        <v>128</v>
      </c>
      <c r="B55" s="203"/>
      <c r="C55" s="203"/>
      <c r="D55" s="203"/>
      <c r="E55" s="203"/>
      <c r="F55" s="203"/>
      <c r="G55" s="203"/>
      <c r="H55" s="203"/>
      <c r="I55" s="204"/>
      <c r="J55" s="88"/>
      <c r="L55" s="18"/>
      <c r="M55" s="19"/>
      <c r="N55" s="90"/>
    </row>
    <row r="56" spans="1:21" s="86" customFormat="1" ht="15.75" customHeight="1">
      <c r="A56" s="26"/>
      <c r="B56" s="75" t="s">
        <v>42</v>
      </c>
      <c r="C56" s="54"/>
      <c r="D56" s="53"/>
      <c r="E56" s="55"/>
      <c r="F56" s="56"/>
      <c r="G56" s="56"/>
      <c r="H56" s="57"/>
      <c r="I56" s="12"/>
      <c r="J56" s="88"/>
      <c r="L56" s="18"/>
      <c r="M56" s="19"/>
      <c r="N56" s="90"/>
    </row>
    <row r="57" spans="1:21" s="86" customFormat="1" ht="47.25" customHeight="1">
      <c r="A57" s="26">
        <v>14</v>
      </c>
      <c r="B57" s="53" t="s">
        <v>146</v>
      </c>
      <c r="C57" s="54" t="s">
        <v>90</v>
      </c>
      <c r="D57" s="53" t="s">
        <v>107</v>
      </c>
      <c r="E57" s="55">
        <v>30.6</v>
      </c>
      <c r="F57" s="56">
        <f>SUM(E57*6/100)</f>
        <v>1.8360000000000003</v>
      </c>
      <c r="G57" s="12">
        <v>2029.3</v>
      </c>
      <c r="H57" s="57">
        <f>SUM(F57*G57/1000)</f>
        <v>3.7257948000000005</v>
      </c>
      <c r="I57" s="12">
        <f>G57*0.96</f>
        <v>1948.1279999999999</v>
      </c>
      <c r="J57" s="88"/>
      <c r="L57" s="18"/>
      <c r="M57" s="19"/>
      <c r="N57" s="90"/>
    </row>
    <row r="58" spans="1:21" s="86" customFormat="1" ht="31.5" customHeight="1">
      <c r="A58" s="26">
        <v>15</v>
      </c>
      <c r="B58" s="53" t="s">
        <v>84</v>
      </c>
      <c r="C58" s="54" t="s">
        <v>90</v>
      </c>
      <c r="D58" s="53" t="s">
        <v>85</v>
      </c>
      <c r="E58" s="55">
        <v>39.69</v>
      </c>
      <c r="F58" s="56">
        <f>SUM(E58*12/100)</f>
        <v>4.7627999999999995</v>
      </c>
      <c r="G58" s="12">
        <v>2029.3</v>
      </c>
      <c r="H58" s="57">
        <f>SUM(F58*G58/1000)</f>
        <v>9.6651500399999986</v>
      </c>
      <c r="I58" s="12">
        <f>F58/6*G58</f>
        <v>1610.8583399999998</v>
      </c>
      <c r="J58" s="88"/>
      <c r="L58" s="18"/>
      <c r="M58" s="19"/>
      <c r="N58" s="90"/>
    </row>
    <row r="59" spans="1:21" s="86" customFormat="1" ht="15.75" hidden="1" customHeight="1">
      <c r="A59" s="26"/>
      <c r="B59" s="62" t="s">
        <v>122</v>
      </c>
      <c r="C59" s="63" t="s">
        <v>123</v>
      </c>
      <c r="D59" s="62" t="s">
        <v>41</v>
      </c>
      <c r="E59" s="64">
        <v>6</v>
      </c>
      <c r="F59" s="56">
        <f>SUM(E59*2)</f>
        <v>12</v>
      </c>
      <c r="G59" s="12">
        <v>237.1</v>
      </c>
      <c r="H59" s="57">
        <f>SUM(F59*G59/1000)</f>
        <v>2.8451999999999997</v>
      </c>
      <c r="I59" s="12">
        <v>0</v>
      </c>
      <c r="J59" s="88"/>
      <c r="L59" s="18"/>
      <c r="M59" s="19"/>
      <c r="N59" s="90"/>
    </row>
    <row r="60" spans="1:21" s="86" customFormat="1" ht="15.75" customHeight="1">
      <c r="A60" s="26">
        <v>16</v>
      </c>
      <c r="B60" s="53" t="s">
        <v>124</v>
      </c>
      <c r="C60" s="54" t="s">
        <v>90</v>
      </c>
      <c r="D60" s="53" t="s">
        <v>107</v>
      </c>
      <c r="E60" s="55">
        <v>18.84</v>
      </c>
      <c r="F60" s="56">
        <f>SUM(E60*6/100)</f>
        <v>1.1303999999999998</v>
      </c>
      <c r="G60" s="12">
        <v>2029.3</v>
      </c>
      <c r="H60" s="57">
        <f>SUM(F60*G60/1000)</f>
        <v>2.2939207199999996</v>
      </c>
      <c r="I60" s="12">
        <f>F60/6*G60</f>
        <v>382.32011999999997</v>
      </c>
      <c r="J60" s="88"/>
      <c r="L60" s="18"/>
    </row>
    <row r="61" spans="1:21" s="86" customFormat="1" ht="15.75" hidden="1" customHeight="1">
      <c r="A61" s="26"/>
      <c r="B61" s="62" t="s">
        <v>108</v>
      </c>
      <c r="C61" s="63" t="s">
        <v>32</v>
      </c>
      <c r="D61" s="62" t="s">
        <v>142</v>
      </c>
      <c r="E61" s="64"/>
      <c r="F61" s="65">
        <v>3</v>
      </c>
      <c r="G61" s="12">
        <v>1582.05</v>
      </c>
      <c r="H61" s="57">
        <f>SUM(F61*G61/1000)</f>
        <v>4.7461499999999992</v>
      </c>
      <c r="I61" s="12">
        <v>0</v>
      </c>
      <c r="J61" s="88"/>
      <c r="L61" s="18"/>
    </row>
    <row r="62" spans="1:21" s="86" customFormat="1" ht="15.75" customHeight="1">
      <c r="A62" s="26"/>
      <c r="B62" s="76" t="s">
        <v>43</v>
      </c>
      <c r="C62" s="63"/>
      <c r="D62" s="62"/>
      <c r="E62" s="64"/>
      <c r="F62" s="65"/>
      <c r="G62" s="12"/>
      <c r="H62" s="66"/>
      <c r="I62" s="12"/>
      <c r="J62" s="88"/>
      <c r="L62" s="18"/>
    </row>
    <row r="63" spans="1:21" s="86" customFormat="1" ht="15.75" hidden="1" customHeight="1">
      <c r="A63" s="26"/>
      <c r="B63" s="62" t="s">
        <v>147</v>
      </c>
      <c r="C63" s="63" t="s">
        <v>51</v>
      </c>
      <c r="D63" s="62" t="s">
        <v>52</v>
      </c>
      <c r="E63" s="64">
        <v>203.1</v>
      </c>
      <c r="F63" s="67">
        <f>E63/100</f>
        <v>2.0310000000000001</v>
      </c>
      <c r="G63" s="12">
        <v>1040.8399999999999</v>
      </c>
      <c r="H63" s="66">
        <f>F63*G63/1000</f>
        <v>2.1139460399999996</v>
      </c>
      <c r="I63" s="12">
        <v>0</v>
      </c>
    </row>
    <row r="64" spans="1:21" s="86" customFormat="1" ht="15.75" customHeight="1">
      <c r="A64" s="26">
        <v>17</v>
      </c>
      <c r="B64" s="62" t="s">
        <v>87</v>
      </c>
      <c r="C64" s="63" t="s">
        <v>25</v>
      </c>
      <c r="D64" s="62" t="s">
        <v>30</v>
      </c>
      <c r="E64" s="64">
        <v>200</v>
      </c>
      <c r="F64" s="67">
        <f>E64*12</f>
        <v>2400</v>
      </c>
      <c r="G64" s="48">
        <v>1.2</v>
      </c>
      <c r="H64" s="65">
        <f>F64*G64/1000</f>
        <v>2.88</v>
      </c>
      <c r="I64" s="12">
        <f>F64/12*G64</f>
        <v>240</v>
      </c>
      <c r="J64" s="89"/>
      <c r="K64" s="89"/>
      <c r="L64" s="91"/>
      <c r="M64" s="91"/>
      <c r="N64" s="91"/>
      <c r="O64" s="91"/>
      <c r="P64" s="91"/>
      <c r="Q64" s="91"/>
      <c r="R64" s="91"/>
      <c r="S64" s="91"/>
      <c r="T64" s="91"/>
      <c r="U64" s="91"/>
    </row>
    <row r="65" spans="1:21" s="86" customFormat="1" ht="15.75" hidden="1" customHeight="1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  <c r="J65" s="91"/>
      <c r="K65" s="91"/>
      <c r="L65" s="91"/>
      <c r="M65" s="91"/>
      <c r="N65" s="91"/>
      <c r="O65" s="91"/>
      <c r="P65" s="91"/>
      <c r="Q65" s="91"/>
      <c r="S65" s="91"/>
      <c r="T65" s="91"/>
      <c r="U65" s="91"/>
    </row>
    <row r="66" spans="1:21" s="86" customFormat="1" ht="15.75" hidden="1" customHeight="1">
      <c r="A66" s="26"/>
      <c r="B66" s="13" t="s">
        <v>45</v>
      </c>
      <c r="C66" s="15" t="s">
        <v>86</v>
      </c>
      <c r="D66" s="13" t="s">
        <v>66</v>
      </c>
      <c r="E66" s="17">
        <v>7</v>
      </c>
      <c r="F66" s="67">
        <f>E66</f>
        <v>7</v>
      </c>
      <c r="G66" s="12">
        <v>291.68</v>
      </c>
      <c r="H66" s="68">
        <f t="shared" ref="H66:H84" si="9">SUM(F66*G66/1000)</f>
        <v>2.04176</v>
      </c>
      <c r="I66" s="12">
        <v>0</v>
      </c>
      <c r="J66" s="92"/>
      <c r="K66" s="92"/>
      <c r="L66" s="92"/>
      <c r="M66" s="92"/>
      <c r="N66" s="92"/>
      <c r="O66" s="92"/>
      <c r="P66" s="92"/>
      <c r="Q66" s="92"/>
      <c r="R66" s="205"/>
      <c r="S66" s="205"/>
      <c r="T66" s="205"/>
      <c r="U66" s="205"/>
    </row>
    <row r="67" spans="1:21" s="86" customFormat="1" ht="15.75" hidden="1" customHeight="1">
      <c r="A67" s="26"/>
      <c r="B67" s="13" t="s">
        <v>46</v>
      </c>
      <c r="C67" s="15" t="s">
        <v>86</v>
      </c>
      <c r="D67" s="13" t="s">
        <v>66</v>
      </c>
      <c r="E67" s="17">
        <v>3</v>
      </c>
      <c r="F67" s="67">
        <f>E67</f>
        <v>3</v>
      </c>
      <c r="G67" s="12">
        <v>100.01</v>
      </c>
      <c r="H67" s="68">
        <f t="shared" si="9"/>
        <v>0.30003000000000002</v>
      </c>
      <c r="I67" s="12">
        <v>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pans="1:21" s="86" customFormat="1" ht="15.75" hidden="1" customHeight="1">
      <c r="A68" s="26"/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2">
        <v>278.24</v>
      </c>
      <c r="H68" s="68">
        <f t="shared" si="9"/>
        <v>39.523992000000007</v>
      </c>
      <c r="I68" s="12">
        <f>F68*G68</f>
        <v>39523.992000000006</v>
      </c>
    </row>
    <row r="69" spans="1:21" s="86" customFormat="1" ht="15.75" hidden="1" customHeight="1">
      <c r="A69" s="26"/>
      <c r="B69" s="13" t="s">
        <v>48</v>
      </c>
      <c r="C69" s="15" t="s">
        <v>110</v>
      </c>
      <c r="D69" s="13"/>
      <c r="E69" s="55">
        <v>14205</v>
      </c>
      <c r="F69" s="12">
        <f>SUM(E69/1000)</f>
        <v>14.205</v>
      </c>
      <c r="G69" s="12">
        <v>216.68</v>
      </c>
      <c r="H69" s="68">
        <f t="shared" si="9"/>
        <v>3.0779394</v>
      </c>
      <c r="I69" s="12">
        <f t="shared" ref="I69:I73" si="10">F69*G69</f>
        <v>3077.9394000000002</v>
      </c>
    </row>
    <row r="70" spans="1:21" s="86" customFormat="1" ht="15.75" hidden="1" customHeight="1">
      <c r="A70" s="26"/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2">
        <v>2720.94</v>
      </c>
      <c r="H70" s="68">
        <f t="shared" si="9"/>
        <v>57.983231399999994</v>
      </c>
      <c r="I70" s="12">
        <f t="shared" si="10"/>
        <v>57983.231399999997</v>
      </c>
    </row>
    <row r="71" spans="1:21" s="86" customFormat="1" ht="15.75" hidden="1" customHeight="1">
      <c r="A71" s="26"/>
      <c r="B71" s="69" t="s">
        <v>111</v>
      </c>
      <c r="C71" s="15" t="s">
        <v>33</v>
      </c>
      <c r="D71" s="13"/>
      <c r="E71" s="55">
        <v>7</v>
      </c>
      <c r="F71" s="12">
        <f>SUM(E71)</f>
        <v>7</v>
      </c>
      <c r="G71" s="12">
        <v>44.31</v>
      </c>
      <c r="H71" s="68">
        <f t="shared" si="9"/>
        <v>0.31017</v>
      </c>
      <c r="I71" s="12">
        <f t="shared" si="10"/>
        <v>310.17</v>
      </c>
    </row>
    <row r="72" spans="1:21" s="86" customFormat="1" ht="15.75" hidden="1" customHeight="1">
      <c r="A72" s="26"/>
      <c r="B72" s="69" t="s">
        <v>112</v>
      </c>
      <c r="C72" s="15" t="s">
        <v>33</v>
      </c>
      <c r="D72" s="13"/>
      <c r="E72" s="55">
        <v>7</v>
      </c>
      <c r="F72" s="12">
        <f>SUM(E72)</f>
        <v>7</v>
      </c>
      <c r="G72" s="12">
        <v>47.79</v>
      </c>
      <c r="H72" s="68">
        <f t="shared" si="9"/>
        <v>0.33452999999999999</v>
      </c>
      <c r="I72" s="12">
        <f t="shared" si="10"/>
        <v>334.53</v>
      </c>
    </row>
    <row r="73" spans="1:21" s="86" customFormat="1" ht="15.75" hidden="1" customHeight="1">
      <c r="A73" s="26"/>
      <c r="B73" s="13" t="s">
        <v>56</v>
      </c>
      <c r="C73" s="15" t="s">
        <v>57</v>
      </c>
      <c r="D73" s="13" t="s">
        <v>52</v>
      </c>
      <c r="E73" s="17">
        <v>6</v>
      </c>
      <c r="F73" s="12">
        <f>SUM(E73)</f>
        <v>6</v>
      </c>
      <c r="G73" s="12">
        <v>65.42</v>
      </c>
      <c r="H73" s="68">
        <f t="shared" si="9"/>
        <v>0.39251999999999998</v>
      </c>
      <c r="I73" s="12">
        <f t="shared" si="10"/>
        <v>392.52</v>
      </c>
    </row>
    <row r="74" spans="1:21" s="86" customFormat="1" ht="15.75" customHeight="1">
      <c r="A74" s="26"/>
      <c r="B74" s="83" t="s">
        <v>148</v>
      </c>
      <c r="C74" s="15"/>
      <c r="D74" s="13"/>
      <c r="E74" s="17"/>
      <c r="F74" s="48"/>
      <c r="G74" s="12"/>
      <c r="H74" s="68"/>
      <c r="I74" s="12"/>
    </row>
    <row r="75" spans="1:21" s="86" customFormat="1" ht="15.75" customHeight="1">
      <c r="A75" s="26">
        <v>18</v>
      </c>
      <c r="B75" s="13" t="s">
        <v>149</v>
      </c>
      <c r="C75" s="26" t="s">
        <v>150</v>
      </c>
      <c r="D75" s="13" t="s">
        <v>66</v>
      </c>
      <c r="E75" s="17">
        <v>3945</v>
      </c>
      <c r="F75" s="56">
        <f>SUM(E75)*12</f>
        <v>47340</v>
      </c>
      <c r="G75" s="12">
        <v>2.2799999999999998</v>
      </c>
      <c r="H75" s="68">
        <f t="shared" ref="H75:H76" si="11">SUM(F75*G75/1000)</f>
        <v>107.93519999999999</v>
      </c>
      <c r="I75" s="12">
        <f>F75/12*G75</f>
        <v>8994.5999999999985</v>
      </c>
    </row>
    <row r="76" spans="1:21" s="86" customFormat="1" ht="15.75" customHeight="1">
      <c r="A76" s="26">
        <v>19</v>
      </c>
      <c r="B76" s="72" t="s">
        <v>151</v>
      </c>
      <c r="C76" s="73" t="s">
        <v>86</v>
      </c>
      <c r="D76" s="13"/>
      <c r="E76" s="17">
        <v>1</v>
      </c>
      <c r="F76" s="56">
        <f>SUM(E76)*12</f>
        <v>12</v>
      </c>
      <c r="G76" s="12">
        <v>50.68</v>
      </c>
      <c r="H76" s="68">
        <f t="shared" si="11"/>
        <v>0.60815999999999992</v>
      </c>
      <c r="I76" s="12">
        <f>F76/12*G76</f>
        <v>50.68</v>
      </c>
    </row>
    <row r="77" spans="1:21" s="86" customFormat="1" ht="15.75" customHeight="1">
      <c r="A77" s="26"/>
      <c r="B77" s="83" t="s">
        <v>70</v>
      </c>
      <c r="C77" s="15"/>
      <c r="D77" s="13"/>
      <c r="E77" s="17"/>
      <c r="F77" s="12"/>
      <c r="G77" s="12"/>
      <c r="H77" s="68" t="s">
        <v>125</v>
      </c>
      <c r="I77" s="12"/>
    </row>
    <row r="78" spans="1:21" s="86" customFormat="1" ht="15.75" hidden="1" customHeight="1">
      <c r="A78" s="26"/>
      <c r="B78" s="13" t="s">
        <v>152</v>
      </c>
      <c r="C78" s="15" t="s">
        <v>31</v>
      </c>
      <c r="D78" s="13" t="s">
        <v>160</v>
      </c>
      <c r="E78" s="17">
        <v>2</v>
      </c>
      <c r="F78" s="56">
        <f t="shared" ref="F78" si="12">E78</f>
        <v>2</v>
      </c>
      <c r="G78" s="12">
        <v>1029.1199999999999</v>
      </c>
      <c r="H78" s="68">
        <f>G78*F78/1000</f>
        <v>2.0582399999999996</v>
      </c>
      <c r="I78" s="12">
        <v>0</v>
      </c>
    </row>
    <row r="79" spans="1:21" s="86" customFormat="1" ht="15.75" hidden="1" customHeight="1">
      <c r="A79" s="26"/>
      <c r="B79" s="13" t="s">
        <v>153</v>
      </c>
      <c r="C79" s="15" t="s">
        <v>154</v>
      </c>
      <c r="D79" s="13" t="s">
        <v>160</v>
      </c>
      <c r="E79" s="17">
        <v>1</v>
      </c>
      <c r="F79" s="12">
        <v>1</v>
      </c>
      <c r="G79" s="12">
        <v>735</v>
      </c>
      <c r="H79" s="68">
        <f t="shared" ref="H79:H82" si="13">SUM(F79*G79/1000)</f>
        <v>0.73499999999999999</v>
      </c>
      <c r="I79" s="12">
        <v>0</v>
      </c>
    </row>
    <row r="80" spans="1:21" s="86" customFormat="1" ht="15.75" customHeight="1">
      <c r="A80" s="77">
        <v>20</v>
      </c>
      <c r="B80" s="13" t="s">
        <v>71</v>
      </c>
      <c r="C80" s="15" t="s">
        <v>73</v>
      </c>
      <c r="D80" s="13" t="s">
        <v>160</v>
      </c>
      <c r="E80" s="17">
        <v>3</v>
      </c>
      <c r="F80" s="12">
        <f>E80/10</f>
        <v>0.3</v>
      </c>
      <c r="G80" s="12">
        <v>657.87</v>
      </c>
      <c r="H80" s="68">
        <f t="shared" si="13"/>
        <v>0.19736099999999998</v>
      </c>
      <c r="I80" s="12">
        <f>G80*0.2</f>
        <v>131.57400000000001</v>
      </c>
    </row>
    <row r="81" spans="1:9" s="86" customFormat="1" ht="15.75" hidden="1" customHeight="1">
      <c r="A81" s="77"/>
      <c r="B81" s="13" t="s">
        <v>72</v>
      </c>
      <c r="C81" s="15" t="s">
        <v>31</v>
      </c>
      <c r="D81" s="13" t="s">
        <v>160</v>
      </c>
      <c r="E81" s="17">
        <v>1</v>
      </c>
      <c r="F81" s="48">
        <v>1</v>
      </c>
      <c r="G81" s="12">
        <v>1118.72</v>
      </c>
      <c r="H81" s="68">
        <f t="shared" si="13"/>
        <v>1.1187199999999999</v>
      </c>
      <c r="I81" s="12">
        <v>0</v>
      </c>
    </row>
    <row r="82" spans="1:9" s="86" customFormat="1" ht="15.75" hidden="1" customHeight="1">
      <c r="A82" s="77"/>
      <c r="B82" s="72" t="s">
        <v>155</v>
      </c>
      <c r="C82" s="73" t="s">
        <v>86</v>
      </c>
      <c r="D82" s="13" t="s">
        <v>160</v>
      </c>
      <c r="E82" s="17">
        <v>1</v>
      </c>
      <c r="F82" s="56">
        <f>E82</f>
        <v>1</v>
      </c>
      <c r="G82" s="12">
        <v>1605.83</v>
      </c>
      <c r="H82" s="68">
        <f t="shared" si="13"/>
        <v>1.6058299999999999</v>
      </c>
      <c r="I82" s="12">
        <v>0</v>
      </c>
    </row>
    <row r="83" spans="1:9" s="86" customFormat="1" ht="15.75" hidden="1" customHeight="1">
      <c r="A83" s="77"/>
      <c r="B83" s="70" t="s">
        <v>74</v>
      </c>
      <c r="C83" s="15"/>
      <c r="D83" s="13"/>
      <c r="E83" s="17"/>
      <c r="F83" s="12"/>
      <c r="G83" s="12" t="s">
        <v>125</v>
      </c>
      <c r="H83" s="68" t="s">
        <v>125</v>
      </c>
      <c r="I83" s="12"/>
    </row>
    <row r="84" spans="1:9" s="86" customFormat="1" ht="15.75" hidden="1" customHeight="1">
      <c r="A84" s="77">
        <v>22</v>
      </c>
      <c r="B84" s="39" t="s">
        <v>115</v>
      </c>
      <c r="C84" s="15" t="s">
        <v>75</v>
      </c>
      <c r="D84" s="13"/>
      <c r="E84" s="17"/>
      <c r="F84" s="12">
        <v>0.6</v>
      </c>
      <c r="G84" s="12">
        <v>3619.09</v>
      </c>
      <c r="H84" s="68">
        <f t="shared" si="9"/>
        <v>2.1714540000000002</v>
      </c>
      <c r="I84" s="12">
        <f>G84*0.06</f>
        <v>217.1454</v>
      </c>
    </row>
    <row r="85" spans="1:9" s="86" customFormat="1" ht="15.75" hidden="1" customHeight="1">
      <c r="A85" s="77"/>
      <c r="B85" s="83" t="s">
        <v>113</v>
      </c>
      <c r="C85" s="70"/>
      <c r="D85" s="28"/>
      <c r="E85" s="29"/>
      <c r="F85" s="59"/>
      <c r="G85" s="59"/>
      <c r="H85" s="71">
        <f>SUM(H57:H84)</f>
        <v>248.6642994</v>
      </c>
      <c r="I85" s="59"/>
    </row>
    <row r="86" spans="1:9" s="86" customFormat="1" ht="15.75" hidden="1" customHeight="1">
      <c r="A86" s="77"/>
      <c r="B86" s="53" t="s">
        <v>114</v>
      </c>
      <c r="C86" s="15"/>
      <c r="D86" s="13"/>
      <c r="E86" s="49"/>
      <c r="F86" s="12">
        <v>1</v>
      </c>
      <c r="G86" s="12">
        <v>32126.400000000001</v>
      </c>
      <c r="H86" s="68">
        <f>G86*F86/1000</f>
        <v>32.126400000000004</v>
      </c>
      <c r="I86" s="12">
        <v>0</v>
      </c>
    </row>
    <row r="87" spans="1:9" s="86" customFormat="1" ht="15.75" hidden="1" customHeight="1">
      <c r="A87" s="77"/>
      <c r="B87" s="53" t="s">
        <v>156</v>
      </c>
      <c r="C87" s="15"/>
      <c r="D87" s="13" t="s">
        <v>157</v>
      </c>
      <c r="E87" s="13"/>
      <c r="F87" s="12">
        <v>90</v>
      </c>
      <c r="G87" s="12">
        <v>700</v>
      </c>
      <c r="H87" s="68">
        <f>G87*F87/1000</f>
        <v>63</v>
      </c>
      <c r="I87" s="12">
        <v>0</v>
      </c>
    </row>
    <row r="88" spans="1:9" s="86" customFormat="1" ht="15.75" customHeight="1">
      <c r="A88" s="210" t="s">
        <v>129</v>
      </c>
      <c r="B88" s="211"/>
      <c r="C88" s="211"/>
      <c r="D88" s="211"/>
      <c r="E88" s="211"/>
      <c r="F88" s="211"/>
      <c r="G88" s="211"/>
      <c r="H88" s="211"/>
      <c r="I88" s="212"/>
    </row>
    <row r="89" spans="1:9" s="86" customFormat="1" ht="15.75" customHeight="1">
      <c r="A89" s="77">
        <v>21</v>
      </c>
      <c r="B89" s="53" t="s">
        <v>116</v>
      </c>
      <c r="C89" s="15" t="s">
        <v>53</v>
      </c>
      <c r="D89" s="93" t="s">
        <v>54</v>
      </c>
      <c r="E89" s="12">
        <v>3945</v>
      </c>
      <c r="F89" s="12">
        <f>SUM(E89*12)</f>
        <v>47340</v>
      </c>
      <c r="G89" s="12">
        <v>3.1</v>
      </c>
      <c r="H89" s="68">
        <f>SUM(F89*G89/1000)</f>
        <v>146.75399999999999</v>
      </c>
      <c r="I89" s="12">
        <f>F89/12*G89</f>
        <v>12229.5</v>
      </c>
    </row>
    <row r="90" spans="1:9" s="86" customFormat="1" ht="31.5" customHeight="1">
      <c r="A90" s="26">
        <v>22</v>
      </c>
      <c r="B90" s="13" t="s">
        <v>76</v>
      </c>
      <c r="C90" s="15"/>
      <c r="D90" s="93" t="s">
        <v>54</v>
      </c>
      <c r="E90" s="55">
        <f>E89</f>
        <v>3945</v>
      </c>
      <c r="F90" s="12">
        <f>E90*12</f>
        <v>47340</v>
      </c>
      <c r="G90" s="12">
        <v>3.5</v>
      </c>
      <c r="H90" s="68">
        <f>F90*G90/1000</f>
        <v>165.69</v>
      </c>
      <c r="I90" s="12">
        <f>F90/12*G90</f>
        <v>13807.5</v>
      </c>
    </row>
    <row r="91" spans="1:9" s="86" customFormat="1" ht="15.75" customHeight="1">
      <c r="A91" s="26"/>
      <c r="B91" s="31" t="s">
        <v>79</v>
      </c>
      <c r="C91" s="32"/>
      <c r="D91" s="14"/>
      <c r="E91" s="14"/>
      <c r="F91" s="17"/>
      <c r="G91" s="30"/>
      <c r="H91" s="71">
        <f>H90</f>
        <v>165.69</v>
      </c>
      <c r="I91" s="29">
        <f>SUM(I16+I17+I18+I25+I26+I37+I38+I39+I40+I41+I42+I43+I49+I57+I58+I60+I64+I75+I76+I80+I89+I90)</f>
        <v>83473.286886666669</v>
      </c>
    </row>
    <row r="92" spans="1:9" s="86" customFormat="1" ht="15.75" customHeight="1">
      <c r="A92" s="207" t="s">
        <v>59</v>
      </c>
      <c r="B92" s="208"/>
      <c r="C92" s="208"/>
      <c r="D92" s="208"/>
      <c r="E92" s="208"/>
      <c r="F92" s="208"/>
      <c r="G92" s="208"/>
      <c r="H92" s="208"/>
      <c r="I92" s="209"/>
    </row>
    <row r="93" spans="1:9" ht="16.5" customHeight="1">
      <c r="A93" s="26"/>
      <c r="B93" s="37" t="s">
        <v>50</v>
      </c>
      <c r="C93" s="33"/>
      <c r="D93" s="40"/>
      <c r="E93" s="33">
        <v>1</v>
      </c>
      <c r="F93" s="33"/>
      <c r="G93" s="33"/>
      <c r="H93" s="33"/>
      <c r="I93" s="29">
        <f>SUM(A92)</f>
        <v>0</v>
      </c>
    </row>
    <row r="94" spans="1:9" ht="16.5" customHeight="1">
      <c r="A94" s="26"/>
      <c r="B94" s="39" t="s">
        <v>77</v>
      </c>
      <c r="C94" s="14"/>
      <c r="D94" s="14"/>
      <c r="E94" s="34"/>
      <c r="F94" s="34"/>
      <c r="G94" s="35"/>
      <c r="H94" s="35"/>
      <c r="I94" s="16">
        <v>0</v>
      </c>
    </row>
    <row r="95" spans="1:9" ht="15.75" customHeight="1">
      <c r="A95" s="41"/>
      <c r="B95" s="38" t="s">
        <v>162</v>
      </c>
      <c r="C95" s="30"/>
      <c r="D95" s="30"/>
      <c r="E95" s="30"/>
      <c r="F95" s="30"/>
      <c r="G95" s="30"/>
      <c r="H95" s="30"/>
      <c r="I95" s="36">
        <f>I91+I93</f>
        <v>83473.286886666669</v>
      </c>
    </row>
    <row r="96" spans="1:9" ht="15.75" customHeight="1">
      <c r="A96" s="206" t="s">
        <v>215</v>
      </c>
      <c r="B96" s="206"/>
      <c r="C96" s="206"/>
      <c r="D96" s="206"/>
      <c r="E96" s="206"/>
      <c r="F96" s="206"/>
      <c r="G96" s="206"/>
      <c r="H96" s="206"/>
      <c r="I96" s="206"/>
    </row>
    <row r="97" spans="1:9" ht="15.75" customHeight="1">
      <c r="A97" s="78"/>
      <c r="B97" s="213" t="s">
        <v>216</v>
      </c>
      <c r="C97" s="213"/>
      <c r="D97" s="213"/>
      <c r="E97" s="213"/>
      <c r="F97" s="213"/>
      <c r="G97" s="213"/>
      <c r="H97" s="52"/>
      <c r="I97" s="3"/>
    </row>
    <row r="98" spans="1:9" ht="15.75" customHeight="1">
      <c r="A98" s="81"/>
      <c r="B98" s="214" t="s">
        <v>6</v>
      </c>
      <c r="C98" s="214"/>
      <c r="D98" s="214"/>
      <c r="E98" s="214"/>
      <c r="F98" s="214"/>
      <c r="G98" s="214"/>
      <c r="H98" s="21"/>
      <c r="I98" s="5"/>
    </row>
    <row r="99" spans="1:9" ht="15.7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5.75" customHeight="1">
      <c r="A100" s="215" t="s">
        <v>7</v>
      </c>
      <c r="B100" s="215"/>
      <c r="C100" s="215"/>
      <c r="D100" s="215"/>
      <c r="E100" s="215"/>
      <c r="F100" s="215"/>
      <c r="G100" s="215"/>
      <c r="H100" s="215"/>
      <c r="I100" s="215"/>
    </row>
    <row r="101" spans="1:9" ht="15.75" customHeight="1">
      <c r="A101" s="215" t="s">
        <v>8</v>
      </c>
      <c r="B101" s="215"/>
      <c r="C101" s="215"/>
      <c r="D101" s="215"/>
      <c r="E101" s="215"/>
      <c r="F101" s="215"/>
      <c r="G101" s="215"/>
      <c r="H101" s="215"/>
      <c r="I101" s="215"/>
    </row>
    <row r="102" spans="1:9" ht="15.75" customHeight="1">
      <c r="A102" s="216" t="s">
        <v>60</v>
      </c>
      <c r="B102" s="216"/>
      <c r="C102" s="216"/>
      <c r="D102" s="216"/>
      <c r="E102" s="216"/>
      <c r="F102" s="216"/>
      <c r="G102" s="216"/>
      <c r="H102" s="216"/>
      <c r="I102" s="216"/>
    </row>
    <row r="103" spans="1:9" ht="15.75" customHeight="1">
      <c r="A103" s="10"/>
    </row>
    <row r="104" spans="1:9" ht="15.75" customHeight="1">
      <c r="A104" s="200" t="s">
        <v>9</v>
      </c>
      <c r="B104" s="200"/>
      <c r="C104" s="200"/>
      <c r="D104" s="200"/>
      <c r="E104" s="200"/>
      <c r="F104" s="200"/>
      <c r="G104" s="200"/>
      <c r="H104" s="200"/>
      <c r="I104" s="200"/>
    </row>
    <row r="105" spans="1:9" ht="15.75" customHeight="1">
      <c r="A105" s="4"/>
    </row>
    <row r="106" spans="1:9" ht="15.75" customHeight="1">
      <c r="B106" s="82" t="s">
        <v>10</v>
      </c>
      <c r="C106" s="218" t="s">
        <v>83</v>
      </c>
      <c r="D106" s="218"/>
      <c r="E106" s="218"/>
      <c r="F106" s="50"/>
      <c r="I106" s="80"/>
    </row>
    <row r="107" spans="1:9" ht="15.75" customHeight="1">
      <c r="A107" s="81"/>
      <c r="C107" s="214" t="s">
        <v>11</v>
      </c>
      <c r="D107" s="214"/>
      <c r="E107" s="214"/>
      <c r="F107" s="21"/>
      <c r="I107" s="79" t="s">
        <v>12</v>
      </c>
    </row>
    <row r="108" spans="1:9" ht="15.75" customHeight="1">
      <c r="A108" s="22"/>
      <c r="C108" s="11"/>
      <c r="D108" s="11"/>
      <c r="G108" s="11"/>
      <c r="H108" s="11"/>
    </row>
    <row r="109" spans="1:9" ht="15.75" customHeight="1">
      <c r="B109" s="82" t="s">
        <v>13</v>
      </c>
      <c r="C109" s="219"/>
      <c r="D109" s="219"/>
      <c r="E109" s="219"/>
      <c r="F109" s="51"/>
      <c r="I109" s="80"/>
    </row>
    <row r="110" spans="1:9" ht="15.75" customHeight="1">
      <c r="A110" s="81"/>
      <c r="C110" s="220" t="s">
        <v>11</v>
      </c>
      <c r="D110" s="220"/>
      <c r="E110" s="220"/>
      <c r="F110" s="81"/>
      <c r="I110" s="79" t="s">
        <v>12</v>
      </c>
    </row>
    <row r="111" spans="1:9" ht="15.75" customHeight="1">
      <c r="A111" s="4" t="s">
        <v>14</v>
      </c>
    </row>
    <row r="112" spans="1:9" ht="15.75" customHeight="1">
      <c r="A112" s="221" t="s">
        <v>15</v>
      </c>
      <c r="B112" s="221"/>
      <c r="C112" s="221"/>
      <c r="D112" s="221"/>
      <c r="E112" s="221"/>
      <c r="F112" s="221"/>
      <c r="G112" s="221"/>
      <c r="H112" s="221"/>
      <c r="I112" s="221"/>
    </row>
    <row r="113" spans="1:9" ht="45" customHeight="1">
      <c r="A113" s="217" t="s">
        <v>16</v>
      </c>
      <c r="B113" s="217"/>
      <c r="C113" s="217"/>
      <c r="D113" s="217"/>
      <c r="E113" s="217"/>
      <c r="F113" s="217"/>
      <c r="G113" s="217"/>
      <c r="H113" s="217"/>
      <c r="I113" s="217"/>
    </row>
    <row r="114" spans="1:9" ht="30" customHeight="1">
      <c r="A114" s="217" t="s">
        <v>17</v>
      </c>
      <c r="B114" s="217"/>
      <c r="C114" s="217"/>
      <c r="D114" s="217"/>
      <c r="E114" s="217"/>
      <c r="F114" s="217"/>
      <c r="G114" s="217"/>
      <c r="H114" s="217"/>
      <c r="I114" s="217"/>
    </row>
    <row r="115" spans="1:9" ht="30" customHeight="1">
      <c r="A115" s="217" t="s">
        <v>21</v>
      </c>
      <c r="B115" s="217"/>
      <c r="C115" s="217"/>
      <c r="D115" s="217"/>
      <c r="E115" s="217"/>
      <c r="F115" s="217"/>
      <c r="G115" s="217"/>
      <c r="H115" s="217"/>
      <c r="I115" s="217"/>
    </row>
    <row r="116" spans="1:9" ht="15" customHeight="1">
      <c r="A116" s="217" t="s">
        <v>20</v>
      </c>
      <c r="B116" s="217"/>
      <c r="C116" s="217"/>
      <c r="D116" s="217"/>
      <c r="E116" s="217"/>
      <c r="F116" s="217"/>
      <c r="G116" s="217"/>
      <c r="H116" s="217"/>
      <c r="I116" s="217"/>
    </row>
  </sheetData>
  <autoFilter ref="I12:I62"/>
  <mergeCells count="29">
    <mergeCell ref="A112:I112"/>
    <mergeCell ref="A113:I113"/>
    <mergeCell ref="A114:I114"/>
    <mergeCell ref="A115:I115"/>
    <mergeCell ref="A116:I116"/>
    <mergeCell ref="R66:U66"/>
    <mergeCell ref="C110:E110"/>
    <mergeCell ref="A92:I92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8:I88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24"/>
  <sheetViews>
    <sheetView topLeftCell="A96" workbookViewId="0">
      <selection activeCell="B105" sqref="B105:G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81</v>
      </c>
      <c r="I1" s="23"/>
      <c r="J1" s="1"/>
      <c r="K1" s="1"/>
      <c r="L1" s="1"/>
      <c r="M1" s="1"/>
    </row>
    <row r="2" spans="1:13" ht="15.75">
      <c r="A2" s="25" t="s">
        <v>61</v>
      </c>
      <c r="J2" s="2"/>
      <c r="K2" s="2"/>
      <c r="L2" s="2"/>
      <c r="M2" s="2"/>
    </row>
    <row r="3" spans="1:13" ht="15.75" customHeight="1">
      <c r="A3" s="195" t="s">
        <v>176</v>
      </c>
      <c r="B3" s="195"/>
      <c r="C3" s="195"/>
      <c r="D3" s="195"/>
      <c r="E3" s="195"/>
      <c r="F3" s="195"/>
      <c r="G3" s="195"/>
      <c r="H3" s="195"/>
      <c r="I3" s="195"/>
      <c r="J3" s="3"/>
      <c r="K3" s="3"/>
      <c r="L3" s="3"/>
    </row>
    <row r="4" spans="1:13" ht="31.5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13" ht="15.75">
      <c r="A5" s="195" t="s">
        <v>164</v>
      </c>
      <c r="B5" s="197"/>
      <c r="C5" s="197"/>
      <c r="D5" s="197"/>
      <c r="E5" s="197"/>
      <c r="F5" s="197"/>
      <c r="G5" s="197"/>
      <c r="H5" s="197"/>
      <c r="I5" s="197"/>
      <c r="J5" s="2"/>
      <c r="K5" s="2"/>
      <c r="L5" s="2"/>
      <c r="M5" s="2"/>
    </row>
    <row r="6" spans="1:13" ht="15.75">
      <c r="A6" s="2"/>
      <c r="B6" s="99"/>
      <c r="C6" s="99"/>
      <c r="D6" s="99"/>
      <c r="E6" s="99"/>
      <c r="F6" s="99"/>
      <c r="G6" s="99"/>
      <c r="H6" s="99"/>
      <c r="I6" s="27">
        <v>43190</v>
      </c>
      <c r="J6" s="2"/>
      <c r="K6" s="2"/>
      <c r="L6" s="2"/>
      <c r="M6" s="2"/>
    </row>
    <row r="7" spans="1:13" ht="15.75">
      <c r="B7" s="97"/>
      <c r="C7" s="97"/>
      <c r="D7" s="9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8" t="s">
        <v>136</v>
      </c>
      <c r="B8" s="198"/>
      <c r="C8" s="198"/>
      <c r="D8" s="198"/>
      <c r="E8" s="198"/>
      <c r="F8" s="198"/>
      <c r="G8" s="198"/>
      <c r="H8" s="198"/>
      <c r="I8" s="198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  <c r="J10" s="2"/>
      <c r="K10" s="2"/>
      <c r="L10" s="2"/>
      <c r="M10" s="2"/>
    </row>
    <row r="11" spans="1:13" ht="15.7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91</v>
      </c>
      <c r="C19" s="54" t="s">
        <v>92</v>
      </c>
      <c r="D19" s="53" t="s">
        <v>93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 t="shared" ref="I22:I24" si="1"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 t="shared" si="1"/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 t="shared" si="1"/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53" t="s">
        <v>63</v>
      </c>
      <c r="C25" s="54" t="s">
        <v>33</v>
      </c>
      <c r="D25" s="53" t="s">
        <v>141</v>
      </c>
      <c r="E25" s="55">
        <v>0.1</v>
      </c>
      <c r="F25" s="56">
        <f>SUM(E25*155)</f>
        <v>15.5</v>
      </c>
      <c r="G25" s="56">
        <v>264.85000000000002</v>
      </c>
      <c r="H25" s="57">
        <f>SUM(F25*G25/1000)</f>
        <v>4.105175</v>
      </c>
      <c r="I25" s="12">
        <f>F25/12*G25</f>
        <v>342.09791666666672</v>
      </c>
      <c r="J25" s="87"/>
      <c r="K25" s="85"/>
      <c r="L25" s="85"/>
      <c r="M25" s="85"/>
    </row>
    <row r="26" spans="1:13" s="86" customFormat="1" ht="15.75" customHeight="1">
      <c r="A26" s="26">
        <v>5</v>
      </c>
      <c r="B26" s="61" t="s">
        <v>23</v>
      </c>
      <c r="C26" s="54" t="s">
        <v>24</v>
      </c>
      <c r="D26" s="61" t="s">
        <v>125</v>
      </c>
      <c r="E26" s="55">
        <v>3945</v>
      </c>
      <c r="F26" s="56">
        <f>SUM(E26*12)</f>
        <v>47340</v>
      </c>
      <c r="G26" s="56">
        <v>3.64</v>
      </c>
      <c r="H26" s="57">
        <f>SUM(F26*G26/1000)</f>
        <v>172.3176</v>
      </c>
      <c r="I26" s="12">
        <f>F26/12*G26</f>
        <v>14359.800000000001</v>
      </c>
      <c r="J26" s="88"/>
    </row>
    <row r="27" spans="1:13" ht="15.75" customHeight="1">
      <c r="A27" s="202" t="s">
        <v>158</v>
      </c>
      <c r="B27" s="203"/>
      <c r="C27" s="203"/>
      <c r="D27" s="203"/>
      <c r="E27" s="203"/>
      <c r="F27" s="203"/>
      <c r="G27" s="203"/>
      <c r="H27" s="203"/>
      <c r="I27" s="204"/>
      <c r="J27" s="20"/>
      <c r="K27" s="8"/>
      <c r="L27" s="8"/>
      <c r="M27" s="8"/>
    </row>
    <row r="28" spans="1:13" s="86" customFormat="1" ht="15.75" hidden="1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  <c r="J28" s="88"/>
    </row>
    <row r="29" spans="1:13" s="86" customFormat="1" ht="15.75" hidden="1" customHeight="1">
      <c r="A29" s="26"/>
      <c r="B29" s="53" t="s">
        <v>99</v>
      </c>
      <c r="C29" s="54" t="s">
        <v>29</v>
      </c>
      <c r="D29" s="53" t="s">
        <v>138</v>
      </c>
      <c r="E29" s="56">
        <v>355.5</v>
      </c>
      <c r="F29" s="56">
        <f>SUM(E29*48/1000)</f>
        <v>17.064</v>
      </c>
      <c r="G29" s="56">
        <v>204.44</v>
      </c>
      <c r="H29" s="57">
        <f t="shared" ref="H29:H35" si="2">SUM(F29*G29/1000)</f>
        <v>3.4885641599999997</v>
      </c>
      <c r="I29" s="12">
        <f>F29/6*G29</f>
        <v>581.42736000000002</v>
      </c>
      <c r="J29" s="87"/>
      <c r="K29" s="85"/>
      <c r="L29" s="85"/>
      <c r="M29" s="85"/>
    </row>
    <row r="30" spans="1:13" s="86" customFormat="1" ht="31.5" hidden="1" customHeight="1">
      <c r="A30" s="26"/>
      <c r="B30" s="53" t="s">
        <v>127</v>
      </c>
      <c r="C30" s="54" t="s">
        <v>100</v>
      </c>
      <c r="D30" s="53" t="s">
        <v>139</v>
      </c>
      <c r="E30" s="56">
        <v>111.6</v>
      </c>
      <c r="F30" s="56">
        <f>SUM(E30*48/1000)</f>
        <v>5.3567999999999989</v>
      </c>
      <c r="G30" s="56">
        <v>339.21</v>
      </c>
      <c r="H30" s="57">
        <f t="shared" si="2"/>
        <v>1.8170801279999995</v>
      </c>
      <c r="I30" s="12">
        <f t="shared" ref="I30:I33" si="3">F30/6*G30</f>
        <v>302.84668799999992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27</v>
      </c>
      <c r="C31" s="54" t="s">
        <v>100</v>
      </c>
      <c r="D31" s="53" t="s">
        <v>52</v>
      </c>
      <c r="E31" s="56">
        <v>355.5</v>
      </c>
      <c r="F31" s="56">
        <f>SUM(E31/1000)</f>
        <v>0.35549999999999998</v>
      </c>
      <c r="G31" s="56">
        <v>3961.23</v>
      </c>
      <c r="H31" s="57">
        <f t="shared" si="2"/>
        <v>1.408217265</v>
      </c>
      <c r="I31" s="12">
        <f>F31*G31</f>
        <v>1408.217265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118</v>
      </c>
      <c r="C32" s="54" t="s">
        <v>39</v>
      </c>
      <c r="D32" s="53" t="s">
        <v>140</v>
      </c>
      <c r="E32" s="56">
        <v>6</v>
      </c>
      <c r="F32" s="56">
        <f>SUM(E32*48/100)</f>
        <v>2.88</v>
      </c>
      <c r="G32" s="56">
        <v>1707.63</v>
      </c>
      <c r="H32" s="57">
        <f>G32*F32/1000</f>
        <v>4.9179744000000003</v>
      </c>
      <c r="I32" s="12">
        <f t="shared" si="3"/>
        <v>819.66240000000005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101</v>
      </c>
      <c r="C33" s="54" t="s">
        <v>31</v>
      </c>
      <c r="D33" s="53" t="s">
        <v>62</v>
      </c>
      <c r="E33" s="60">
        <f>1/3</f>
        <v>0.33333333333333331</v>
      </c>
      <c r="F33" s="56">
        <f>155/3</f>
        <v>51.666666666666664</v>
      </c>
      <c r="G33" s="56">
        <v>74.349999999999994</v>
      </c>
      <c r="H33" s="57">
        <f>SUM(G33*155/3/1000)</f>
        <v>3.8414166666666665</v>
      </c>
      <c r="I33" s="12">
        <f t="shared" si="3"/>
        <v>640.23611111111109</v>
      </c>
      <c r="J33" s="87"/>
      <c r="K33" s="85"/>
      <c r="L33" s="85"/>
      <c r="M33" s="85"/>
    </row>
    <row r="34" spans="1:14" s="86" customFormat="1" ht="15.75" hidden="1" customHeight="1">
      <c r="A34" s="26"/>
      <c r="B34" s="53" t="s">
        <v>64</v>
      </c>
      <c r="C34" s="54" t="s">
        <v>33</v>
      </c>
      <c r="D34" s="53" t="s">
        <v>66</v>
      </c>
      <c r="E34" s="55"/>
      <c r="F34" s="56">
        <v>1</v>
      </c>
      <c r="G34" s="56">
        <v>250.92</v>
      </c>
      <c r="H34" s="57">
        <f t="shared" si="2"/>
        <v>0.25091999999999998</v>
      </c>
      <c r="I34" s="12">
        <v>0</v>
      </c>
      <c r="J34" s="87"/>
      <c r="K34" s="85"/>
    </row>
    <row r="35" spans="1:14" s="86" customFormat="1" ht="15.75" hidden="1" customHeight="1">
      <c r="A35" s="26"/>
      <c r="B35" s="53" t="s">
        <v>65</v>
      </c>
      <c r="C35" s="54" t="s">
        <v>32</v>
      </c>
      <c r="D35" s="53" t="s">
        <v>66</v>
      </c>
      <c r="E35" s="55"/>
      <c r="F35" s="56">
        <v>1</v>
      </c>
      <c r="G35" s="56">
        <v>1490.33</v>
      </c>
      <c r="H35" s="57">
        <f t="shared" si="2"/>
        <v>1.4903299999999999</v>
      </c>
      <c r="I35" s="12">
        <v>0</v>
      </c>
      <c r="J35" s="88"/>
    </row>
    <row r="36" spans="1:14" s="86" customFormat="1" ht="15.75" customHeight="1">
      <c r="A36" s="26"/>
      <c r="B36" s="75" t="s">
        <v>5</v>
      </c>
      <c r="C36" s="54"/>
      <c r="D36" s="53"/>
      <c r="E36" s="55"/>
      <c r="F36" s="56"/>
      <c r="G36" s="56"/>
      <c r="H36" s="57" t="s">
        <v>125</v>
      </c>
      <c r="I36" s="12"/>
      <c r="J36" s="88"/>
    </row>
    <row r="37" spans="1:14" s="86" customFormat="1" ht="15.75" customHeight="1">
      <c r="A37" s="26">
        <v>6</v>
      </c>
      <c r="B37" s="53" t="s">
        <v>26</v>
      </c>
      <c r="C37" s="54" t="s">
        <v>32</v>
      </c>
      <c r="D37" s="53"/>
      <c r="E37" s="55"/>
      <c r="F37" s="56">
        <v>3</v>
      </c>
      <c r="G37" s="56">
        <v>2003</v>
      </c>
      <c r="H37" s="57">
        <f t="shared" ref="H37:H43" si="4">SUM(F37*G37/1000)</f>
        <v>6.0090000000000003</v>
      </c>
      <c r="I37" s="12">
        <f t="shared" ref="I37:I43" si="5">F37/6*G37</f>
        <v>1001.5</v>
      </c>
      <c r="J37" s="88"/>
    </row>
    <row r="38" spans="1:14" s="86" customFormat="1" ht="15.75" customHeight="1">
      <c r="A38" s="26">
        <v>7</v>
      </c>
      <c r="B38" s="53" t="s">
        <v>143</v>
      </c>
      <c r="C38" s="54" t="s">
        <v>29</v>
      </c>
      <c r="D38" s="53" t="s">
        <v>102</v>
      </c>
      <c r="E38" s="55">
        <v>111.6</v>
      </c>
      <c r="F38" s="56">
        <f>E38*30/1000</f>
        <v>3.3479999999999999</v>
      </c>
      <c r="G38" s="56">
        <v>2757.78</v>
      </c>
      <c r="H38" s="57">
        <f>G38*F38/1000</f>
        <v>9.23304744</v>
      </c>
      <c r="I38" s="12">
        <f t="shared" si="5"/>
        <v>1538.84124</v>
      </c>
      <c r="J38" s="88"/>
      <c r="L38" s="18"/>
      <c r="M38" s="19"/>
      <c r="N38" s="90"/>
    </row>
    <row r="39" spans="1:14" s="86" customFormat="1" ht="15.75" customHeight="1">
      <c r="A39" s="26">
        <v>8</v>
      </c>
      <c r="B39" s="53" t="s">
        <v>67</v>
      </c>
      <c r="C39" s="54" t="s">
        <v>29</v>
      </c>
      <c r="D39" s="53" t="s">
        <v>103</v>
      </c>
      <c r="E39" s="56">
        <v>111.6</v>
      </c>
      <c r="F39" s="56">
        <f>SUM(E39*155/1000)</f>
        <v>17.297999999999998</v>
      </c>
      <c r="G39" s="56">
        <v>460.02</v>
      </c>
      <c r="H39" s="57">
        <f t="shared" si="4"/>
        <v>7.9574259599999984</v>
      </c>
      <c r="I39" s="12">
        <f t="shared" si="5"/>
        <v>1326.2376599999998</v>
      </c>
      <c r="J39" s="88"/>
      <c r="L39" s="18"/>
      <c r="M39" s="19"/>
      <c r="N39" s="90"/>
    </row>
    <row r="40" spans="1:14" s="86" customFormat="1" ht="15.75" customHeight="1">
      <c r="A40" s="26">
        <v>9</v>
      </c>
      <c r="B40" s="53" t="s">
        <v>80</v>
      </c>
      <c r="C40" s="54" t="s">
        <v>100</v>
      </c>
      <c r="D40" s="53" t="s">
        <v>102</v>
      </c>
      <c r="E40" s="56">
        <v>111.6</v>
      </c>
      <c r="F40" s="56">
        <f>SUM(E40*30/1000)</f>
        <v>3.3479999999999999</v>
      </c>
      <c r="G40" s="56">
        <v>7611.16</v>
      </c>
      <c r="H40" s="57">
        <f t="shared" si="4"/>
        <v>25.482163679999999</v>
      </c>
      <c r="I40" s="12">
        <f t="shared" si="5"/>
        <v>4247.0272799999993</v>
      </c>
      <c r="J40" s="88"/>
      <c r="L40" s="18"/>
      <c r="M40" s="19"/>
      <c r="N40" s="90"/>
    </row>
    <row r="41" spans="1:14" s="86" customFormat="1" ht="15.75" customHeight="1">
      <c r="A41" s="26">
        <v>10</v>
      </c>
      <c r="B41" s="53" t="s">
        <v>104</v>
      </c>
      <c r="C41" s="54" t="s">
        <v>100</v>
      </c>
      <c r="D41" s="53" t="s">
        <v>119</v>
      </c>
      <c r="E41" s="56">
        <v>111.6</v>
      </c>
      <c r="F41" s="56">
        <f>SUM(E41*24/1000)</f>
        <v>2.6783999999999994</v>
      </c>
      <c r="G41" s="56">
        <v>562.25</v>
      </c>
      <c r="H41" s="57">
        <f t="shared" si="4"/>
        <v>1.5059303999999998</v>
      </c>
      <c r="I41" s="12">
        <f>(F41/7.5*1.5)*G41</f>
        <v>301.18607999999995</v>
      </c>
      <c r="J41" s="88"/>
      <c r="L41" s="18"/>
      <c r="M41" s="19"/>
      <c r="N41" s="90"/>
    </row>
    <row r="42" spans="1:14" s="86" customFormat="1" ht="15.75" customHeight="1">
      <c r="A42" s="26">
        <v>11</v>
      </c>
      <c r="B42" s="53" t="s">
        <v>68</v>
      </c>
      <c r="C42" s="54" t="s">
        <v>33</v>
      </c>
      <c r="D42" s="53"/>
      <c r="E42" s="55"/>
      <c r="F42" s="56">
        <v>0.6</v>
      </c>
      <c r="G42" s="56">
        <v>974.83</v>
      </c>
      <c r="H42" s="57">
        <f t="shared" si="4"/>
        <v>0.58489800000000003</v>
      </c>
      <c r="I42" s="12">
        <f>(F42/7.5*1.5)*G42</f>
        <v>116.9796</v>
      </c>
      <c r="J42" s="88"/>
      <c r="L42" s="18"/>
      <c r="M42" s="19"/>
      <c r="N42" s="90"/>
    </row>
    <row r="43" spans="1:14" s="86" customFormat="1" ht="15.75" customHeight="1">
      <c r="A43" s="26">
        <v>12</v>
      </c>
      <c r="B43" s="72" t="s">
        <v>144</v>
      </c>
      <c r="C43" s="73" t="s">
        <v>29</v>
      </c>
      <c r="D43" s="53" t="s">
        <v>145</v>
      </c>
      <c r="E43" s="55">
        <v>1.2</v>
      </c>
      <c r="F43" s="56">
        <f>SUM(E43*12/1000)</f>
        <v>1.4399999999999998E-2</v>
      </c>
      <c r="G43" s="56">
        <v>260.2</v>
      </c>
      <c r="H43" s="57">
        <f t="shared" si="4"/>
        <v>3.7468799999999993E-3</v>
      </c>
      <c r="I43" s="12">
        <f t="shared" si="5"/>
        <v>0.62447999999999992</v>
      </c>
      <c r="J43" s="88"/>
      <c r="L43" s="18"/>
      <c r="M43" s="19"/>
      <c r="N43" s="90"/>
    </row>
    <row r="44" spans="1:14" s="86" customFormat="1" ht="15.75" hidden="1" customHeight="1">
      <c r="A44" s="202" t="s">
        <v>159</v>
      </c>
      <c r="B44" s="203"/>
      <c r="C44" s="203"/>
      <c r="D44" s="203"/>
      <c r="E44" s="203"/>
      <c r="F44" s="203"/>
      <c r="G44" s="203"/>
      <c r="H44" s="203"/>
      <c r="I44" s="204"/>
      <c r="J44" s="88"/>
      <c r="L44" s="18"/>
      <c r="M44" s="19"/>
      <c r="N44" s="90"/>
    </row>
    <row r="45" spans="1:14" s="86" customFormat="1" ht="15.75" hidden="1" customHeight="1">
      <c r="A45" s="26"/>
      <c r="B45" s="53" t="s">
        <v>121</v>
      </c>
      <c r="C45" s="54" t="s">
        <v>100</v>
      </c>
      <c r="D45" s="53" t="s">
        <v>41</v>
      </c>
      <c r="E45" s="55">
        <v>1030.4000000000001</v>
      </c>
      <c r="F45" s="56">
        <f>SUM(E45*2/1000)</f>
        <v>2.0608</v>
      </c>
      <c r="G45" s="12">
        <v>1114.1300000000001</v>
      </c>
      <c r="H45" s="57">
        <f t="shared" ref="H45:H54" si="6">SUM(F45*G45/1000)</f>
        <v>2.2959991039999998</v>
      </c>
      <c r="I45" s="12">
        <f t="shared" ref="I45:I47" si="7">F45/2*G45</f>
        <v>1147.999552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100</v>
      </c>
      <c r="D46" s="53" t="s">
        <v>41</v>
      </c>
      <c r="E46" s="55">
        <v>132</v>
      </c>
      <c r="F46" s="56">
        <f>E46*2/1000</f>
        <v>0.26400000000000001</v>
      </c>
      <c r="G46" s="12">
        <v>4419.05</v>
      </c>
      <c r="H46" s="57">
        <f t="shared" si="6"/>
        <v>1.1666292</v>
      </c>
      <c r="I46" s="12">
        <f t="shared" si="7"/>
        <v>583.31460000000004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100</v>
      </c>
      <c r="D47" s="53" t="s">
        <v>41</v>
      </c>
      <c r="E47" s="55">
        <v>4248.22</v>
      </c>
      <c r="F47" s="56">
        <f>SUM(E47*2/1000)</f>
        <v>8.4964399999999998</v>
      </c>
      <c r="G47" s="12">
        <v>1803.69</v>
      </c>
      <c r="H47" s="57">
        <f t="shared" si="6"/>
        <v>15.3249438636</v>
      </c>
      <c r="I47" s="12">
        <f t="shared" si="7"/>
        <v>7662.4719317999998</v>
      </c>
      <c r="J47" s="88"/>
      <c r="L47" s="18"/>
      <c r="M47" s="19"/>
      <c r="N47" s="90"/>
    </row>
    <row r="48" spans="1:14" s="86" customFormat="1" ht="15.75" hidden="1" customHeight="1">
      <c r="A48" s="26"/>
      <c r="B48" s="53" t="s">
        <v>36</v>
      </c>
      <c r="C48" s="54" t="s">
        <v>100</v>
      </c>
      <c r="D48" s="53" t="s">
        <v>41</v>
      </c>
      <c r="E48" s="55">
        <v>2163.66</v>
      </c>
      <c r="F48" s="56">
        <f>SUM(E48*2/1000)</f>
        <v>4.3273199999999994</v>
      </c>
      <c r="G48" s="12">
        <v>1243.43</v>
      </c>
      <c r="H48" s="57">
        <f t="shared" si="6"/>
        <v>5.3807195075999994</v>
      </c>
      <c r="I48" s="12">
        <f>F48/2*G48</f>
        <v>2690.3597537999999</v>
      </c>
      <c r="J48" s="88"/>
      <c r="L48" s="18"/>
      <c r="M48" s="19"/>
      <c r="N48" s="90"/>
    </row>
    <row r="49" spans="1:21" s="86" customFormat="1" ht="15.75" hidden="1" customHeight="1">
      <c r="A49" s="26">
        <v>13</v>
      </c>
      <c r="B49" s="53" t="s">
        <v>55</v>
      </c>
      <c r="C49" s="54" t="s">
        <v>100</v>
      </c>
      <c r="D49" s="53" t="s">
        <v>131</v>
      </c>
      <c r="E49" s="55">
        <v>3945</v>
      </c>
      <c r="F49" s="56">
        <f>SUM(E49*5/1000)</f>
        <v>19.725000000000001</v>
      </c>
      <c r="G49" s="12">
        <v>1083.69</v>
      </c>
      <c r="H49" s="57">
        <f t="shared" si="6"/>
        <v>21.37578525</v>
      </c>
      <c r="I49" s="12">
        <f>F49/5*G49</f>
        <v>4275.1570500000007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105</v>
      </c>
      <c r="C50" s="54" t="s">
        <v>100</v>
      </c>
      <c r="D50" s="53" t="s">
        <v>41</v>
      </c>
      <c r="E50" s="55">
        <v>3945</v>
      </c>
      <c r="F50" s="56">
        <f>SUM(E50*2/1000)</f>
        <v>7.89</v>
      </c>
      <c r="G50" s="12">
        <v>1591.6</v>
      </c>
      <c r="H50" s="57">
        <f t="shared" si="6"/>
        <v>12.557723999999999</v>
      </c>
      <c r="I50" s="12">
        <f>F50/2*G50</f>
        <v>6278.8619999999992</v>
      </c>
      <c r="J50" s="88"/>
      <c r="L50" s="18"/>
      <c r="M50" s="19"/>
      <c r="N50" s="90"/>
    </row>
    <row r="51" spans="1:21" s="86" customFormat="1" ht="31.5" hidden="1" customHeight="1">
      <c r="A51" s="26"/>
      <c r="B51" s="53" t="s">
        <v>106</v>
      </c>
      <c r="C51" s="54" t="s">
        <v>37</v>
      </c>
      <c r="D51" s="53" t="s">
        <v>41</v>
      </c>
      <c r="E51" s="55">
        <v>30</v>
      </c>
      <c r="F51" s="56">
        <f>SUM(E51*2/100)</f>
        <v>0.6</v>
      </c>
      <c r="G51" s="12">
        <v>4058.32</v>
      </c>
      <c r="H51" s="57">
        <f t="shared" si="6"/>
        <v>2.4349920000000003</v>
      </c>
      <c r="I51" s="12">
        <f t="shared" ref="I51:I52" si="8">F51/2*G51</f>
        <v>1217.4960000000001</v>
      </c>
      <c r="J51" s="88"/>
      <c r="L51" s="18"/>
      <c r="M51" s="19"/>
      <c r="N51" s="90"/>
    </row>
    <row r="52" spans="1:21" s="86" customFormat="1" ht="15.75" hidden="1" customHeight="1">
      <c r="A52" s="26"/>
      <c r="B52" s="53" t="s">
        <v>38</v>
      </c>
      <c r="C52" s="54" t="s">
        <v>39</v>
      </c>
      <c r="D52" s="53" t="s">
        <v>41</v>
      </c>
      <c r="E52" s="55">
        <v>1</v>
      </c>
      <c r="F52" s="56">
        <v>0.02</v>
      </c>
      <c r="G52" s="12">
        <v>7412.92</v>
      </c>
      <c r="H52" s="57">
        <f t="shared" si="6"/>
        <v>0.14825839999999998</v>
      </c>
      <c r="I52" s="12">
        <f t="shared" si="8"/>
        <v>74.129199999999997</v>
      </c>
      <c r="J52" s="88"/>
      <c r="L52" s="18"/>
      <c r="M52" s="19"/>
      <c r="N52" s="90"/>
    </row>
    <row r="53" spans="1:21" s="86" customFormat="1" ht="15.75" hidden="1" customHeight="1">
      <c r="A53" s="26">
        <v>14</v>
      </c>
      <c r="B53" s="53" t="s">
        <v>120</v>
      </c>
      <c r="C53" s="54" t="s">
        <v>86</v>
      </c>
      <c r="D53" s="53" t="s">
        <v>69</v>
      </c>
      <c r="E53" s="55">
        <v>90</v>
      </c>
      <c r="F53" s="56">
        <f>E53*3</f>
        <v>270</v>
      </c>
      <c r="G53" s="12">
        <v>185.08</v>
      </c>
      <c r="H53" s="57">
        <f t="shared" si="6"/>
        <v>49.971600000000009</v>
      </c>
      <c r="I53" s="12">
        <f>E53*G53</f>
        <v>16657.2</v>
      </c>
      <c r="J53" s="88"/>
      <c r="L53" s="18"/>
      <c r="M53" s="19"/>
      <c r="N53" s="90"/>
    </row>
    <row r="54" spans="1:21" s="86" customFormat="1" ht="15.75" hidden="1" customHeight="1">
      <c r="A54" s="26">
        <v>15</v>
      </c>
      <c r="B54" s="53" t="s">
        <v>40</v>
      </c>
      <c r="C54" s="54" t="s">
        <v>86</v>
      </c>
      <c r="D54" s="53" t="s">
        <v>69</v>
      </c>
      <c r="E54" s="55">
        <v>180</v>
      </c>
      <c r="F54" s="56">
        <f>SUM(E54)*3</f>
        <v>540</v>
      </c>
      <c r="G54" s="12">
        <v>86.15</v>
      </c>
      <c r="H54" s="57">
        <f t="shared" si="6"/>
        <v>46.521000000000001</v>
      </c>
      <c r="I54" s="12">
        <f>E54*G54</f>
        <v>15507.000000000002</v>
      </c>
      <c r="J54" s="88"/>
      <c r="L54" s="18"/>
      <c r="M54" s="19"/>
      <c r="N54" s="90"/>
    </row>
    <row r="55" spans="1:21" s="86" customFormat="1" ht="15.75" customHeight="1">
      <c r="A55" s="202" t="s">
        <v>165</v>
      </c>
      <c r="B55" s="203"/>
      <c r="C55" s="203"/>
      <c r="D55" s="203"/>
      <c r="E55" s="203"/>
      <c r="F55" s="203"/>
      <c r="G55" s="203"/>
      <c r="H55" s="203"/>
      <c r="I55" s="204"/>
      <c r="J55" s="88"/>
      <c r="L55" s="18"/>
      <c r="M55" s="19"/>
      <c r="N55" s="90"/>
    </row>
    <row r="56" spans="1:21" s="86" customFormat="1" ht="15.75" customHeight="1">
      <c r="A56" s="26"/>
      <c r="B56" s="75" t="s">
        <v>42</v>
      </c>
      <c r="C56" s="54"/>
      <c r="D56" s="53"/>
      <c r="E56" s="55"/>
      <c r="F56" s="56"/>
      <c r="G56" s="56"/>
      <c r="H56" s="57"/>
      <c r="I56" s="12"/>
      <c r="J56" s="88"/>
      <c r="L56" s="18"/>
      <c r="M56" s="19"/>
      <c r="N56" s="90"/>
    </row>
    <row r="57" spans="1:21" s="86" customFormat="1" ht="47.25" customHeight="1">
      <c r="A57" s="26">
        <v>13</v>
      </c>
      <c r="B57" s="53" t="s">
        <v>146</v>
      </c>
      <c r="C57" s="54" t="s">
        <v>90</v>
      </c>
      <c r="D57" s="53" t="s">
        <v>107</v>
      </c>
      <c r="E57" s="55">
        <v>30.6</v>
      </c>
      <c r="F57" s="56">
        <f>SUM(E57*6/100)</f>
        <v>1.8360000000000003</v>
      </c>
      <c r="G57" s="12">
        <v>2029.3</v>
      </c>
      <c r="H57" s="57">
        <f>SUM(F57*G57/1000)</f>
        <v>3.7257948000000005</v>
      </c>
      <c r="I57" s="12">
        <f>G57*1.227</f>
        <v>2489.9511000000002</v>
      </c>
      <c r="J57" s="88"/>
      <c r="L57" s="18"/>
      <c r="M57" s="19"/>
      <c r="N57" s="90"/>
    </row>
    <row r="58" spans="1:21" s="86" customFormat="1" ht="31.5" customHeight="1">
      <c r="A58" s="26">
        <v>14</v>
      </c>
      <c r="B58" s="53" t="s">
        <v>84</v>
      </c>
      <c r="C58" s="54" t="s">
        <v>90</v>
      </c>
      <c r="D58" s="53" t="s">
        <v>85</v>
      </c>
      <c r="E58" s="55">
        <v>39.69</v>
      </c>
      <c r="F58" s="56">
        <f>SUM(E58*12/100)</f>
        <v>4.7627999999999995</v>
      </c>
      <c r="G58" s="12">
        <v>2029.3</v>
      </c>
      <c r="H58" s="57">
        <f>SUM(F58*G58/1000)</f>
        <v>9.6651500399999986</v>
      </c>
      <c r="I58" s="12">
        <f>F58/6*G58</f>
        <v>1610.8583399999998</v>
      </c>
      <c r="J58" s="88"/>
      <c r="L58" s="18"/>
      <c r="M58" s="19"/>
      <c r="N58" s="90"/>
    </row>
    <row r="59" spans="1:21" s="86" customFormat="1" ht="15.75" hidden="1" customHeight="1">
      <c r="A59" s="26"/>
      <c r="B59" s="62" t="s">
        <v>122</v>
      </c>
      <c r="C59" s="63" t="s">
        <v>123</v>
      </c>
      <c r="D59" s="62" t="s">
        <v>41</v>
      </c>
      <c r="E59" s="64">
        <v>6</v>
      </c>
      <c r="F59" s="56">
        <f>SUM(E59*2)</f>
        <v>12</v>
      </c>
      <c r="G59" s="12">
        <v>237.1</v>
      </c>
      <c r="H59" s="57">
        <f>SUM(F59*G59/1000)</f>
        <v>2.8451999999999997</v>
      </c>
      <c r="I59" s="12">
        <v>0</v>
      </c>
      <c r="J59" s="88"/>
      <c r="L59" s="18"/>
      <c r="M59" s="19"/>
      <c r="N59" s="90"/>
    </row>
    <row r="60" spans="1:21" s="86" customFormat="1" ht="15.75" customHeight="1">
      <c r="A60" s="26">
        <v>15</v>
      </c>
      <c r="B60" s="53" t="s">
        <v>124</v>
      </c>
      <c r="C60" s="54" t="s">
        <v>90</v>
      </c>
      <c r="D60" s="53" t="s">
        <v>107</v>
      </c>
      <c r="E60" s="55">
        <v>18.84</v>
      </c>
      <c r="F60" s="56">
        <f>SUM(E60*6/100)</f>
        <v>1.1303999999999998</v>
      </c>
      <c r="G60" s="12">
        <v>2029.3</v>
      </c>
      <c r="H60" s="57">
        <f>SUM(F60*G60/1000)</f>
        <v>2.2939207199999996</v>
      </c>
      <c r="I60" s="12">
        <f>F60/6*G60</f>
        <v>382.32011999999997</v>
      </c>
      <c r="J60" s="88"/>
      <c r="L60" s="18"/>
    </row>
    <row r="61" spans="1:21" s="86" customFormat="1" ht="15.75" hidden="1" customHeight="1">
      <c r="A61" s="26"/>
      <c r="B61" s="62" t="s">
        <v>108</v>
      </c>
      <c r="C61" s="63" t="s">
        <v>32</v>
      </c>
      <c r="D61" s="62" t="s">
        <v>142</v>
      </c>
      <c r="E61" s="64"/>
      <c r="F61" s="65">
        <v>3</v>
      </c>
      <c r="G61" s="12">
        <v>1582.05</v>
      </c>
      <c r="H61" s="57">
        <f>SUM(F61*G61/1000)</f>
        <v>4.7461499999999992</v>
      </c>
      <c r="I61" s="12">
        <v>0</v>
      </c>
      <c r="J61" s="88"/>
      <c r="L61" s="18"/>
    </row>
    <row r="62" spans="1:21" s="86" customFormat="1" ht="15.75" customHeight="1">
      <c r="A62" s="26"/>
      <c r="B62" s="76" t="s">
        <v>43</v>
      </c>
      <c r="C62" s="63"/>
      <c r="D62" s="62"/>
      <c r="E62" s="64"/>
      <c r="F62" s="65"/>
      <c r="G62" s="12"/>
      <c r="H62" s="66"/>
      <c r="I62" s="12"/>
      <c r="J62" s="88"/>
      <c r="L62" s="18"/>
    </row>
    <row r="63" spans="1:21" s="86" customFormat="1" ht="15.75" hidden="1" customHeight="1">
      <c r="A63" s="26"/>
      <c r="B63" s="62" t="s">
        <v>147</v>
      </c>
      <c r="C63" s="63" t="s">
        <v>51</v>
      </c>
      <c r="D63" s="62" t="s">
        <v>52</v>
      </c>
      <c r="E63" s="64">
        <v>203.1</v>
      </c>
      <c r="F63" s="67">
        <f>E63/100</f>
        <v>2.0310000000000001</v>
      </c>
      <c r="G63" s="12">
        <v>1040.8399999999999</v>
      </c>
      <c r="H63" s="66">
        <f>F63*G63/1000</f>
        <v>2.1139460399999996</v>
      </c>
      <c r="I63" s="12">
        <v>0</v>
      </c>
    </row>
    <row r="64" spans="1:21" s="86" customFormat="1" ht="15.75" customHeight="1">
      <c r="A64" s="26">
        <v>16</v>
      </c>
      <c r="B64" s="62" t="s">
        <v>87</v>
      </c>
      <c r="C64" s="63" t="s">
        <v>25</v>
      </c>
      <c r="D64" s="62" t="s">
        <v>30</v>
      </c>
      <c r="E64" s="64">
        <v>200</v>
      </c>
      <c r="F64" s="67">
        <f>E64*12</f>
        <v>2400</v>
      </c>
      <c r="G64" s="48">
        <v>1.2</v>
      </c>
      <c r="H64" s="65">
        <f>F64*G64/1000</f>
        <v>2.88</v>
      </c>
      <c r="I64" s="12">
        <f>F64/12*G64</f>
        <v>240</v>
      </c>
      <c r="J64" s="89"/>
      <c r="K64" s="89"/>
      <c r="L64" s="91"/>
      <c r="M64" s="91"/>
      <c r="N64" s="91"/>
      <c r="O64" s="91"/>
      <c r="P64" s="91"/>
      <c r="Q64" s="91"/>
      <c r="R64" s="91"/>
      <c r="S64" s="91"/>
      <c r="T64" s="91"/>
      <c r="U64" s="91"/>
    </row>
    <row r="65" spans="1:21" s="86" customFormat="1" ht="15.75" customHeight="1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  <c r="J65" s="91"/>
      <c r="K65" s="91"/>
      <c r="L65" s="91"/>
      <c r="M65" s="91"/>
      <c r="N65" s="91"/>
      <c r="O65" s="91"/>
      <c r="P65" s="91"/>
      <c r="Q65" s="91"/>
      <c r="S65" s="91"/>
      <c r="T65" s="91"/>
      <c r="U65" s="91"/>
    </row>
    <row r="66" spans="1:21" s="86" customFormat="1" ht="15.75" customHeight="1">
      <c r="A66" s="26">
        <v>17</v>
      </c>
      <c r="B66" s="13" t="s">
        <v>45</v>
      </c>
      <c r="C66" s="15" t="s">
        <v>86</v>
      </c>
      <c r="D66" s="13" t="s">
        <v>66</v>
      </c>
      <c r="E66" s="17">
        <v>7</v>
      </c>
      <c r="F66" s="67">
        <f>E66</f>
        <v>7</v>
      </c>
      <c r="G66" s="12">
        <v>291.68</v>
      </c>
      <c r="H66" s="68">
        <f t="shared" ref="H66:H84" si="9">SUM(F66*G66/1000)</f>
        <v>2.04176</v>
      </c>
      <c r="I66" s="12">
        <f>G66*9</f>
        <v>2625.12</v>
      </c>
      <c r="J66" s="92"/>
      <c r="K66" s="92"/>
      <c r="L66" s="92"/>
      <c r="M66" s="92"/>
      <c r="N66" s="92"/>
      <c r="O66" s="92"/>
      <c r="P66" s="92"/>
      <c r="Q66" s="92"/>
      <c r="R66" s="205"/>
      <c r="S66" s="205"/>
      <c r="T66" s="205"/>
      <c r="U66" s="205"/>
    </row>
    <row r="67" spans="1:21" s="86" customFormat="1" ht="15.75" hidden="1" customHeight="1">
      <c r="A67" s="26"/>
      <c r="B67" s="13" t="s">
        <v>46</v>
      </c>
      <c r="C67" s="15" t="s">
        <v>86</v>
      </c>
      <c r="D67" s="13" t="s">
        <v>66</v>
      </c>
      <c r="E67" s="17">
        <v>3</v>
      </c>
      <c r="F67" s="67">
        <f>E67</f>
        <v>3</v>
      </c>
      <c r="G67" s="12">
        <v>100.01</v>
      </c>
      <c r="H67" s="68">
        <f t="shared" si="9"/>
        <v>0.30003000000000002</v>
      </c>
      <c r="I67" s="12">
        <v>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pans="1:21" s="86" customFormat="1" ht="15.75" hidden="1" customHeight="1">
      <c r="A68" s="26"/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2">
        <v>278.24</v>
      </c>
      <c r="H68" s="68">
        <f t="shared" si="9"/>
        <v>39.523992000000007</v>
      </c>
      <c r="I68" s="12">
        <f>F68*G68</f>
        <v>39523.992000000006</v>
      </c>
    </row>
    <row r="69" spans="1:21" s="86" customFormat="1" ht="15.75" hidden="1" customHeight="1">
      <c r="A69" s="26"/>
      <c r="B69" s="13" t="s">
        <v>48</v>
      </c>
      <c r="C69" s="15" t="s">
        <v>110</v>
      </c>
      <c r="D69" s="13"/>
      <c r="E69" s="55">
        <v>14205</v>
      </c>
      <c r="F69" s="12">
        <f>SUM(E69/1000)</f>
        <v>14.205</v>
      </c>
      <c r="G69" s="12">
        <v>216.68</v>
      </c>
      <c r="H69" s="68">
        <f t="shared" si="9"/>
        <v>3.0779394</v>
      </c>
      <c r="I69" s="12">
        <f t="shared" ref="I69:I73" si="10">F69*G69</f>
        <v>3077.9394000000002</v>
      </c>
    </row>
    <row r="70" spans="1:21" s="86" customFormat="1" ht="15.75" hidden="1" customHeight="1">
      <c r="A70" s="26"/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2">
        <v>2720.94</v>
      </c>
      <c r="H70" s="68">
        <f t="shared" si="9"/>
        <v>57.983231399999994</v>
      </c>
      <c r="I70" s="12">
        <f t="shared" si="10"/>
        <v>57983.231399999997</v>
      </c>
    </row>
    <row r="71" spans="1:21" s="86" customFormat="1" ht="15.75" hidden="1" customHeight="1">
      <c r="A71" s="26"/>
      <c r="B71" s="69" t="s">
        <v>111</v>
      </c>
      <c r="C71" s="15" t="s">
        <v>33</v>
      </c>
      <c r="D71" s="13"/>
      <c r="E71" s="55">
        <v>7</v>
      </c>
      <c r="F71" s="12">
        <f>SUM(E71)</f>
        <v>7</v>
      </c>
      <c r="G71" s="12">
        <v>44.31</v>
      </c>
      <c r="H71" s="68">
        <f t="shared" si="9"/>
        <v>0.31017</v>
      </c>
      <c r="I71" s="12">
        <f t="shared" si="10"/>
        <v>310.17</v>
      </c>
    </row>
    <row r="72" spans="1:21" s="86" customFormat="1" ht="15.75" hidden="1" customHeight="1">
      <c r="A72" s="26"/>
      <c r="B72" s="69" t="s">
        <v>112</v>
      </c>
      <c r="C72" s="15" t="s">
        <v>33</v>
      </c>
      <c r="D72" s="13"/>
      <c r="E72" s="55">
        <v>7</v>
      </c>
      <c r="F72" s="12">
        <f>SUM(E72)</f>
        <v>7</v>
      </c>
      <c r="G72" s="12">
        <v>47.79</v>
      </c>
      <c r="H72" s="68">
        <f t="shared" si="9"/>
        <v>0.33452999999999999</v>
      </c>
      <c r="I72" s="12">
        <f t="shared" si="10"/>
        <v>334.53</v>
      </c>
    </row>
    <row r="73" spans="1:21" s="86" customFormat="1" ht="15.75" hidden="1" customHeight="1">
      <c r="A73" s="26"/>
      <c r="B73" s="13" t="s">
        <v>56</v>
      </c>
      <c r="C73" s="15" t="s">
        <v>57</v>
      </c>
      <c r="D73" s="13" t="s">
        <v>52</v>
      </c>
      <c r="E73" s="17">
        <v>6</v>
      </c>
      <c r="F73" s="12">
        <f>SUM(E73)</f>
        <v>6</v>
      </c>
      <c r="G73" s="12">
        <v>65.42</v>
      </c>
      <c r="H73" s="68">
        <f t="shared" si="9"/>
        <v>0.39251999999999998</v>
      </c>
      <c r="I73" s="12">
        <f t="shared" si="10"/>
        <v>392.52</v>
      </c>
    </row>
    <row r="74" spans="1:21" s="86" customFormat="1" ht="15.75" customHeight="1">
      <c r="A74" s="26"/>
      <c r="B74" s="98" t="s">
        <v>148</v>
      </c>
      <c r="C74" s="15"/>
      <c r="D74" s="13"/>
      <c r="E74" s="17"/>
      <c r="F74" s="48"/>
      <c r="G74" s="12"/>
      <c r="H74" s="68"/>
      <c r="I74" s="12"/>
    </row>
    <row r="75" spans="1:21" s="86" customFormat="1" ht="15.75" customHeight="1">
      <c r="A75" s="26">
        <v>18</v>
      </c>
      <c r="B75" s="13" t="s">
        <v>149</v>
      </c>
      <c r="C75" s="26" t="s">
        <v>150</v>
      </c>
      <c r="D75" s="13" t="s">
        <v>66</v>
      </c>
      <c r="E75" s="17">
        <v>3945</v>
      </c>
      <c r="F75" s="56">
        <f>SUM(E75)*12</f>
        <v>47340</v>
      </c>
      <c r="G75" s="12">
        <v>2.2799999999999998</v>
      </c>
      <c r="H75" s="68">
        <f t="shared" ref="H75:H76" si="11">SUM(F75*G75/1000)</f>
        <v>107.93519999999999</v>
      </c>
      <c r="I75" s="12">
        <f>F75/12*G75</f>
        <v>8994.5999999999985</v>
      </c>
    </row>
    <row r="76" spans="1:21" s="86" customFormat="1" ht="15.75" customHeight="1">
      <c r="A76" s="26">
        <v>19</v>
      </c>
      <c r="B76" s="72" t="s">
        <v>151</v>
      </c>
      <c r="C76" s="73" t="s">
        <v>86</v>
      </c>
      <c r="D76" s="13"/>
      <c r="E76" s="17">
        <v>1</v>
      </c>
      <c r="F76" s="56">
        <f>SUM(E76)*12</f>
        <v>12</v>
      </c>
      <c r="G76" s="12">
        <v>50.68</v>
      </c>
      <c r="H76" s="68">
        <f t="shared" si="11"/>
        <v>0.60815999999999992</v>
      </c>
      <c r="I76" s="12">
        <f>F76/12*G76</f>
        <v>50.68</v>
      </c>
    </row>
    <row r="77" spans="1:21" s="86" customFormat="1" ht="15.75" customHeight="1">
      <c r="A77" s="26"/>
      <c r="B77" s="98" t="s">
        <v>70</v>
      </c>
      <c r="C77" s="15"/>
      <c r="D77" s="13"/>
      <c r="E77" s="17"/>
      <c r="F77" s="12"/>
      <c r="G77" s="12"/>
      <c r="H77" s="68" t="s">
        <v>125</v>
      </c>
      <c r="I77" s="12"/>
    </row>
    <row r="78" spans="1:21" s="86" customFormat="1" ht="15.75" hidden="1" customHeight="1">
      <c r="A78" s="26"/>
      <c r="B78" s="13" t="s">
        <v>152</v>
      </c>
      <c r="C78" s="15" t="s">
        <v>31</v>
      </c>
      <c r="D78" s="13" t="s">
        <v>160</v>
      </c>
      <c r="E78" s="17">
        <v>2</v>
      </c>
      <c r="F78" s="56">
        <f t="shared" ref="F78" si="12">E78</f>
        <v>2</v>
      </c>
      <c r="G78" s="12">
        <v>1029.1199999999999</v>
      </c>
      <c r="H78" s="68">
        <f>G78*F78/1000</f>
        <v>2.0582399999999996</v>
      </c>
      <c r="I78" s="12">
        <v>0</v>
      </c>
    </row>
    <row r="79" spans="1:21" s="86" customFormat="1" ht="15.75" hidden="1" customHeight="1">
      <c r="A79" s="26"/>
      <c r="B79" s="13" t="s">
        <v>153</v>
      </c>
      <c r="C79" s="15" t="s">
        <v>154</v>
      </c>
      <c r="D79" s="13" t="s">
        <v>160</v>
      </c>
      <c r="E79" s="17">
        <v>1</v>
      </c>
      <c r="F79" s="12">
        <v>1</v>
      </c>
      <c r="G79" s="12">
        <v>735</v>
      </c>
      <c r="H79" s="68">
        <f t="shared" ref="H79:H82" si="13">SUM(F79*G79/1000)</f>
        <v>0.73499999999999999</v>
      </c>
      <c r="I79" s="12">
        <v>0</v>
      </c>
    </row>
    <row r="80" spans="1:21" s="86" customFormat="1" ht="15.75" hidden="1" customHeight="1">
      <c r="A80" s="77"/>
      <c r="B80" s="13" t="s">
        <v>71</v>
      </c>
      <c r="C80" s="15" t="s">
        <v>73</v>
      </c>
      <c r="D80" s="13" t="s">
        <v>160</v>
      </c>
      <c r="E80" s="17">
        <v>3</v>
      </c>
      <c r="F80" s="12">
        <f>E80/10</f>
        <v>0.3</v>
      </c>
      <c r="G80" s="12">
        <v>657.87</v>
      </c>
      <c r="H80" s="68">
        <f t="shared" si="13"/>
        <v>0.19736099999999998</v>
      </c>
      <c r="I80" s="12">
        <v>0</v>
      </c>
    </row>
    <row r="81" spans="1:9" s="86" customFormat="1" ht="15.75" customHeight="1">
      <c r="A81" s="77">
        <v>20</v>
      </c>
      <c r="B81" s="13" t="s">
        <v>72</v>
      </c>
      <c r="C81" s="15" t="s">
        <v>31</v>
      </c>
      <c r="D81" s="13" t="s">
        <v>160</v>
      </c>
      <c r="E81" s="17">
        <v>1</v>
      </c>
      <c r="F81" s="48">
        <v>1</v>
      </c>
      <c r="G81" s="12">
        <v>1118.72</v>
      </c>
      <c r="H81" s="68">
        <f t="shared" si="13"/>
        <v>1.1187199999999999</v>
      </c>
      <c r="I81" s="12">
        <f>G81*(2+4)</f>
        <v>6712.32</v>
      </c>
    </row>
    <row r="82" spans="1:9" s="86" customFormat="1" ht="15.75" hidden="1" customHeight="1">
      <c r="A82" s="77"/>
      <c r="B82" s="72" t="s">
        <v>155</v>
      </c>
      <c r="C82" s="73" t="s">
        <v>86</v>
      </c>
      <c r="D82" s="13" t="s">
        <v>160</v>
      </c>
      <c r="E82" s="17">
        <v>1</v>
      </c>
      <c r="F82" s="56">
        <f>E82</f>
        <v>1</v>
      </c>
      <c r="G82" s="12">
        <v>1605.83</v>
      </c>
      <c r="H82" s="68">
        <f t="shared" si="13"/>
        <v>1.6058299999999999</v>
      </c>
      <c r="I82" s="12">
        <v>0</v>
      </c>
    </row>
    <row r="83" spans="1:9" s="86" customFormat="1" ht="15.75" hidden="1" customHeight="1">
      <c r="A83" s="77"/>
      <c r="B83" s="70" t="s">
        <v>74</v>
      </c>
      <c r="C83" s="15"/>
      <c r="D83" s="13"/>
      <c r="E83" s="17"/>
      <c r="F83" s="12"/>
      <c r="G83" s="12" t="s">
        <v>125</v>
      </c>
      <c r="H83" s="68" t="s">
        <v>125</v>
      </c>
      <c r="I83" s="12"/>
    </row>
    <row r="84" spans="1:9" s="86" customFormat="1" ht="15.75" hidden="1" customHeight="1">
      <c r="A84" s="77">
        <v>22</v>
      </c>
      <c r="B84" s="39" t="s">
        <v>115</v>
      </c>
      <c r="C84" s="15" t="s">
        <v>75</v>
      </c>
      <c r="D84" s="13"/>
      <c r="E84" s="17"/>
      <c r="F84" s="12">
        <v>0.6</v>
      </c>
      <c r="G84" s="12">
        <v>3619.09</v>
      </c>
      <c r="H84" s="68">
        <f t="shared" si="9"/>
        <v>2.1714540000000002</v>
      </c>
      <c r="I84" s="12">
        <f>G84*0.06</f>
        <v>217.1454</v>
      </c>
    </row>
    <row r="85" spans="1:9" s="86" customFormat="1" ht="15.75" hidden="1" customHeight="1">
      <c r="A85" s="77"/>
      <c r="B85" s="98" t="s">
        <v>113</v>
      </c>
      <c r="C85" s="70"/>
      <c r="D85" s="28"/>
      <c r="E85" s="29"/>
      <c r="F85" s="59"/>
      <c r="G85" s="59"/>
      <c r="H85" s="71">
        <f>SUM(H57:H84)</f>
        <v>248.6642994</v>
      </c>
      <c r="I85" s="59"/>
    </row>
    <row r="86" spans="1:9" s="86" customFormat="1" ht="15.75" hidden="1" customHeight="1">
      <c r="A86" s="77"/>
      <c r="B86" s="53" t="s">
        <v>114</v>
      </c>
      <c r="C86" s="15"/>
      <c r="D86" s="13"/>
      <c r="E86" s="49"/>
      <c r="F86" s="12">
        <v>1</v>
      </c>
      <c r="G86" s="12">
        <v>32126.400000000001</v>
      </c>
      <c r="H86" s="68">
        <f>G86*F86/1000</f>
        <v>32.126400000000004</v>
      </c>
      <c r="I86" s="12">
        <v>0</v>
      </c>
    </row>
    <row r="87" spans="1:9" s="86" customFormat="1" ht="15.75" hidden="1" customHeight="1">
      <c r="A87" s="77"/>
      <c r="B87" s="53" t="s">
        <v>156</v>
      </c>
      <c r="C87" s="15"/>
      <c r="D87" s="13" t="s">
        <v>157</v>
      </c>
      <c r="E87" s="13"/>
      <c r="F87" s="12">
        <v>90</v>
      </c>
      <c r="G87" s="12">
        <v>700</v>
      </c>
      <c r="H87" s="68">
        <f>G87*F87/1000</f>
        <v>63</v>
      </c>
      <c r="I87" s="12">
        <v>0</v>
      </c>
    </row>
    <row r="88" spans="1:9" s="86" customFormat="1" ht="15.75" customHeight="1">
      <c r="A88" s="210" t="s">
        <v>166</v>
      </c>
      <c r="B88" s="211"/>
      <c r="C88" s="211"/>
      <c r="D88" s="211"/>
      <c r="E88" s="211"/>
      <c r="F88" s="211"/>
      <c r="G88" s="211"/>
      <c r="H88" s="211"/>
      <c r="I88" s="212"/>
    </row>
    <row r="89" spans="1:9" s="86" customFormat="1" ht="15.75" customHeight="1">
      <c r="A89" s="77">
        <v>21</v>
      </c>
      <c r="B89" s="53" t="s">
        <v>116</v>
      </c>
      <c r="C89" s="15" t="s">
        <v>53</v>
      </c>
      <c r="D89" s="93" t="s">
        <v>54</v>
      </c>
      <c r="E89" s="12">
        <v>3945</v>
      </c>
      <c r="F89" s="12">
        <f>SUM(E89*12)</f>
        <v>47340</v>
      </c>
      <c r="G89" s="12">
        <v>3.1</v>
      </c>
      <c r="H89" s="68">
        <f>SUM(F89*G89/1000)</f>
        <v>146.75399999999999</v>
      </c>
      <c r="I89" s="12">
        <f>F89/12*G89</f>
        <v>12229.5</v>
      </c>
    </row>
    <row r="90" spans="1:9" s="86" customFormat="1" ht="31.5" customHeight="1">
      <c r="A90" s="26">
        <v>22</v>
      </c>
      <c r="B90" s="13" t="s">
        <v>76</v>
      </c>
      <c r="C90" s="15"/>
      <c r="D90" s="93" t="s">
        <v>54</v>
      </c>
      <c r="E90" s="55">
        <f>E89</f>
        <v>3945</v>
      </c>
      <c r="F90" s="12">
        <f>E90*12</f>
        <v>47340</v>
      </c>
      <c r="G90" s="12">
        <v>3.5</v>
      </c>
      <c r="H90" s="68">
        <f>F90*G90/1000</f>
        <v>165.69</v>
      </c>
      <c r="I90" s="12">
        <f>F90/12*G90</f>
        <v>13807.5</v>
      </c>
    </row>
    <row r="91" spans="1:9" s="86" customFormat="1" ht="15.75" customHeight="1">
      <c r="A91" s="26"/>
      <c r="B91" s="31" t="s">
        <v>79</v>
      </c>
      <c r="C91" s="32"/>
      <c r="D91" s="14"/>
      <c r="E91" s="14"/>
      <c r="F91" s="17"/>
      <c r="G91" s="30"/>
      <c r="H91" s="71">
        <f>H90</f>
        <v>165.69</v>
      </c>
      <c r="I91" s="29">
        <f>SUM(I16+I17+I18+I25+I26+I37+I38+I39+I40+I41+I42+I43+I57+I58+I60+I64+I66+I75+I76+I81+I89+I90)</f>
        <v>89085.20749666667</v>
      </c>
    </row>
    <row r="92" spans="1:9" s="86" customFormat="1" ht="15.75" customHeight="1">
      <c r="A92" s="207" t="s">
        <v>59</v>
      </c>
      <c r="B92" s="208"/>
      <c r="C92" s="208"/>
      <c r="D92" s="208"/>
      <c r="E92" s="208"/>
      <c r="F92" s="208"/>
      <c r="G92" s="208"/>
      <c r="H92" s="208"/>
      <c r="I92" s="209"/>
    </row>
    <row r="93" spans="1:9" ht="31.5" customHeight="1">
      <c r="A93" s="26">
        <v>23</v>
      </c>
      <c r="B93" s="72" t="s">
        <v>161</v>
      </c>
      <c r="C93" s="73" t="s">
        <v>37</v>
      </c>
      <c r="D93" s="106"/>
      <c r="E93" s="16"/>
      <c r="F93" s="107">
        <v>0.02</v>
      </c>
      <c r="G93" s="107">
        <v>3724.37</v>
      </c>
      <c r="H93" s="108">
        <f>G93*F93/1000</f>
        <v>7.4487399999999995E-2</v>
      </c>
      <c r="I93" s="74">
        <f>G93*0.01</f>
        <v>37.243699999999997</v>
      </c>
    </row>
    <row r="94" spans="1:9" ht="31.5" customHeight="1">
      <c r="A94" s="26">
        <v>24</v>
      </c>
      <c r="B94" s="72" t="s">
        <v>78</v>
      </c>
      <c r="C94" s="73" t="s">
        <v>86</v>
      </c>
      <c r="D94" s="106"/>
      <c r="E94" s="16"/>
      <c r="F94" s="107">
        <v>3</v>
      </c>
      <c r="G94" s="107">
        <v>86.69</v>
      </c>
      <c r="H94" s="108">
        <f>G94*F94/1000</f>
        <v>0.26006999999999997</v>
      </c>
      <c r="I94" s="74">
        <f>G94</f>
        <v>86.69</v>
      </c>
    </row>
    <row r="95" spans="1:9" ht="31.5" customHeight="1">
      <c r="A95" s="26">
        <v>25</v>
      </c>
      <c r="B95" s="72" t="s">
        <v>167</v>
      </c>
      <c r="C95" s="73" t="s">
        <v>168</v>
      </c>
      <c r="D95" s="106"/>
      <c r="E95" s="16"/>
      <c r="F95" s="107">
        <v>1</v>
      </c>
      <c r="G95" s="107">
        <v>613.44000000000005</v>
      </c>
      <c r="H95" s="108">
        <f>G95*F95/1000</f>
        <v>0.6134400000000001</v>
      </c>
      <c r="I95" s="74">
        <f>G95</f>
        <v>613.44000000000005</v>
      </c>
    </row>
    <row r="96" spans="1:9" ht="31.5" customHeight="1">
      <c r="A96" s="26">
        <v>26</v>
      </c>
      <c r="B96" s="72" t="s">
        <v>169</v>
      </c>
      <c r="C96" s="109" t="s">
        <v>170</v>
      </c>
      <c r="D96" s="110"/>
      <c r="E96" s="107"/>
      <c r="F96" s="107">
        <v>3</v>
      </c>
      <c r="G96" s="107">
        <v>1272</v>
      </c>
      <c r="H96" s="108">
        <f t="shared" ref="H96:H98" si="14">G96*F96/1000</f>
        <v>3.8159999999999998</v>
      </c>
      <c r="I96" s="74">
        <f>G96*(1+2)</f>
        <v>3816</v>
      </c>
    </row>
    <row r="97" spans="1:9" ht="31.5" customHeight="1">
      <c r="A97" s="26">
        <v>27</v>
      </c>
      <c r="B97" s="72" t="s">
        <v>171</v>
      </c>
      <c r="C97" s="73" t="s">
        <v>172</v>
      </c>
      <c r="D97" s="110"/>
      <c r="E97" s="107"/>
      <c r="F97" s="107">
        <v>1</v>
      </c>
      <c r="G97" s="107">
        <v>56.34</v>
      </c>
      <c r="H97" s="107">
        <f t="shared" si="14"/>
        <v>5.6340000000000001E-2</v>
      </c>
      <c r="I97" s="74">
        <f t="shared" ref="I97:I98" si="15">G97</f>
        <v>56.34</v>
      </c>
    </row>
    <row r="98" spans="1:9" ht="31.5" customHeight="1">
      <c r="A98" s="26">
        <v>28</v>
      </c>
      <c r="B98" s="111" t="s">
        <v>173</v>
      </c>
      <c r="C98" s="112" t="s">
        <v>86</v>
      </c>
      <c r="D98" s="110"/>
      <c r="E98" s="107"/>
      <c r="F98" s="107">
        <v>1</v>
      </c>
      <c r="G98" s="107">
        <v>2388.9</v>
      </c>
      <c r="H98" s="107">
        <f t="shared" si="14"/>
        <v>2.3889</v>
      </c>
      <c r="I98" s="74">
        <f t="shared" si="15"/>
        <v>2388.9</v>
      </c>
    </row>
    <row r="99" spans="1:9" ht="15.75" customHeight="1">
      <c r="A99" s="26">
        <v>29</v>
      </c>
      <c r="B99" s="72" t="s">
        <v>174</v>
      </c>
      <c r="C99" s="73" t="s">
        <v>175</v>
      </c>
      <c r="D99" s="110"/>
      <c r="E99" s="107"/>
      <c r="F99" s="107">
        <v>0.03</v>
      </c>
      <c r="G99" s="107">
        <v>7709.44</v>
      </c>
      <c r="H99" s="108">
        <f>G99*F99/1000</f>
        <v>0.23128319999999997</v>
      </c>
      <c r="I99" s="74">
        <f>G99*0.03</f>
        <v>231.28319999999997</v>
      </c>
    </row>
    <row r="100" spans="1:9" ht="32.25" customHeight="1">
      <c r="A100" s="26">
        <v>30</v>
      </c>
      <c r="B100" s="72" t="s">
        <v>198</v>
      </c>
      <c r="C100" s="73" t="s">
        <v>86</v>
      </c>
      <c r="D100" s="110"/>
      <c r="E100" s="107"/>
      <c r="F100" s="107"/>
      <c r="G100" s="107">
        <v>419.84</v>
      </c>
      <c r="H100" s="108"/>
      <c r="I100" s="74">
        <f>G100*1</f>
        <v>419.84</v>
      </c>
    </row>
    <row r="101" spans="1:9" ht="16.5" customHeight="1">
      <c r="A101" s="26"/>
      <c r="B101" s="37" t="s">
        <v>50</v>
      </c>
      <c r="C101" s="33"/>
      <c r="D101" s="40"/>
      <c r="E101" s="33">
        <v>1</v>
      </c>
      <c r="F101" s="33"/>
      <c r="G101" s="33"/>
      <c r="H101" s="33"/>
      <c r="I101" s="29">
        <f>SUM(I93:I100)</f>
        <v>7649.7368999999999</v>
      </c>
    </row>
    <row r="102" spans="1:9" ht="16.5" customHeight="1">
      <c r="A102" s="26"/>
      <c r="B102" s="39" t="s">
        <v>77</v>
      </c>
      <c r="C102" s="14"/>
      <c r="D102" s="14"/>
      <c r="E102" s="34"/>
      <c r="F102" s="34"/>
      <c r="G102" s="35"/>
      <c r="H102" s="35"/>
      <c r="I102" s="16">
        <v>0</v>
      </c>
    </row>
    <row r="103" spans="1:9" ht="15.75" customHeight="1">
      <c r="A103" s="41"/>
      <c r="B103" s="38" t="s">
        <v>162</v>
      </c>
      <c r="C103" s="30"/>
      <c r="D103" s="30"/>
      <c r="E103" s="30"/>
      <c r="F103" s="30"/>
      <c r="G103" s="30"/>
      <c r="H103" s="30"/>
      <c r="I103" s="36">
        <f>I91+I101</f>
        <v>96734.944396666673</v>
      </c>
    </row>
    <row r="104" spans="1:9" ht="15.75" customHeight="1">
      <c r="A104" s="206" t="s">
        <v>217</v>
      </c>
      <c r="B104" s="206"/>
      <c r="C104" s="206"/>
      <c r="D104" s="206"/>
      <c r="E104" s="206"/>
      <c r="F104" s="206"/>
      <c r="G104" s="206"/>
      <c r="H104" s="206"/>
      <c r="I104" s="206"/>
    </row>
    <row r="105" spans="1:9" ht="15.75" customHeight="1">
      <c r="A105" s="78"/>
      <c r="B105" s="213" t="s">
        <v>218</v>
      </c>
      <c r="C105" s="213"/>
      <c r="D105" s="213"/>
      <c r="E105" s="213"/>
      <c r="F105" s="213"/>
      <c r="G105" s="213"/>
      <c r="H105" s="52"/>
      <c r="I105" s="3"/>
    </row>
    <row r="106" spans="1:9" ht="15.75" customHeight="1">
      <c r="A106" s="96"/>
      <c r="B106" s="214" t="s">
        <v>6</v>
      </c>
      <c r="C106" s="214"/>
      <c r="D106" s="214"/>
      <c r="E106" s="214"/>
      <c r="F106" s="214"/>
      <c r="G106" s="214"/>
      <c r="H106" s="21"/>
      <c r="I106" s="5"/>
    </row>
    <row r="107" spans="1:9" ht="6.7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215" t="s">
        <v>7</v>
      </c>
      <c r="B108" s="215"/>
      <c r="C108" s="215"/>
      <c r="D108" s="215"/>
      <c r="E108" s="215"/>
      <c r="F108" s="215"/>
      <c r="G108" s="215"/>
      <c r="H108" s="215"/>
      <c r="I108" s="215"/>
    </row>
    <row r="109" spans="1:9" ht="15.75" customHeight="1">
      <c r="A109" s="215" t="s">
        <v>8</v>
      </c>
      <c r="B109" s="215"/>
      <c r="C109" s="215"/>
      <c r="D109" s="215"/>
      <c r="E109" s="215"/>
      <c r="F109" s="215"/>
      <c r="G109" s="215"/>
      <c r="H109" s="215"/>
      <c r="I109" s="215"/>
    </row>
    <row r="110" spans="1:9" ht="15.75" customHeight="1">
      <c r="A110" s="216" t="s">
        <v>60</v>
      </c>
      <c r="B110" s="216"/>
      <c r="C110" s="216"/>
      <c r="D110" s="216"/>
      <c r="E110" s="216"/>
      <c r="F110" s="216"/>
      <c r="G110" s="216"/>
      <c r="H110" s="216"/>
      <c r="I110" s="216"/>
    </row>
    <row r="111" spans="1:9" ht="15.75" customHeight="1">
      <c r="A111" s="10"/>
    </row>
    <row r="112" spans="1:9" ht="15.75" customHeight="1">
      <c r="A112" s="200" t="s">
        <v>9</v>
      </c>
      <c r="B112" s="200"/>
      <c r="C112" s="200"/>
      <c r="D112" s="200"/>
      <c r="E112" s="200"/>
      <c r="F112" s="200"/>
      <c r="G112" s="200"/>
      <c r="H112" s="200"/>
      <c r="I112" s="200"/>
    </row>
    <row r="113" spans="1:9" ht="8.25" customHeight="1">
      <c r="A113" s="4"/>
    </row>
    <row r="114" spans="1:9" ht="15.75" customHeight="1">
      <c r="B114" s="97" t="s">
        <v>10</v>
      </c>
      <c r="C114" s="218" t="s">
        <v>83</v>
      </c>
      <c r="D114" s="218"/>
      <c r="E114" s="218"/>
      <c r="F114" s="50"/>
      <c r="I114" s="95"/>
    </row>
    <row r="115" spans="1:9" ht="15.75" customHeight="1">
      <c r="A115" s="96"/>
      <c r="C115" s="214" t="s">
        <v>11</v>
      </c>
      <c r="D115" s="214"/>
      <c r="E115" s="214"/>
      <c r="F115" s="21"/>
      <c r="I115" s="94" t="s">
        <v>12</v>
      </c>
    </row>
    <row r="116" spans="1:9" ht="15.75" customHeight="1">
      <c r="A116" s="22"/>
      <c r="C116" s="11"/>
      <c r="D116" s="11"/>
      <c r="G116" s="11"/>
      <c r="H116" s="11"/>
    </row>
    <row r="117" spans="1:9" ht="15.75" customHeight="1">
      <c r="B117" s="97" t="s">
        <v>13</v>
      </c>
      <c r="C117" s="219"/>
      <c r="D117" s="219"/>
      <c r="E117" s="219"/>
      <c r="F117" s="51"/>
      <c r="I117" s="95"/>
    </row>
    <row r="118" spans="1:9" ht="15.75" customHeight="1">
      <c r="A118" s="96"/>
      <c r="C118" s="220" t="s">
        <v>11</v>
      </c>
      <c r="D118" s="220"/>
      <c r="E118" s="220"/>
      <c r="F118" s="96"/>
      <c r="I118" s="94" t="s">
        <v>12</v>
      </c>
    </row>
    <row r="119" spans="1:9" ht="15.75" customHeight="1">
      <c r="A119" s="4" t="s">
        <v>14</v>
      </c>
    </row>
    <row r="120" spans="1:9" ht="15.75" customHeight="1">
      <c r="A120" s="221" t="s">
        <v>15</v>
      </c>
      <c r="B120" s="221"/>
      <c r="C120" s="221"/>
      <c r="D120" s="221"/>
      <c r="E120" s="221"/>
      <c r="F120" s="221"/>
      <c r="G120" s="221"/>
      <c r="H120" s="221"/>
      <c r="I120" s="221"/>
    </row>
    <row r="121" spans="1:9" ht="45" customHeight="1">
      <c r="A121" s="217" t="s">
        <v>16</v>
      </c>
      <c r="B121" s="217"/>
      <c r="C121" s="217"/>
      <c r="D121" s="217"/>
      <c r="E121" s="217"/>
      <c r="F121" s="217"/>
      <c r="G121" s="217"/>
      <c r="H121" s="217"/>
      <c r="I121" s="217"/>
    </row>
    <row r="122" spans="1:9" ht="30" customHeight="1">
      <c r="A122" s="217" t="s">
        <v>17</v>
      </c>
      <c r="B122" s="217"/>
      <c r="C122" s="217"/>
      <c r="D122" s="217"/>
      <c r="E122" s="217"/>
      <c r="F122" s="217"/>
      <c r="G122" s="217"/>
      <c r="H122" s="217"/>
      <c r="I122" s="217"/>
    </row>
    <row r="123" spans="1:9" ht="30" customHeight="1">
      <c r="A123" s="217" t="s">
        <v>21</v>
      </c>
      <c r="B123" s="217"/>
      <c r="C123" s="217"/>
      <c r="D123" s="217"/>
      <c r="E123" s="217"/>
      <c r="F123" s="217"/>
      <c r="G123" s="217"/>
      <c r="H123" s="217"/>
      <c r="I123" s="217"/>
    </row>
    <row r="124" spans="1:9" ht="15" customHeight="1">
      <c r="A124" s="217" t="s">
        <v>20</v>
      </c>
      <c r="B124" s="217"/>
      <c r="C124" s="217"/>
      <c r="D124" s="217"/>
      <c r="E124" s="217"/>
      <c r="F124" s="217"/>
      <c r="G124" s="217"/>
      <c r="H124" s="217"/>
      <c r="I124" s="217"/>
    </row>
  </sheetData>
  <autoFilter ref="I12:I62"/>
  <mergeCells count="29">
    <mergeCell ref="A120:I120"/>
    <mergeCell ref="A121:I121"/>
    <mergeCell ref="A122:I122"/>
    <mergeCell ref="A123:I123"/>
    <mergeCell ref="A124:I124"/>
    <mergeCell ref="R66:U66"/>
    <mergeCell ref="C118:E118"/>
    <mergeCell ref="A92:I92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88:I88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5:I55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6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1"/>
  <sheetViews>
    <sheetView topLeftCell="A74" workbookViewId="0">
      <selection activeCell="C6" sqref="C6"/>
    </sheetView>
  </sheetViews>
  <sheetFormatPr defaultRowHeight="15"/>
  <cols>
    <col min="2" max="2" width="53.7109375" customWidth="1"/>
    <col min="3" max="3" width="18.140625" customWidth="1"/>
    <col min="4" max="4" width="17.85546875" customWidth="1"/>
    <col min="5" max="6" width="0" hidden="1" customWidth="1"/>
    <col min="7" max="7" width="18" customWidth="1"/>
    <col min="8" max="8" width="0" hidden="1" customWidth="1"/>
    <col min="9" max="9" width="17.140625" customWidth="1"/>
  </cols>
  <sheetData>
    <row r="1" spans="1:9" ht="15.75">
      <c r="A1" s="24" t="s">
        <v>81</v>
      </c>
      <c r="I1" s="23"/>
    </row>
    <row r="2" spans="1:9" ht="15.75">
      <c r="A2" s="25" t="s">
        <v>61</v>
      </c>
    </row>
    <row r="3" spans="1:9" ht="15.75">
      <c r="A3" s="195" t="s">
        <v>236</v>
      </c>
      <c r="B3" s="195"/>
      <c r="C3" s="195"/>
      <c r="D3" s="195"/>
      <c r="E3" s="195"/>
      <c r="F3" s="195"/>
      <c r="G3" s="195"/>
      <c r="H3" s="195"/>
      <c r="I3" s="195"/>
    </row>
    <row r="4" spans="1:9" ht="34.5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9" ht="15.75">
      <c r="A5" s="195" t="s">
        <v>177</v>
      </c>
      <c r="B5" s="197"/>
      <c r="C5" s="197"/>
      <c r="D5" s="197"/>
      <c r="E5" s="197"/>
      <c r="F5" s="197"/>
      <c r="G5" s="197"/>
      <c r="H5" s="197"/>
      <c r="I5" s="197"/>
    </row>
    <row r="6" spans="1:9" ht="15.75">
      <c r="A6" s="2"/>
      <c r="B6" s="101"/>
      <c r="C6" s="101"/>
      <c r="D6" s="101"/>
      <c r="E6" s="101"/>
      <c r="F6" s="101"/>
      <c r="G6" s="101"/>
      <c r="H6" s="101"/>
      <c r="I6" s="27">
        <v>43220</v>
      </c>
    </row>
    <row r="7" spans="1:9" ht="15.75">
      <c r="B7" s="103"/>
      <c r="C7" s="103"/>
      <c r="D7" s="103"/>
      <c r="E7" s="3"/>
      <c r="F7" s="3"/>
      <c r="G7" s="3"/>
      <c r="H7" s="3"/>
    </row>
    <row r="8" spans="1:9" ht="84" customHeight="1">
      <c r="A8" s="198" t="s">
        <v>136</v>
      </c>
      <c r="B8" s="198"/>
      <c r="C8" s="198"/>
      <c r="D8" s="198"/>
      <c r="E8" s="198"/>
      <c r="F8" s="198"/>
      <c r="G8" s="198"/>
      <c r="H8" s="198"/>
      <c r="I8" s="198"/>
    </row>
    <row r="9" spans="1:9" ht="15.75">
      <c r="A9" s="4"/>
    </row>
    <row r="10" spans="1:9" ht="64.5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</row>
    <row r="11" spans="1:9" ht="15.75">
      <c r="A11" s="4"/>
    </row>
    <row r="12" spans="1:9" ht="63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</row>
    <row r="15" spans="1:9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</row>
    <row r="16" spans="1:9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91</v>
      </c>
      <c r="C19" s="54" t="s">
        <v>92</v>
      </c>
      <c r="D19" s="53" t="s">
        <v>93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</row>
    <row r="20" spans="1:9" hidden="1">
      <c r="A20" s="26"/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/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/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 t="shared" ref="I22:I24" si="1">F22*G22</f>
        <v>2269.2776399999998</v>
      </c>
    </row>
    <row r="23" spans="1:9" hidden="1">
      <c r="A23" s="26"/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 t="shared" si="1"/>
        <v>20.490624</v>
      </c>
    </row>
    <row r="24" spans="1:9" hidden="1">
      <c r="A24" s="26"/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 t="shared" si="1"/>
        <v>196.7184</v>
      </c>
    </row>
    <row r="25" spans="1:9">
      <c r="A25" s="26">
        <v>4</v>
      </c>
      <c r="B25" s="53" t="s">
        <v>63</v>
      </c>
      <c r="C25" s="54" t="s">
        <v>33</v>
      </c>
      <c r="D25" s="53" t="s">
        <v>141</v>
      </c>
      <c r="E25" s="55">
        <v>0.1</v>
      </c>
      <c r="F25" s="56">
        <f>SUM(E25*155)</f>
        <v>15.5</v>
      </c>
      <c r="G25" s="56">
        <v>264.85000000000002</v>
      </c>
      <c r="H25" s="57">
        <f>SUM(F25*G25/1000)</f>
        <v>4.105175</v>
      </c>
      <c r="I25" s="12">
        <f>F25/12*G25</f>
        <v>342.09791666666672</v>
      </c>
    </row>
    <row r="26" spans="1:9">
      <c r="A26" s="26">
        <v>5</v>
      </c>
      <c r="B26" s="61" t="s">
        <v>23</v>
      </c>
      <c r="C26" s="54" t="s">
        <v>24</v>
      </c>
      <c r="D26" s="61" t="s">
        <v>125</v>
      </c>
      <c r="E26" s="55">
        <v>3945</v>
      </c>
      <c r="F26" s="56">
        <f>SUM(E26*12)</f>
        <v>47340</v>
      </c>
      <c r="G26" s="56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02" t="s">
        <v>158</v>
      </c>
      <c r="B27" s="203"/>
      <c r="C27" s="203"/>
      <c r="D27" s="203"/>
      <c r="E27" s="203"/>
      <c r="F27" s="203"/>
      <c r="G27" s="203"/>
      <c r="H27" s="203"/>
      <c r="I27" s="204"/>
    </row>
    <row r="28" spans="1:9" hidden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idden="1">
      <c r="A29" s="26"/>
      <c r="B29" s="53" t="s">
        <v>99</v>
      </c>
      <c r="C29" s="54" t="s">
        <v>29</v>
      </c>
      <c r="D29" s="53" t="s">
        <v>138</v>
      </c>
      <c r="E29" s="56">
        <v>355.5</v>
      </c>
      <c r="F29" s="56">
        <f>SUM(E29*48/1000)</f>
        <v>17.064</v>
      </c>
      <c r="G29" s="56">
        <v>204.44</v>
      </c>
      <c r="H29" s="57">
        <f t="shared" ref="H29:H35" si="2">SUM(F29*G29/1000)</f>
        <v>3.4885641599999997</v>
      </c>
      <c r="I29" s="12">
        <f>F29/6*G29</f>
        <v>581.42736000000002</v>
      </c>
    </row>
    <row r="30" spans="1:9" ht="45" hidden="1">
      <c r="A30" s="26"/>
      <c r="B30" s="53" t="s">
        <v>127</v>
      </c>
      <c r="C30" s="54" t="s">
        <v>100</v>
      </c>
      <c r="D30" s="53" t="s">
        <v>139</v>
      </c>
      <c r="E30" s="56">
        <v>111.6</v>
      </c>
      <c r="F30" s="56">
        <f>SUM(E30*48/1000)</f>
        <v>5.3567999999999989</v>
      </c>
      <c r="G30" s="56">
        <v>339.21</v>
      </c>
      <c r="H30" s="57">
        <f t="shared" si="2"/>
        <v>1.8170801279999995</v>
      </c>
      <c r="I30" s="12">
        <f t="shared" ref="I30:I33" si="3">F30/6*G30</f>
        <v>302.84668799999992</v>
      </c>
    </row>
    <row r="31" spans="1:9" hidden="1">
      <c r="A31" s="26"/>
      <c r="B31" s="53" t="s">
        <v>27</v>
      </c>
      <c r="C31" s="54" t="s">
        <v>100</v>
      </c>
      <c r="D31" s="53" t="s">
        <v>52</v>
      </c>
      <c r="E31" s="56">
        <v>355.5</v>
      </c>
      <c r="F31" s="56">
        <f>SUM(E31/1000)</f>
        <v>0.35549999999999998</v>
      </c>
      <c r="G31" s="56">
        <v>3961.23</v>
      </c>
      <c r="H31" s="57">
        <f t="shared" si="2"/>
        <v>1.408217265</v>
      </c>
      <c r="I31" s="12">
        <f>F31*G31</f>
        <v>1408.217265</v>
      </c>
    </row>
    <row r="32" spans="1:9" hidden="1">
      <c r="A32" s="26"/>
      <c r="B32" s="53" t="s">
        <v>118</v>
      </c>
      <c r="C32" s="54" t="s">
        <v>39</v>
      </c>
      <c r="D32" s="53" t="s">
        <v>140</v>
      </c>
      <c r="E32" s="56">
        <v>6</v>
      </c>
      <c r="F32" s="56">
        <f>SUM(E32*48/100)</f>
        <v>2.88</v>
      </c>
      <c r="G32" s="56">
        <v>1707.63</v>
      </c>
      <c r="H32" s="57">
        <f>G32*F32/1000</f>
        <v>4.9179744000000003</v>
      </c>
      <c r="I32" s="12">
        <f t="shared" si="3"/>
        <v>819.66240000000005</v>
      </c>
    </row>
    <row r="33" spans="1:9" hidden="1">
      <c r="A33" s="26"/>
      <c r="B33" s="53" t="s">
        <v>101</v>
      </c>
      <c r="C33" s="54" t="s">
        <v>31</v>
      </c>
      <c r="D33" s="53" t="s">
        <v>62</v>
      </c>
      <c r="E33" s="60">
        <f>1/3</f>
        <v>0.33333333333333331</v>
      </c>
      <c r="F33" s="56">
        <f>155/3</f>
        <v>51.666666666666664</v>
      </c>
      <c r="G33" s="56">
        <v>74.349999999999994</v>
      </c>
      <c r="H33" s="57">
        <f>SUM(G33*155/3/1000)</f>
        <v>3.8414166666666665</v>
      </c>
      <c r="I33" s="12">
        <f t="shared" si="3"/>
        <v>640.23611111111109</v>
      </c>
    </row>
    <row r="34" spans="1:9" hidden="1">
      <c r="A34" s="26"/>
      <c r="B34" s="53" t="s">
        <v>64</v>
      </c>
      <c r="C34" s="54" t="s">
        <v>33</v>
      </c>
      <c r="D34" s="53" t="s">
        <v>66</v>
      </c>
      <c r="E34" s="55"/>
      <c r="F34" s="56">
        <v>1</v>
      </c>
      <c r="G34" s="56">
        <v>250.92</v>
      </c>
      <c r="H34" s="57">
        <f t="shared" si="2"/>
        <v>0.25091999999999998</v>
      </c>
      <c r="I34" s="12">
        <v>0</v>
      </c>
    </row>
    <row r="35" spans="1:9" hidden="1">
      <c r="A35" s="26"/>
      <c r="B35" s="53" t="s">
        <v>65</v>
      </c>
      <c r="C35" s="54" t="s">
        <v>32</v>
      </c>
      <c r="D35" s="53" t="s">
        <v>66</v>
      </c>
      <c r="E35" s="55"/>
      <c r="F35" s="56">
        <v>1</v>
      </c>
      <c r="G35" s="56">
        <v>1490.33</v>
      </c>
      <c r="H35" s="57">
        <f t="shared" si="2"/>
        <v>1.4903299999999999</v>
      </c>
      <c r="I35" s="12">
        <v>0</v>
      </c>
    </row>
    <row r="36" spans="1:9">
      <c r="A36" s="26"/>
      <c r="B36" s="75" t="s">
        <v>5</v>
      </c>
      <c r="C36" s="54"/>
      <c r="D36" s="53"/>
      <c r="E36" s="55"/>
      <c r="F36" s="56"/>
      <c r="G36" s="56"/>
      <c r="H36" s="57" t="s">
        <v>125</v>
      </c>
      <c r="I36" s="12"/>
    </row>
    <row r="37" spans="1:9">
      <c r="A37" s="26">
        <v>6</v>
      </c>
      <c r="B37" s="53" t="s">
        <v>26</v>
      </c>
      <c r="C37" s="54" t="s">
        <v>32</v>
      </c>
      <c r="D37" s="53"/>
      <c r="E37" s="55"/>
      <c r="F37" s="56">
        <v>3</v>
      </c>
      <c r="G37" s="56">
        <v>2003</v>
      </c>
      <c r="H37" s="57">
        <f t="shared" ref="H37:H43" si="4">SUM(F37*G37/1000)</f>
        <v>6.0090000000000003</v>
      </c>
      <c r="I37" s="12">
        <f t="shared" ref="I37:I43" si="5">F37/6*G37</f>
        <v>1001.5</v>
      </c>
    </row>
    <row r="38" spans="1:9">
      <c r="A38" s="26">
        <v>7</v>
      </c>
      <c r="B38" s="53" t="s">
        <v>143</v>
      </c>
      <c r="C38" s="54" t="s">
        <v>29</v>
      </c>
      <c r="D38" s="53" t="s">
        <v>102</v>
      </c>
      <c r="E38" s="55">
        <v>111.6</v>
      </c>
      <c r="F38" s="56">
        <f>E38*30/1000</f>
        <v>3.3479999999999999</v>
      </c>
      <c r="G38" s="56">
        <v>2757.78</v>
      </c>
      <c r="H38" s="57">
        <f>G38*F38/1000</f>
        <v>9.23304744</v>
      </c>
      <c r="I38" s="12">
        <f t="shared" si="5"/>
        <v>1538.84124</v>
      </c>
    </row>
    <row r="39" spans="1:9">
      <c r="A39" s="26">
        <v>8</v>
      </c>
      <c r="B39" s="53" t="s">
        <v>67</v>
      </c>
      <c r="C39" s="54" t="s">
        <v>29</v>
      </c>
      <c r="D39" s="53" t="s">
        <v>103</v>
      </c>
      <c r="E39" s="56">
        <v>111.6</v>
      </c>
      <c r="F39" s="56">
        <f>SUM(E39*155/1000)</f>
        <v>17.297999999999998</v>
      </c>
      <c r="G39" s="56">
        <v>460.02</v>
      </c>
      <c r="H39" s="57">
        <f t="shared" si="4"/>
        <v>7.9574259599999984</v>
      </c>
      <c r="I39" s="12">
        <f t="shared" si="5"/>
        <v>1326.2376599999998</v>
      </c>
    </row>
    <row r="40" spans="1:9" ht="45">
      <c r="A40" s="26">
        <v>9</v>
      </c>
      <c r="B40" s="53" t="s">
        <v>80</v>
      </c>
      <c r="C40" s="54" t="s">
        <v>100</v>
      </c>
      <c r="D40" s="53" t="s">
        <v>102</v>
      </c>
      <c r="E40" s="56">
        <v>111.6</v>
      </c>
      <c r="F40" s="56">
        <f>SUM(E40*30/1000)</f>
        <v>3.3479999999999999</v>
      </c>
      <c r="G40" s="56">
        <v>7611.16</v>
      </c>
      <c r="H40" s="57">
        <f t="shared" si="4"/>
        <v>25.482163679999999</v>
      </c>
      <c r="I40" s="12">
        <f t="shared" si="5"/>
        <v>4247.0272799999993</v>
      </c>
    </row>
    <row r="41" spans="1:9">
      <c r="A41" s="26">
        <v>10</v>
      </c>
      <c r="B41" s="53" t="s">
        <v>104</v>
      </c>
      <c r="C41" s="54" t="s">
        <v>100</v>
      </c>
      <c r="D41" s="53" t="s">
        <v>119</v>
      </c>
      <c r="E41" s="56">
        <v>111.6</v>
      </c>
      <c r="F41" s="56">
        <f>SUM(E41*24/1000)</f>
        <v>2.6783999999999994</v>
      </c>
      <c r="G41" s="56">
        <v>562.25</v>
      </c>
      <c r="H41" s="57">
        <f t="shared" si="4"/>
        <v>1.5059303999999998</v>
      </c>
      <c r="I41" s="12">
        <f>(F41/7.5*1.5)*G41</f>
        <v>301.18607999999995</v>
      </c>
    </row>
    <row r="42" spans="1:9">
      <c r="A42" s="26">
        <v>11</v>
      </c>
      <c r="B42" s="53" t="s">
        <v>68</v>
      </c>
      <c r="C42" s="54" t="s">
        <v>33</v>
      </c>
      <c r="D42" s="53"/>
      <c r="E42" s="55"/>
      <c r="F42" s="56">
        <v>0.6</v>
      </c>
      <c r="G42" s="56">
        <v>974.83</v>
      </c>
      <c r="H42" s="57">
        <f t="shared" si="4"/>
        <v>0.58489800000000003</v>
      </c>
      <c r="I42" s="12">
        <f>(F42/7.5*1.5)*G42</f>
        <v>116.9796</v>
      </c>
    </row>
    <row r="43" spans="1:9" ht="30">
      <c r="A43" s="26">
        <v>12</v>
      </c>
      <c r="B43" s="72" t="s">
        <v>144</v>
      </c>
      <c r="C43" s="73" t="s">
        <v>29</v>
      </c>
      <c r="D43" s="53" t="s">
        <v>145</v>
      </c>
      <c r="E43" s="55">
        <v>1.2</v>
      </c>
      <c r="F43" s="56">
        <f>SUM(E43*12/1000)</f>
        <v>1.4399999999999998E-2</v>
      </c>
      <c r="G43" s="56">
        <v>260.2</v>
      </c>
      <c r="H43" s="57">
        <f t="shared" si="4"/>
        <v>3.7468799999999993E-3</v>
      </c>
      <c r="I43" s="12">
        <f t="shared" si="5"/>
        <v>0.62447999999999992</v>
      </c>
    </row>
    <row r="44" spans="1:9" ht="21" customHeight="1">
      <c r="A44" s="202" t="s">
        <v>159</v>
      </c>
      <c r="B44" s="203"/>
      <c r="C44" s="203"/>
      <c r="D44" s="203"/>
      <c r="E44" s="203"/>
      <c r="F44" s="203"/>
      <c r="G44" s="203"/>
      <c r="H44" s="203"/>
      <c r="I44" s="204"/>
    </row>
    <row r="45" spans="1:9" ht="28.5" hidden="1" customHeight="1">
      <c r="A45" s="26"/>
      <c r="B45" s="53" t="s">
        <v>121</v>
      </c>
      <c r="C45" s="54" t="s">
        <v>100</v>
      </c>
      <c r="D45" s="53" t="s">
        <v>41</v>
      </c>
      <c r="E45" s="55">
        <v>1030.4000000000001</v>
      </c>
      <c r="F45" s="56">
        <f>SUM(E45*2/1000)</f>
        <v>2.0608</v>
      </c>
      <c r="G45" s="12">
        <v>1114.1300000000001</v>
      </c>
      <c r="H45" s="57">
        <f t="shared" ref="H45:H54" si="6">SUM(F45*G45/1000)</f>
        <v>2.2959991039999998</v>
      </c>
      <c r="I45" s="12">
        <f t="shared" ref="I45:I47" si="7">F45/2*G45</f>
        <v>1147.999552</v>
      </c>
    </row>
    <row r="46" spans="1:9" ht="30" hidden="1" customHeight="1">
      <c r="A46" s="26"/>
      <c r="B46" s="53" t="s">
        <v>34</v>
      </c>
      <c r="C46" s="54" t="s">
        <v>100</v>
      </c>
      <c r="D46" s="53" t="s">
        <v>41</v>
      </c>
      <c r="E46" s="55">
        <v>132</v>
      </c>
      <c r="F46" s="56">
        <f>E46*2/1000</f>
        <v>0.26400000000000001</v>
      </c>
      <c r="G46" s="12">
        <v>4419.05</v>
      </c>
      <c r="H46" s="57">
        <f t="shared" si="6"/>
        <v>1.1666292</v>
      </c>
      <c r="I46" s="12">
        <f t="shared" si="7"/>
        <v>583.31460000000004</v>
      </c>
    </row>
    <row r="47" spans="1:9" ht="28.5" hidden="1" customHeight="1">
      <c r="A47" s="26"/>
      <c r="B47" s="53" t="s">
        <v>35</v>
      </c>
      <c r="C47" s="54" t="s">
        <v>100</v>
      </c>
      <c r="D47" s="53" t="s">
        <v>41</v>
      </c>
      <c r="E47" s="55">
        <v>4248.22</v>
      </c>
      <c r="F47" s="56">
        <f>SUM(E47*2/1000)</f>
        <v>8.4964399999999998</v>
      </c>
      <c r="G47" s="12">
        <v>1803.69</v>
      </c>
      <c r="H47" s="57">
        <f t="shared" si="6"/>
        <v>15.3249438636</v>
      </c>
      <c r="I47" s="12">
        <f t="shared" si="7"/>
        <v>7662.4719317999998</v>
      </c>
    </row>
    <row r="48" spans="1:9" ht="33" hidden="1" customHeight="1">
      <c r="A48" s="26"/>
      <c r="B48" s="53" t="s">
        <v>36</v>
      </c>
      <c r="C48" s="54" t="s">
        <v>100</v>
      </c>
      <c r="D48" s="53" t="s">
        <v>41</v>
      </c>
      <c r="E48" s="55">
        <v>2163.66</v>
      </c>
      <c r="F48" s="56">
        <f>SUM(E48*2/1000)</f>
        <v>4.3273199999999994</v>
      </c>
      <c r="G48" s="12">
        <v>1243.43</v>
      </c>
      <c r="H48" s="57">
        <f t="shared" si="6"/>
        <v>5.3807195075999994</v>
      </c>
      <c r="I48" s="12">
        <f>F48/2*G48</f>
        <v>2690.3597537999999</v>
      </c>
    </row>
    <row r="49" spans="1:9" ht="35.25" hidden="1" customHeight="1">
      <c r="A49" s="26">
        <v>13</v>
      </c>
      <c r="B49" s="53" t="s">
        <v>55</v>
      </c>
      <c r="C49" s="54" t="s">
        <v>100</v>
      </c>
      <c r="D49" s="53" t="s">
        <v>131</v>
      </c>
      <c r="E49" s="55">
        <v>3945</v>
      </c>
      <c r="F49" s="56">
        <f>SUM(E49*5/1000)</f>
        <v>19.725000000000001</v>
      </c>
      <c r="G49" s="12">
        <v>1083.69</v>
      </c>
      <c r="H49" s="57">
        <f t="shared" si="6"/>
        <v>21.37578525</v>
      </c>
      <c r="I49" s="12">
        <f>F49/5*G49</f>
        <v>4275.1570500000007</v>
      </c>
    </row>
    <row r="50" spans="1:9" ht="32.25" customHeight="1">
      <c r="A50" s="26"/>
      <c r="B50" s="53" t="s">
        <v>105</v>
      </c>
      <c r="C50" s="54" t="s">
        <v>100</v>
      </c>
      <c r="D50" s="53" t="s">
        <v>41</v>
      </c>
      <c r="E50" s="55">
        <v>3945</v>
      </c>
      <c r="F50" s="56">
        <f>SUM(E50*2/1000)</f>
        <v>7.89</v>
      </c>
      <c r="G50" s="12">
        <v>1591.6</v>
      </c>
      <c r="H50" s="57">
        <f t="shared" si="6"/>
        <v>12.557723999999999</v>
      </c>
      <c r="I50" s="12">
        <f>F50/2*G50</f>
        <v>6278.8619999999992</v>
      </c>
    </row>
    <row r="51" spans="1:9" ht="36" customHeight="1">
      <c r="A51" s="26"/>
      <c r="B51" s="53" t="s">
        <v>106</v>
      </c>
      <c r="C51" s="54" t="s">
        <v>37</v>
      </c>
      <c r="D51" s="53" t="s">
        <v>41</v>
      </c>
      <c r="E51" s="55">
        <v>30</v>
      </c>
      <c r="F51" s="56">
        <f>SUM(E51*2/100)</f>
        <v>0.6</v>
      </c>
      <c r="G51" s="12">
        <v>4058.32</v>
      </c>
      <c r="H51" s="57">
        <f t="shared" si="6"/>
        <v>2.4349920000000003</v>
      </c>
      <c r="I51" s="12">
        <f t="shared" ref="I51:I52" si="8">F51/2*G51</f>
        <v>1217.4960000000001</v>
      </c>
    </row>
    <row r="52" spans="1:9" ht="20.25" customHeight="1">
      <c r="A52" s="26"/>
      <c r="B52" s="53" t="s">
        <v>38</v>
      </c>
      <c r="C52" s="54" t="s">
        <v>39</v>
      </c>
      <c r="D52" s="53" t="s">
        <v>41</v>
      </c>
      <c r="E52" s="55">
        <v>1</v>
      </c>
      <c r="F52" s="56">
        <v>0.02</v>
      </c>
      <c r="G52" s="12">
        <v>7412.92</v>
      </c>
      <c r="H52" s="57">
        <f t="shared" si="6"/>
        <v>0.14825839999999998</v>
      </c>
      <c r="I52" s="12">
        <f t="shared" si="8"/>
        <v>74.129199999999997</v>
      </c>
    </row>
    <row r="53" spans="1:9" ht="30" hidden="1" customHeight="1">
      <c r="A53" s="26">
        <v>14</v>
      </c>
      <c r="B53" s="53" t="s">
        <v>120</v>
      </c>
      <c r="C53" s="54" t="s">
        <v>86</v>
      </c>
      <c r="D53" s="53" t="s">
        <v>69</v>
      </c>
      <c r="E53" s="55">
        <v>90</v>
      </c>
      <c r="F53" s="56">
        <f>E53*3</f>
        <v>270</v>
      </c>
      <c r="G53" s="12">
        <v>185.08</v>
      </c>
      <c r="H53" s="57">
        <f t="shared" si="6"/>
        <v>49.971600000000009</v>
      </c>
      <c r="I53" s="12">
        <f>E53*G53</f>
        <v>16657.2</v>
      </c>
    </row>
    <row r="54" spans="1:9" ht="18" hidden="1" customHeight="1">
      <c r="A54" s="26">
        <v>15</v>
      </c>
      <c r="B54" s="53" t="s">
        <v>40</v>
      </c>
      <c r="C54" s="54" t="s">
        <v>86</v>
      </c>
      <c r="D54" s="53" t="s">
        <v>69</v>
      </c>
      <c r="E54" s="55">
        <v>180</v>
      </c>
      <c r="F54" s="56">
        <f>SUM(E54)*3</f>
        <v>540</v>
      </c>
      <c r="G54" s="12">
        <v>86.15</v>
      </c>
      <c r="H54" s="57">
        <f t="shared" si="6"/>
        <v>46.521000000000001</v>
      </c>
      <c r="I54" s="12">
        <f>E54*G54</f>
        <v>15507.000000000002</v>
      </c>
    </row>
    <row r="55" spans="1:9">
      <c r="A55" s="202" t="s">
        <v>128</v>
      </c>
      <c r="B55" s="203"/>
      <c r="C55" s="203"/>
      <c r="D55" s="203"/>
      <c r="E55" s="203"/>
      <c r="F55" s="203"/>
      <c r="G55" s="203"/>
      <c r="H55" s="203"/>
      <c r="I55" s="204"/>
    </row>
    <row r="56" spans="1:9">
      <c r="A56" s="26"/>
      <c r="B56" s="75" t="s">
        <v>42</v>
      </c>
      <c r="C56" s="54"/>
      <c r="D56" s="53"/>
      <c r="E56" s="55"/>
      <c r="F56" s="56"/>
      <c r="G56" s="56"/>
      <c r="H56" s="57"/>
      <c r="I56" s="12"/>
    </row>
    <row r="57" spans="1:9" ht="45">
      <c r="A57" s="26">
        <v>13</v>
      </c>
      <c r="B57" s="53" t="s">
        <v>146</v>
      </c>
      <c r="C57" s="54" t="s">
        <v>90</v>
      </c>
      <c r="D57" s="119" t="s">
        <v>179</v>
      </c>
      <c r="E57" s="55">
        <v>30.6</v>
      </c>
      <c r="F57" s="56">
        <f>SUM(E57*6/100)</f>
        <v>1.8360000000000003</v>
      </c>
      <c r="G57" s="12">
        <v>2029.3</v>
      </c>
      <c r="H57" s="57">
        <f>SUM(F57*G57/1000)</f>
        <v>3.7257948000000005</v>
      </c>
      <c r="I57" s="12">
        <f>G57*1.643</f>
        <v>3334.1399000000001</v>
      </c>
    </row>
    <row r="58" spans="1:9" ht="30">
      <c r="A58" s="26">
        <v>14</v>
      </c>
      <c r="B58" s="53" t="s">
        <v>84</v>
      </c>
      <c r="C58" s="54" t="s">
        <v>90</v>
      </c>
      <c r="D58" s="53" t="s">
        <v>85</v>
      </c>
      <c r="E58" s="55">
        <v>39.69</v>
      </c>
      <c r="F58" s="56">
        <f>SUM(E58*12/100)</f>
        <v>4.7627999999999995</v>
      </c>
      <c r="G58" s="12">
        <v>2029.3</v>
      </c>
      <c r="H58" s="57">
        <f>SUM(F58*G58/1000)</f>
        <v>9.6651500399999986</v>
      </c>
      <c r="I58" s="12">
        <f>F58/6*G58</f>
        <v>1610.8583399999998</v>
      </c>
    </row>
    <row r="59" spans="1:9" hidden="1">
      <c r="A59" s="26"/>
      <c r="B59" s="62" t="s">
        <v>122</v>
      </c>
      <c r="C59" s="63" t="s">
        <v>123</v>
      </c>
      <c r="D59" s="62" t="s">
        <v>41</v>
      </c>
      <c r="E59" s="64">
        <v>6</v>
      </c>
      <c r="F59" s="56">
        <f>SUM(E59*2)</f>
        <v>12</v>
      </c>
      <c r="G59" s="12">
        <v>237.1</v>
      </c>
      <c r="H59" s="57">
        <f>SUM(F59*G59/1000)</f>
        <v>2.8451999999999997</v>
      </c>
      <c r="I59" s="12">
        <v>0</v>
      </c>
    </row>
    <row r="60" spans="1:9">
      <c r="A60" s="26">
        <v>15</v>
      </c>
      <c r="B60" s="53" t="s">
        <v>124</v>
      </c>
      <c r="C60" s="54" t="s">
        <v>90</v>
      </c>
      <c r="D60" s="53" t="s">
        <v>107</v>
      </c>
      <c r="E60" s="55">
        <v>18.84</v>
      </c>
      <c r="F60" s="56">
        <f>SUM(E60*6/100)</f>
        <v>1.1303999999999998</v>
      </c>
      <c r="G60" s="12">
        <v>2029.3</v>
      </c>
      <c r="H60" s="57">
        <f>SUM(F60*G60/1000)</f>
        <v>2.2939207199999996</v>
      </c>
      <c r="I60" s="12">
        <f>F60/6*G60</f>
        <v>382.32011999999997</v>
      </c>
    </row>
    <row r="61" spans="1:9" ht="30" hidden="1">
      <c r="A61" s="26"/>
      <c r="B61" s="62" t="s">
        <v>108</v>
      </c>
      <c r="C61" s="63" t="s">
        <v>32</v>
      </c>
      <c r="D61" s="62" t="s">
        <v>142</v>
      </c>
      <c r="E61" s="64"/>
      <c r="F61" s="65">
        <v>3</v>
      </c>
      <c r="G61" s="12">
        <v>1582.05</v>
      </c>
      <c r="H61" s="57">
        <f>SUM(F61*G61/1000)</f>
        <v>4.7461499999999992</v>
      </c>
      <c r="I61" s="12">
        <v>0</v>
      </c>
    </row>
    <row r="62" spans="1:9">
      <c r="A62" s="26"/>
      <c r="B62" s="76" t="s">
        <v>43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147</v>
      </c>
      <c r="C63" s="63" t="s">
        <v>51</v>
      </c>
      <c r="D63" s="62" t="s">
        <v>52</v>
      </c>
      <c r="E63" s="64">
        <v>203.1</v>
      </c>
      <c r="F63" s="67">
        <f>E63/100</f>
        <v>2.0310000000000001</v>
      </c>
      <c r="G63" s="12">
        <v>1040.8399999999999</v>
      </c>
      <c r="H63" s="66">
        <f>F63*G63/1000</f>
        <v>2.1139460399999996</v>
      </c>
      <c r="I63" s="12">
        <v>0</v>
      </c>
    </row>
    <row r="64" spans="1:9">
      <c r="A64" s="26">
        <v>16</v>
      </c>
      <c r="B64" s="62" t="s">
        <v>87</v>
      </c>
      <c r="C64" s="63" t="s">
        <v>25</v>
      </c>
      <c r="D64" s="62" t="s">
        <v>30</v>
      </c>
      <c r="E64" s="64">
        <v>200</v>
      </c>
      <c r="F64" s="67">
        <f>E64*12</f>
        <v>2400</v>
      </c>
      <c r="G64" s="48">
        <v>1.2</v>
      </c>
      <c r="H64" s="65">
        <f>F64*G64/1000</f>
        <v>2.88</v>
      </c>
      <c r="I64" s="12">
        <f>F64/12*G64</f>
        <v>240</v>
      </c>
    </row>
    <row r="65" spans="1:9" hidden="1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</row>
    <row r="66" spans="1:9" hidden="1">
      <c r="A66" s="26">
        <v>17</v>
      </c>
      <c r="B66" s="13" t="s">
        <v>45</v>
      </c>
      <c r="C66" s="15" t="s">
        <v>86</v>
      </c>
      <c r="D66" s="13" t="s">
        <v>66</v>
      </c>
      <c r="E66" s="17">
        <v>7</v>
      </c>
      <c r="F66" s="67">
        <f>E66</f>
        <v>7</v>
      </c>
      <c r="G66" s="12">
        <v>291.68</v>
      </c>
      <c r="H66" s="68">
        <f t="shared" ref="H66:H84" si="9">SUM(F66*G66/1000)</f>
        <v>2.04176</v>
      </c>
      <c r="I66" s="12">
        <f>G66*9</f>
        <v>2625.12</v>
      </c>
    </row>
    <row r="67" spans="1:9" hidden="1">
      <c r="A67" s="26"/>
      <c r="B67" s="13" t="s">
        <v>46</v>
      </c>
      <c r="C67" s="15" t="s">
        <v>86</v>
      </c>
      <c r="D67" s="13" t="s">
        <v>66</v>
      </c>
      <c r="E67" s="17">
        <v>3</v>
      </c>
      <c r="F67" s="67">
        <f>E67</f>
        <v>3</v>
      </c>
      <c r="G67" s="12">
        <v>100.01</v>
      </c>
      <c r="H67" s="68">
        <f t="shared" si="9"/>
        <v>0.30003000000000002</v>
      </c>
      <c r="I67" s="12">
        <v>0</v>
      </c>
    </row>
    <row r="68" spans="1:9" hidden="1">
      <c r="A68" s="26"/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2">
        <v>278.24</v>
      </c>
      <c r="H68" s="68">
        <f t="shared" si="9"/>
        <v>39.523992000000007</v>
      </c>
      <c r="I68" s="12">
        <f>F68*G68</f>
        <v>39523.992000000006</v>
      </c>
    </row>
    <row r="69" spans="1:9" hidden="1">
      <c r="A69" s="26"/>
      <c r="B69" s="13" t="s">
        <v>48</v>
      </c>
      <c r="C69" s="15" t="s">
        <v>110</v>
      </c>
      <c r="D69" s="13"/>
      <c r="E69" s="55">
        <v>14205</v>
      </c>
      <c r="F69" s="12">
        <f>SUM(E69/1000)</f>
        <v>14.205</v>
      </c>
      <c r="G69" s="12">
        <v>216.68</v>
      </c>
      <c r="H69" s="68">
        <f t="shared" si="9"/>
        <v>3.0779394</v>
      </c>
      <c r="I69" s="12">
        <f t="shared" ref="I69:I73" si="10">F69*G69</f>
        <v>3077.9394000000002</v>
      </c>
    </row>
    <row r="70" spans="1:9" hidden="1">
      <c r="A70" s="26"/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2">
        <v>2720.94</v>
      </c>
      <c r="H70" s="68">
        <f t="shared" si="9"/>
        <v>57.983231399999994</v>
      </c>
      <c r="I70" s="12">
        <f t="shared" si="10"/>
        <v>57983.231399999997</v>
      </c>
    </row>
    <row r="71" spans="1:9" hidden="1">
      <c r="A71" s="26"/>
      <c r="B71" s="69" t="s">
        <v>111</v>
      </c>
      <c r="C71" s="15" t="s">
        <v>33</v>
      </c>
      <c r="D71" s="13"/>
      <c r="E71" s="55">
        <v>7</v>
      </c>
      <c r="F71" s="12">
        <f>SUM(E71)</f>
        <v>7</v>
      </c>
      <c r="G71" s="12">
        <v>44.31</v>
      </c>
      <c r="H71" s="68">
        <f t="shared" si="9"/>
        <v>0.31017</v>
      </c>
      <c r="I71" s="12">
        <f t="shared" si="10"/>
        <v>310.17</v>
      </c>
    </row>
    <row r="72" spans="1:9" hidden="1">
      <c r="A72" s="26"/>
      <c r="B72" s="69" t="s">
        <v>112</v>
      </c>
      <c r="C72" s="15" t="s">
        <v>33</v>
      </c>
      <c r="D72" s="13"/>
      <c r="E72" s="55">
        <v>7</v>
      </c>
      <c r="F72" s="12">
        <f>SUM(E72)</f>
        <v>7</v>
      </c>
      <c r="G72" s="12">
        <v>47.79</v>
      </c>
      <c r="H72" s="68">
        <f t="shared" si="9"/>
        <v>0.33452999999999999</v>
      </c>
      <c r="I72" s="12">
        <f t="shared" si="10"/>
        <v>334.53</v>
      </c>
    </row>
    <row r="73" spans="1:9" hidden="1">
      <c r="A73" s="26"/>
      <c r="B73" s="13" t="s">
        <v>56</v>
      </c>
      <c r="C73" s="15" t="s">
        <v>57</v>
      </c>
      <c r="D73" s="13" t="s">
        <v>52</v>
      </c>
      <c r="E73" s="17">
        <v>6</v>
      </c>
      <c r="F73" s="12">
        <f>SUM(E73)</f>
        <v>6</v>
      </c>
      <c r="G73" s="12">
        <v>65.42</v>
      </c>
      <c r="H73" s="68">
        <f t="shared" si="9"/>
        <v>0.39251999999999998</v>
      </c>
      <c r="I73" s="12">
        <f t="shared" si="10"/>
        <v>392.52</v>
      </c>
    </row>
    <row r="74" spans="1:9">
      <c r="A74" s="26"/>
      <c r="B74" s="100" t="s">
        <v>148</v>
      </c>
      <c r="C74" s="15"/>
      <c r="D74" s="13"/>
      <c r="E74" s="17"/>
      <c r="F74" s="48"/>
      <c r="G74" s="12"/>
      <c r="H74" s="68"/>
      <c r="I74" s="12"/>
    </row>
    <row r="75" spans="1:9" ht="30">
      <c r="A75" s="26">
        <v>18</v>
      </c>
      <c r="B75" s="13" t="s">
        <v>149</v>
      </c>
      <c r="C75" s="26" t="s">
        <v>150</v>
      </c>
      <c r="D75" s="13" t="s">
        <v>66</v>
      </c>
      <c r="E75" s="17">
        <v>3945</v>
      </c>
      <c r="F75" s="56">
        <f>SUM(E75)*12</f>
        <v>47340</v>
      </c>
      <c r="G75" s="12">
        <v>2.2799999999999998</v>
      </c>
      <c r="H75" s="68">
        <f t="shared" ref="H75:H76" si="11">SUM(F75*G75/1000)</f>
        <v>107.93519999999999</v>
      </c>
      <c r="I75" s="12">
        <f>F75/12*G75</f>
        <v>8994.5999999999985</v>
      </c>
    </row>
    <row r="76" spans="1:9" ht="30">
      <c r="A76" s="26">
        <v>19</v>
      </c>
      <c r="B76" s="72" t="s">
        <v>151</v>
      </c>
      <c r="C76" s="73" t="s">
        <v>86</v>
      </c>
      <c r="D76" s="13"/>
      <c r="E76" s="17">
        <v>1</v>
      </c>
      <c r="F76" s="56">
        <f>SUM(E76)*12</f>
        <v>12</v>
      </c>
      <c r="G76" s="12">
        <v>50.68</v>
      </c>
      <c r="H76" s="68">
        <f t="shared" si="11"/>
        <v>0.60815999999999992</v>
      </c>
      <c r="I76" s="12">
        <f>F76/12*G76</f>
        <v>50.68</v>
      </c>
    </row>
    <row r="77" spans="1:9" hidden="1">
      <c r="A77" s="26"/>
      <c r="B77" s="100" t="s">
        <v>70</v>
      </c>
      <c r="C77" s="15"/>
      <c r="D77" s="13"/>
      <c r="E77" s="17"/>
      <c r="F77" s="12"/>
      <c r="G77" s="12"/>
      <c r="H77" s="68" t="s">
        <v>125</v>
      </c>
      <c r="I77" s="12"/>
    </row>
    <row r="78" spans="1:9" ht="30" hidden="1">
      <c r="A78" s="26"/>
      <c r="B78" s="13" t="s">
        <v>152</v>
      </c>
      <c r="C78" s="15" t="s">
        <v>31</v>
      </c>
      <c r="D78" s="13" t="s">
        <v>160</v>
      </c>
      <c r="E78" s="17">
        <v>2</v>
      </c>
      <c r="F78" s="56">
        <f t="shared" ref="F78" si="12">E78</f>
        <v>2</v>
      </c>
      <c r="G78" s="12">
        <v>1029.1199999999999</v>
      </c>
      <c r="H78" s="68">
        <f>G78*F78/1000</f>
        <v>2.0582399999999996</v>
      </c>
      <c r="I78" s="12">
        <v>0</v>
      </c>
    </row>
    <row r="79" spans="1:9" ht="30" hidden="1">
      <c r="A79" s="26"/>
      <c r="B79" s="13" t="s">
        <v>153</v>
      </c>
      <c r="C79" s="15" t="s">
        <v>154</v>
      </c>
      <c r="D79" s="13" t="s">
        <v>160</v>
      </c>
      <c r="E79" s="17">
        <v>1</v>
      </c>
      <c r="F79" s="12">
        <v>1</v>
      </c>
      <c r="G79" s="12">
        <v>735</v>
      </c>
      <c r="H79" s="68">
        <f t="shared" ref="H79:H82" si="13">SUM(F79*G79/1000)</f>
        <v>0.73499999999999999</v>
      </c>
      <c r="I79" s="12">
        <v>0</v>
      </c>
    </row>
    <row r="80" spans="1:9" ht="30" hidden="1">
      <c r="A80" s="77"/>
      <c r="B80" s="13" t="s">
        <v>71</v>
      </c>
      <c r="C80" s="15" t="s">
        <v>73</v>
      </c>
      <c r="D80" s="13" t="s">
        <v>160</v>
      </c>
      <c r="E80" s="17">
        <v>3</v>
      </c>
      <c r="F80" s="12">
        <f>E80/10</f>
        <v>0.3</v>
      </c>
      <c r="G80" s="12">
        <v>657.87</v>
      </c>
      <c r="H80" s="68">
        <f t="shared" si="13"/>
        <v>0.19736099999999998</v>
      </c>
      <c r="I80" s="12">
        <v>0</v>
      </c>
    </row>
    <row r="81" spans="1:9" ht="30" hidden="1">
      <c r="A81" s="77">
        <v>20</v>
      </c>
      <c r="B81" s="13" t="s">
        <v>72</v>
      </c>
      <c r="C81" s="15" t="s">
        <v>31</v>
      </c>
      <c r="D81" s="13" t="s">
        <v>160</v>
      </c>
      <c r="E81" s="17">
        <v>1</v>
      </c>
      <c r="F81" s="48">
        <v>1</v>
      </c>
      <c r="G81" s="12">
        <v>1118.72</v>
      </c>
      <c r="H81" s="68">
        <f t="shared" si="13"/>
        <v>1.1187199999999999</v>
      </c>
      <c r="I81" s="12">
        <f>G81*(2+4)</f>
        <v>6712.32</v>
      </c>
    </row>
    <row r="82" spans="1:9" ht="30" hidden="1">
      <c r="A82" s="77"/>
      <c r="B82" s="72" t="s">
        <v>155</v>
      </c>
      <c r="C82" s="73" t="s">
        <v>86</v>
      </c>
      <c r="D82" s="13" t="s">
        <v>160</v>
      </c>
      <c r="E82" s="17">
        <v>1</v>
      </c>
      <c r="F82" s="56">
        <f>E82</f>
        <v>1</v>
      </c>
      <c r="G82" s="12">
        <v>1605.83</v>
      </c>
      <c r="H82" s="68">
        <f t="shared" si="13"/>
        <v>1.6058299999999999</v>
      </c>
      <c r="I82" s="12">
        <v>0</v>
      </c>
    </row>
    <row r="83" spans="1:9" hidden="1">
      <c r="A83" s="77"/>
      <c r="B83" s="70" t="s">
        <v>74</v>
      </c>
      <c r="C83" s="15"/>
      <c r="D83" s="13"/>
      <c r="E83" s="17"/>
      <c r="F83" s="12"/>
      <c r="G83" s="12" t="s">
        <v>125</v>
      </c>
      <c r="H83" s="68" t="s">
        <v>125</v>
      </c>
      <c r="I83" s="12"/>
    </row>
    <row r="84" spans="1:9" hidden="1">
      <c r="A84" s="77">
        <v>22</v>
      </c>
      <c r="B84" s="39" t="s">
        <v>115</v>
      </c>
      <c r="C84" s="15" t="s">
        <v>75</v>
      </c>
      <c r="D84" s="13"/>
      <c r="E84" s="17"/>
      <c r="F84" s="12">
        <v>0.6</v>
      </c>
      <c r="G84" s="12">
        <v>3619.09</v>
      </c>
      <c r="H84" s="68">
        <f t="shared" si="9"/>
        <v>2.1714540000000002</v>
      </c>
      <c r="I84" s="12">
        <f>G84*0.06</f>
        <v>217.1454</v>
      </c>
    </row>
    <row r="85" spans="1:9" ht="28.5" hidden="1">
      <c r="A85" s="77"/>
      <c r="B85" s="100" t="s">
        <v>113</v>
      </c>
      <c r="C85" s="70"/>
      <c r="D85" s="28"/>
      <c r="E85" s="29"/>
      <c r="F85" s="59"/>
      <c r="G85" s="59"/>
      <c r="H85" s="71">
        <f>SUM(H57:H84)</f>
        <v>248.6642994</v>
      </c>
      <c r="I85" s="59"/>
    </row>
    <row r="86" spans="1:9" hidden="1">
      <c r="A86" s="77"/>
      <c r="B86" s="53" t="s">
        <v>114</v>
      </c>
      <c r="C86" s="15"/>
      <c r="D86" s="13"/>
      <c r="E86" s="49"/>
      <c r="F86" s="12">
        <v>1</v>
      </c>
      <c r="G86" s="12">
        <v>32126.400000000001</v>
      </c>
      <c r="H86" s="68">
        <f>G86*F86/1000</f>
        <v>32.126400000000004</v>
      </c>
      <c r="I86" s="12">
        <v>0</v>
      </c>
    </row>
    <row r="87" spans="1:9" hidden="1">
      <c r="A87" s="77"/>
      <c r="B87" s="53" t="s">
        <v>156</v>
      </c>
      <c r="C87" s="15"/>
      <c r="D87" s="13" t="s">
        <v>157</v>
      </c>
      <c r="E87" s="13"/>
      <c r="F87" s="12">
        <v>90</v>
      </c>
      <c r="G87" s="12">
        <v>700</v>
      </c>
      <c r="H87" s="68">
        <f>G87*F87/1000</f>
        <v>63</v>
      </c>
      <c r="I87" s="12">
        <v>0</v>
      </c>
    </row>
    <row r="88" spans="1:9">
      <c r="A88" s="210" t="s">
        <v>129</v>
      </c>
      <c r="B88" s="211"/>
      <c r="C88" s="211"/>
      <c r="D88" s="211"/>
      <c r="E88" s="211"/>
      <c r="F88" s="211"/>
      <c r="G88" s="211"/>
      <c r="H88" s="211"/>
      <c r="I88" s="212"/>
    </row>
    <row r="89" spans="1:9">
      <c r="A89" s="77">
        <v>21</v>
      </c>
      <c r="B89" s="53" t="s">
        <v>116</v>
      </c>
      <c r="C89" s="15" t="s">
        <v>53</v>
      </c>
      <c r="D89" s="93" t="s">
        <v>54</v>
      </c>
      <c r="E89" s="12">
        <v>3945</v>
      </c>
      <c r="F89" s="12">
        <f>SUM(E89*12)</f>
        <v>47340</v>
      </c>
      <c r="G89" s="12">
        <v>3.1</v>
      </c>
      <c r="H89" s="68">
        <f>SUM(F89*G89/1000)</f>
        <v>146.75399999999999</v>
      </c>
      <c r="I89" s="12">
        <f>F89/12*G89</f>
        <v>12229.5</v>
      </c>
    </row>
    <row r="90" spans="1:9" ht="30">
      <c r="A90" s="26">
        <v>22</v>
      </c>
      <c r="B90" s="13" t="s">
        <v>76</v>
      </c>
      <c r="C90" s="15"/>
      <c r="D90" s="93" t="s">
        <v>54</v>
      </c>
      <c r="E90" s="55">
        <f>E89</f>
        <v>3945</v>
      </c>
      <c r="F90" s="12">
        <f>E90*12</f>
        <v>47340</v>
      </c>
      <c r="G90" s="12">
        <v>3.5</v>
      </c>
      <c r="H90" s="68">
        <f>F90*G90/1000</f>
        <v>165.69</v>
      </c>
      <c r="I90" s="12">
        <f>F90/12*G90</f>
        <v>13807.5</v>
      </c>
    </row>
    <row r="91" spans="1:9">
      <c r="A91" s="26"/>
      <c r="B91" s="31" t="s">
        <v>79</v>
      </c>
      <c r="C91" s="32"/>
      <c r="D91" s="14"/>
      <c r="E91" s="14"/>
      <c r="F91" s="17"/>
      <c r="G91" s="30"/>
      <c r="H91" s="71">
        <f>H90</f>
        <v>165.69</v>
      </c>
      <c r="I91" s="29">
        <f>I90+I89+I76+I75+I64+I60+I58+I57+I52+I51+I50+I43+I42+I41+I40+I39+I38+I37+I26+I25+I18+I17+I16</f>
        <v>88162.443496666659</v>
      </c>
    </row>
    <row r="92" spans="1:9">
      <c r="A92" s="207" t="s">
        <v>59</v>
      </c>
      <c r="B92" s="208"/>
      <c r="C92" s="208"/>
      <c r="D92" s="208"/>
      <c r="E92" s="208"/>
      <c r="F92" s="208"/>
      <c r="G92" s="208"/>
      <c r="H92" s="208"/>
      <c r="I92" s="209"/>
    </row>
    <row r="93" spans="1:9" ht="30">
      <c r="A93" s="26">
        <v>23</v>
      </c>
      <c r="B93" s="72" t="s">
        <v>161</v>
      </c>
      <c r="C93" s="73" t="s">
        <v>37</v>
      </c>
      <c r="D93" s="106"/>
      <c r="E93" s="16"/>
      <c r="F93" s="107">
        <v>0.02</v>
      </c>
      <c r="G93" s="107">
        <v>3724.37</v>
      </c>
      <c r="H93" s="108">
        <f>G93*F93/1000</f>
        <v>7.4487399999999995E-2</v>
      </c>
      <c r="I93" s="74">
        <f>G93*0.01</f>
        <v>37.243699999999997</v>
      </c>
    </row>
    <row r="94" spans="1:9" ht="30">
      <c r="A94" s="26">
        <v>24</v>
      </c>
      <c r="B94" s="72" t="s">
        <v>78</v>
      </c>
      <c r="C94" s="73" t="s">
        <v>86</v>
      </c>
      <c r="D94" s="106"/>
      <c r="E94" s="16"/>
      <c r="F94" s="107">
        <v>1</v>
      </c>
      <c r="G94" s="107">
        <v>86.69</v>
      </c>
      <c r="H94" s="108">
        <f>G94*F94/1000</f>
        <v>8.6690000000000003E-2</v>
      </c>
      <c r="I94" s="74">
        <f>G94*1</f>
        <v>86.69</v>
      </c>
    </row>
    <row r="95" spans="1:9">
      <c r="A95" s="26">
        <v>25</v>
      </c>
      <c r="B95" s="111" t="s">
        <v>178</v>
      </c>
      <c r="C95" s="112" t="s">
        <v>86</v>
      </c>
      <c r="D95" s="110"/>
      <c r="E95" s="107"/>
      <c r="F95" s="107">
        <v>3</v>
      </c>
      <c r="G95" s="107">
        <v>3748.22</v>
      </c>
      <c r="H95" s="108">
        <f t="shared" ref="H95:H97" si="14">G95*F95/1000</f>
        <v>11.24466</v>
      </c>
      <c r="I95" s="74">
        <f>G95*1</f>
        <v>3748.22</v>
      </c>
    </row>
    <row r="96" spans="1:9" ht="30">
      <c r="A96" s="26">
        <v>26</v>
      </c>
      <c r="B96" s="111" t="s">
        <v>173</v>
      </c>
      <c r="C96" s="112" t="s">
        <v>86</v>
      </c>
      <c r="D96" s="110"/>
      <c r="E96" s="107"/>
      <c r="F96" s="107">
        <v>1</v>
      </c>
      <c r="G96" s="107">
        <v>2388.9</v>
      </c>
      <c r="H96" s="107">
        <f t="shared" si="14"/>
        <v>2.3889</v>
      </c>
      <c r="I96" s="74">
        <f>G96*1</f>
        <v>2388.9</v>
      </c>
    </row>
    <row r="97" spans="1:9" hidden="1">
      <c r="A97" s="26">
        <v>27</v>
      </c>
      <c r="B97" s="72" t="s">
        <v>174</v>
      </c>
      <c r="C97" s="73" t="s">
        <v>175</v>
      </c>
      <c r="D97" s="110"/>
      <c r="E97" s="107"/>
      <c r="F97" s="107">
        <v>1</v>
      </c>
      <c r="G97" s="107">
        <v>7709.44</v>
      </c>
      <c r="H97" s="107">
        <f t="shared" si="14"/>
        <v>7.7094399999999998</v>
      </c>
      <c r="I97" s="74">
        <f>G97*0.01</f>
        <v>77.094399999999993</v>
      </c>
    </row>
    <row r="98" spans="1:9">
      <c r="A98" s="26"/>
      <c r="B98" s="37" t="s">
        <v>50</v>
      </c>
      <c r="C98" s="33"/>
      <c r="D98" s="40"/>
      <c r="E98" s="33">
        <v>1</v>
      </c>
      <c r="F98" s="33"/>
      <c r="G98" s="33"/>
      <c r="H98" s="33"/>
      <c r="I98" s="29">
        <f>I96+I95+I94+I93</f>
        <v>6261.0536999999995</v>
      </c>
    </row>
    <row r="99" spans="1:9">
      <c r="A99" s="26"/>
      <c r="B99" s="39" t="s">
        <v>77</v>
      </c>
      <c r="C99" s="14"/>
      <c r="D99" s="14"/>
      <c r="E99" s="34"/>
      <c r="F99" s="34"/>
      <c r="G99" s="35"/>
      <c r="H99" s="35"/>
      <c r="I99" s="16">
        <v>0</v>
      </c>
    </row>
    <row r="100" spans="1:9">
      <c r="A100" s="41"/>
      <c r="B100" s="38" t="s">
        <v>162</v>
      </c>
      <c r="C100" s="30"/>
      <c r="D100" s="30"/>
      <c r="E100" s="30"/>
      <c r="F100" s="30"/>
      <c r="G100" s="30"/>
      <c r="H100" s="30"/>
      <c r="I100" s="36">
        <f>I91+I98</f>
        <v>94423.497196666664</v>
      </c>
    </row>
    <row r="101" spans="1:9" ht="15.75">
      <c r="A101" s="206" t="s">
        <v>180</v>
      </c>
      <c r="B101" s="206"/>
      <c r="C101" s="206"/>
      <c r="D101" s="206"/>
      <c r="E101" s="206"/>
      <c r="F101" s="206"/>
      <c r="G101" s="206"/>
      <c r="H101" s="206"/>
      <c r="I101" s="206"/>
    </row>
    <row r="102" spans="1:9" ht="15.75">
      <c r="A102" s="78"/>
      <c r="B102" s="213" t="s">
        <v>181</v>
      </c>
      <c r="C102" s="213"/>
      <c r="D102" s="213"/>
      <c r="E102" s="213"/>
      <c r="F102" s="213"/>
      <c r="G102" s="213"/>
      <c r="H102" s="52"/>
      <c r="I102" s="3"/>
    </row>
    <row r="103" spans="1:9">
      <c r="A103" s="105"/>
      <c r="B103" s="214" t="s">
        <v>6</v>
      </c>
      <c r="C103" s="214"/>
      <c r="D103" s="214"/>
      <c r="E103" s="214"/>
      <c r="F103" s="214"/>
      <c r="G103" s="214"/>
      <c r="H103" s="21"/>
      <c r="I103" s="5"/>
    </row>
    <row r="104" spans="1:9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75">
      <c r="A105" s="215" t="s">
        <v>7</v>
      </c>
      <c r="B105" s="215"/>
      <c r="C105" s="215"/>
      <c r="D105" s="215"/>
      <c r="E105" s="215"/>
      <c r="F105" s="215"/>
      <c r="G105" s="215"/>
      <c r="H105" s="215"/>
      <c r="I105" s="215"/>
    </row>
    <row r="106" spans="1:9" ht="15.75">
      <c r="A106" s="215" t="s">
        <v>8</v>
      </c>
      <c r="B106" s="215"/>
      <c r="C106" s="215"/>
      <c r="D106" s="215"/>
      <c r="E106" s="215"/>
      <c r="F106" s="215"/>
      <c r="G106" s="215"/>
      <c r="H106" s="215"/>
      <c r="I106" s="215"/>
    </row>
    <row r="107" spans="1:9" ht="15.75">
      <c r="A107" s="216" t="s">
        <v>60</v>
      </c>
      <c r="B107" s="216"/>
      <c r="C107" s="216"/>
      <c r="D107" s="216"/>
      <c r="E107" s="216"/>
      <c r="F107" s="216"/>
      <c r="G107" s="216"/>
      <c r="H107" s="216"/>
      <c r="I107" s="216"/>
    </row>
    <row r="108" spans="1:9" ht="15.75">
      <c r="A108" s="10"/>
    </row>
    <row r="109" spans="1:9" ht="15.75">
      <c r="A109" s="200" t="s">
        <v>9</v>
      </c>
      <c r="B109" s="200"/>
      <c r="C109" s="200"/>
      <c r="D109" s="200"/>
      <c r="E109" s="200"/>
      <c r="F109" s="200"/>
      <c r="G109" s="200"/>
      <c r="H109" s="200"/>
      <c r="I109" s="200"/>
    </row>
    <row r="110" spans="1:9" ht="15.75">
      <c r="A110" s="4"/>
    </row>
    <row r="111" spans="1:9" ht="15.75">
      <c r="B111" s="103" t="s">
        <v>10</v>
      </c>
      <c r="C111" s="218" t="s">
        <v>83</v>
      </c>
      <c r="D111" s="218"/>
      <c r="E111" s="218"/>
      <c r="F111" s="50"/>
      <c r="I111" s="104"/>
    </row>
    <row r="112" spans="1:9">
      <c r="A112" s="105"/>
      <c r="C112" s="214" t="s">
        <v>11</v>
      </c>
      <c r="D112" s="214"/>
      <c r="E112" s="214"/>
      <c r="F112" s="21"/>
      <c r="I112" s="102" t="s">
        <v>12</v>
      </c>
    </row>
    <row r="113" spans="1:9" ht="15.75">
      <c r="A113" s="22"/>
      <c r="C113" s="11"/>
      <c r="D113" s="11"/>
      <c r="G113" s="11"/>
      <c r="H113" s="11"/>
    </row>
    <row r="114" spans="1:9" ht="15.75">
      <c r="B114" s="103" t="s">
        <v>13</v>
      </c>
      <c r="C114" s="219"/>
      <c r="D114" s="219"/>
      <c r="E114" s="219"/>
      <c r="F114" s="51"/>
      <c r="I114" s="104"/>
    </row>
    <row r="115" spans="1:9">
      <c r="A115" s="105"/>
      <c r="C115" s="220" t="s">
        <v>11</v>
      </c>
      <c r="D115" s="220"/>
      <c r="E115" s="220"/>
      <c r="F115" s="105"/>
      <c r="I115" s="102" t="s">
        <v>12</v>
      </c>
    </row>
    <row r="116" spans="1:9" ht="15.75">
      <c r="A116" s="4" t="s">
        <v>14</v>
      </c>
    </row>
    <row r="117" spans="1:9">
      <c r="A117" s="221" t="s">
        <v>15</v>
      </c>
      <c r="B117" s="221"/>
      <c r="C117" s="221"/>
      <c r="D117" s="221"/>
      <c r="E117" s="221"/>
      <c r="F117" s="221"/>
      <c r="G117" s="221"/>
      <c r="H117" s="221"/>
      <c r="I117" s="221"/>
    </row>
    <row r="118" spans="1:9" ht="44.25" customHeight="1">
      <c r="A118" s="217" t="s">
        <v>16</v>
      </c>
      <c r="B118" s="217"/>
      <c r="C118" s="217"/>
      <c r="D118" s="217"/>
      <c r="E118" s="217"/>
      <c r="F118" s="217"/>
      <c r="G118" s="217"/>
      <c r="H118" s="217"/>
      <c r="I118" s="217"/>
    </row>
    <row r="119" spans="1:9" ht="33.75" customHeight="1">
      <c r="A119" s="217" t="s">
        <v>17</v>
      </c>
      <c r="B119" s="217"/>
      <c r="C119" s="217"/>
      <c r="D119" s="217"/>
      <c r="E119" s="217"/>
      <c r="F119" s="217"/>
      <c r="G119" s="217"/>
      <c r="H119" s="217"/>
      <c r="I119" s="217"/>
    </row>
    <row r="120" spans="1:9" ht="30.75" customHeight="1">
      <c r="A120" s="217" t="s">
        <v>21</v>
      </c>
      <c r="B120" s="217"/>
      <c r="C120" s="217"/>
      <c r="D120" s="217"/>
      <c r="E120" s="217"/>
      <c r="F120" s="217"/>
      <c r="G120" s="217"/>
      <c r="H120" s="217"/>
      <c r="I120" s="217"/>
    </row>
    <row r="121" spans="1:9" ht="15.75">
      <c r="A121" s="217" t="s">
        <v>20</v>
      </c>
      <c r="B121" s="217"/>
      <c r="C121" s="217"/>
      <c r="D121" s="217"/>
      <c r="E121" s="217"/>
      <c r="F121" s="217"/>
      <c r="G121" s="217"/>
      <c r="H121" s="217"/>
      <c r="I121" s="217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7:I27"/>
    <mergeCell ref="A44:I44"/>
    <mergeCell ref="A55:I55"/>
    <mergeCell ref="A88:I88"/>
    <mergeCell ref="A92:I92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" right="0.7" top="0.75" bottom="0.75" header="0.3" footer="0.3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8"/>
  <sheetViews>
    <sheetView topLeftCell="A85" workbookViewId="0">
      <selection activeCell="L99" sqref="L99"/>
    </sheetView>
  </sheetViews>
  <sheetFormatPr defaultRowHeight="15"/>
  <cols>
    <col min="1" max="1" width="12.140625" customWidth="1"/>
    <col min="2" max="2" width="51" customWidth="1"/>
    <col min="3" max="3" width="18.28515625" customWidth="1"/>
    <col min="4" max="4" width="18.42578125" customWidth="1"/>
    <col min="5" max="6" width="0" hidden="1" customWidth="1"/>
    <col min="7" max="7" width="18.28515625" customWidth="1"/>
    <col min="8" max="8" width="0" hidden="1" customWidth="1"/>
    <col min="9" max="9" width="19" customWidth="1"/>
  </cols>
  <sheetData>
    <row r="1" spans="1:9" ht="15.75">
      <c r="A1" s="24" t="s">
        <v>81</v>
      </c>
      <c r="I1" s="23"/>
    </row>
    <row r="2" spans="1:9" ht="15.75">
      <c r="A2" s="25" t="s">
        <v>61</v>
      </c>
    </row>
    <row r="3" spans="1:9" ht="15.75">
      <c r="A3" s="195" t="s">
        <v>182</v>
      </c>
      <c r="B3" s="195"/>
      <c r="C3" s="195"/>
      <c r="D3" s="195"/>
      <c r="E3" s="195"/>
      <c r="F3" s="195"/>
      <c r="G3" s="195"/>
      <c r="H3" s="195"/>
      <c r="I3" s="195"/>
    </row>
    <row r="4" spans="1:9" ht="32.25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9" ht="15.75">
      <c r="A5" s="195" t="s">
        <v>199</v>
      </c>
      <c r="B5" s="197"/>
      <c r="C5" s="197"/>
      <c r="D5" s="197"/>
      <c r="E5" s="197"/>
      <c r="F5" s="197"/>
      <c r="G5" s="197"/>
      <c r="H5" s="197"/>
      <c r="I5" s="197"/>
    </row>
    <row r="6" spans="1:9" ht="15.75">
      <c r="A6" s="2"/>
      <c r="B6" s="114"/>
      <c r="C6" s="114"/>
      <c r="D6" s="114"/>
      <c r="E6" s="114"/>
      <c r="F6" s="114"/>
      <c r="G6" s="114"/>
      <c r="H6" s="114"/>
      <c r="I6" s="27">
        <v>43251</v>
      </c>
    </row>
    <row r="7" spans="1:9" ht="15.75">
      <c r="B7" s="116"/>
      <c r="C7" s="116"/>
      <c r="D7" s="116"/>
      <c r="E7" s="3"/>
      <c r="F7" s="3"/>
      <c r="G7" s="3"/>
      <c r="H7" s="3"/>
    </row>
    <row r="8" spans="1:9" ht="81.75" customHeight="1">
      <c r="A8" s="198" t="s">
        <v>183</v>
      </c>
      <c r="B8" s="198"/>
      <c r="C8" s="198"/>
      <c r="D8" s="198"/>
      <c r="E8" s="198"/>
      <c r="F8" s="198"/>
      <c r="G8" s="198"/>
      <c r="H8" s="198"/>
      <c r="I8" s="198"/>
    </row>
    <row r="9" spans="1:9" ht="15.75">
      <c r="A9" s="4"/>
    </row>
    <row r="10" spans="1:9" ht="66.75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</row>
    <row r="11" spans="1:9" ht="15.75">
      <c r="A11" s="4"/>
    </row>
    <row r="12" spans="1:9" ht="74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</row>
    <row r="15" spans="1:9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</row>
    <row r="16" spans="1:9" ht="19.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142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9.5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142">
        <v>230</v>
      </c>
      <c r="H17" s="57">
        <f t="shared" si="0"/>
        <v>90.934271999999993</v>
      </c>
      <c r="I17" s="12">
        <f>F17/12*G17</f>
        <v>7577.8560000000007</v>
      </c>
    </row>
    <row r="18" spans="1:9" ht="17.2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142">
        <v>661.67</v>
      </c>
      <c r="H18" s="57">
        <f t="shared" si="0"/>
        <v>75.462140160000004</v>
      </c>
      <c r="I18" s="12">
        <f>F18/12*G18</f>
        <v>6288.5116800000005</v>
      </c>
    </row>
    <row r="19" spans="1:9" ht="15.75" customHeight="1">
      <c r="A19" s="26">
        <v>4</v>
      </c>
      <c r="B19" s="53" t="s">
        <v>91</v>
      </c>
      <c r="C19" s="54" t="s">
        <v>92</v>
      </c>
      <c r="D19" s="53" t="s">
        <v>93</v>
      </c>
      <c r="E19" s="55">
        <v>93.4</v>
      </c>
      <c r="F19" s="56">
        <f>SUM(E19/10)</f>
        <v>9.34</v>
      </c>
      <c r="G19" s="142">
        <v>223.17</v>
      </c>
      <c r="H19" s="57">
        <f t="shared" si="0"/>
        <v>2.0844078000000001</v>
      </c>
      <c r="I19" s="12">
        <f>5.76*G19</f>
        <v>1285.4591999999998</v>
      </c>
    </row>
    <row r="20" spans="1:9" ht="18" customHeight="1">
      <c r="A20" s="26">
        <v>5</v>
      </c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142">
        <v>285.76</v>
      </c>
      <c r="H20" s="57">
        <f t="shared" si="0"/>
        <v>0.24689664000000003</v>
      </c>
      <c r="I20" s="12">
        <f t="shared" ref="I20:I21" si="1">F20/2*G20</f>
        <v>123.44832000000001</v>
      </c>
    </row>
    <row r="21" spans="1:9" ht="17.25" customHeight="1">
      <c r="A21" s="26">
        <v>6</v>
      </c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142">
        <v>283.44</v>
      </c>
      <c r="H21" s="57">
        <f t="shared" si="0"/>
        <v>5.7141503999999996E-2</v>
      </c>
      <c r="I21" s="12">
        <f t="shared" si="1"/>
        <v>28.570751999999999</v>
      </c>
    </row>
    <row r="22" spans="1:9" ht="18.75" customHeight="1">
      <c r="A22" s="26">
        <v>7</v>
      </c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142">
        <v>353.14</v>
      </c>
      <c r="H22" s="57">
        <f t="shared" si="0"/>
        <v>2.2692776399999999</v>
      </c>
      <c r="I22" s="12">
        <f>F22*G22</f>
        <v>2269.2776399999998</v>
      </c>
    </row>
    <row r="23" spans="1:9" ht="16.5" customHeight="1">
      <c r="A23" s="26">
        <v>8</v>
      </c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142">
        <v>58.08</v>
      </c>
      <c r="H23" s="57">
        <f t="shared" si="0"/>
        <v>2.0490623999999999E-2</v>
      </c>
      <c r="I23" s="12">
        <f t="shared" ref="I23:I24" si="2">F23*G23</f>
        <v>20.490624</v>
      </c>
    </row>
    <row r="24" spans="1:9" ht="17.25" customHeight="1">
      <c r="A24" s="26">
        <v>9</v>
      </c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142">
        <v>683.05</v>
      </c>
      <c r="H24" s="57">
        <f t="shared" si="0"/>
        <v>0.19671840000000002</v>
      </c>
      <c r="I24" s="12">
        <f t="shared" si="2"/>
        <v>196.7184</v>
      </c>
    </row>
    <row r="25" spans="1:9" ht="16.5" customHeight="1">
      <c r="A25" s="26">
        <v>10</v>
      </c>
      <c r="B25" s="53" t="s">
        <v>63</v>
      </c>
      <c r="C25" s="54" t="s">
        <v>33</v>
      </c>
      <c r="D25" s="53" t="s">
        <v>184</v>
      </c>
      <c r="E25" s="55">
        <v>0.1</v>
      </c>
      <c r="F25" s="56">
        <f>SUM(E25*365)</f>
        <v>36.5</v>
      </c>
      <c r="G25" s="142">
        <v>264.85000000000002</v>
      </c>
      <c r="H25" s="57">
        <f>SUM(F25*G25/1000)</f>
        <v>9.6670250000000006</v>
      </c>
      <c r="I25" s="12">
        <f>15.5/12*G25</f>
        <v>342.09791666666672</v>
      </c>
    </row>
    <row r="26" spans="1:9" ht="17.25" customHeight="1">
      <c r="A26" s="26">
        <v>11</v>
      </c>
      <c r="B26" s="61" t="s">
        <v>23</v>
      </c>
      <c r="C26" s="54" t="s">
        <v>24</v>
      </c>
      <c r="D26" s="53" t="s">
        <v>184</v>
      </c>
      <c r="E26" s="55">
        <v>3945</v>
      </c>
      <c r="F26" s="56">
        <f>SUM(E26*12)</f>
        <v>47340</v>
      </c>
      <c r="G26" s="142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02" t="s">
        <v>185</v>
      </c>
      <c r="B27" s="203"/>
      <c r="C27" s="203"/>
      <c r="D27" s="203"/>
      <c r="E27" s="203"/>
      <c r="F27" s="203"/>
      <c r="G27" s="203"/>
      <c r="H27" s="203"/>
      <c r="I27" s="204"/>
    </row>
    <row r="28" spans="1:9" ht="15.75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t="15.75" customHeight="1">
      <c r="A29" s="26">
        <v>12</v>
      </c>
      <c r="B29" s="53" t="s">
        <v>99</v>
      </c>
      <c r="C29" s="54" t="s">
        <v>186</v>
      </c>
      <c r="D29" s="53" t="s">
        <v>138</v>
      </c>
      <c r="E29" s="56">
        <v>1044.6500000000001</v>
      </c>
      <c r="F29" s="56">
        <f>SUM(E29*52/1000)</f>
        <v>54.321800000000003</v>
      </c>
      <c r="G29" s="142">
        <v>204.44</v>
      </c>
      <c r="H29" s="57">
        <f t="shared" ref="H29:H35" si="3">SUM(F29*G29/1000)</f>
        <v>11.105548792000002</v>
      </c>
      <c r="I29" s="12">
        <f>17.064/6*G29</f>
        <v>581.42736000000002</v>
      </c>
    </row>
    <row r="30" spans="1:9" ht="46.5" customHeight="1">
      <c r="A30" s="26">
        <v>13</v>
      </c>
      <c r="B30" s="53" t="s">
        <v>127</v>
      </c>
      <c r="C30" s="54" t="s">
        <v>100</v>
      </c>
      <c r="D30" s="53" t="s">
        <v>139</v>
      </c>
      <c r="E30" s="56">
        <v>116.93</v>
      </c>
      <c r="F30" s="56">
        <f>SUM(E30*78/1000)</f>
        <v>9.1205400000000001</v>
      </c>
      <c r="G30" s="142">
        <v>339.21</v>
      </c>
      <c r="H30" s="57">
        <f t="shared" si="3"/>
        <v>3.0937783734000002</v>
      </c>
      <c r="I30" s="12">
        <f>5.3568/6*G30</f>
        <v>302.84668799999997</v>
      </c>
    </row>
    <row r="31" spans="1:9" ht="18.75" customHeight="1">
      <c r="A31" s="26">
        <v>14</v>
      </c>
      <c r="B31" s="53" t="s">
        <v>27</v>
      </c>
      <c r="C31" s="54" t="s">
        <v>100</v>
      </c>
      <c r="D31" s="53" t="s">
        <v>52</v>
      </c>
      <c r="E31" s="56">
        <v>1044.6500000000001</v>
      </c>
      <c r="F31" s="56">
        <f>SUM(E31/1000)</f>
        <v>1.0446500000000001</v>
      </c>
      <c r="G31" s="142">
        <v>3961.23</v>
      </c>
      <c r="H31" s="57">
        <f t="shared" si="3"/>
        <v>4.1380989195</v>
      </c>
      <c r="I31" s="12">
        <f>0.3555*G31</f>
        <v>1408.217265</v>
      </c>
    </row>
    <row r="32" spans="1:9" ht="15" customHeight="1">
      <c r="A32" s="26">
        <v>15</v>
      </c>
      <c r="B32" s="53" t="s">
        <v>118</v>
      </c>
      <c r="C32" s="54" t="s">
        <v>39</v>
      </c>
      <c r="D32" s="53" t="s">
        <v>140</v>
      </c>
      <c r="E32" s="56">
        <v>6</v>
      </c>
      <c r="F32" s="56">
        <v>9.3000000000000007</v>
      </c>
      <c r="G32" s="142">
        <v>1707.63</v>
      </c>
      <c r="H32" s="57">
        <f>G32*F32/1000</f>
        <v>15.880959000000002</v>
      </c>
      <c r="I32" s="12">
        <f>2.88/6*G32</f>
        <v>819.66240000000005</v>
      </c>
    </row>
    <row r="33" spans="1:9" ht="18.75" customHeight="1">
      <c r="A33" s="26">
        <v>16</v>
      </c>
      <c r="B33" s="53" t="s">
        <v>101</v>
      </c>
      <c r="C33" s="54" t="s">
        <v>31</v>
      </c>
      <c r="D33" s="53" t="s">
        <v>62</v>
      </c>
      <c r="E33" s="60">
        <v>0.33333333333333331</v>
      </c>
      <c r="F33" s="56">
        <f>155/3</f>
        <v>51.666666666666664</v>
      </c>
      <c r="G33" s="142">
        <v>74.349999999999994</v>
      </c>
      <c r="H33" s="57">
        <f>SUM(G33*155/3/1000)</f>
        <v>3.8414166666666665</v>
      </c>
      <c r="I33" s="12">
        <f t="shared" ref="I33" si="4">F33/6*G33</f>
        <v>640.23611111111109</v>
      </c>
    </row>
    <row r="34" spans="1:9" ht="14.25" hidden="1" customHeight="1">
      <c r="A34" s="26"/>
      <c r="B34" s="53" t="s">
        <v>64</v>
      </c>
      <c r="C34" s="54" t="s">
        <v>33</v>
      </c>
      <c r="D34" s="53" t="s">
        <v>66</v>
      </c>
      <c r="E34" s="55"/>
      <c r="F34" s="56">
        <v>3</v>
      </c>
      <c r="G34" s="56">
        <v>204.52</v>
      </c>
      <c r="H34" s="57">
        <f t="shared" si="3"/>
        <v>0.61356000000000011</v>
      </c>
      <c r="I34" s="12">
        <v>0</v>
      </c>
    </row>
    <row r="35" spans="1:9" hidden="1">
      <c r="A35" s="26"/>
      <c r="B35" s="53" t="s">
        <v>65</v>
      </c>
      <c r="C35" s="54" t="s">
        <v>32</v>
      </c>
      <c r="D35" s="53" t="s">
        <v>66</v>
      </c>
      <c r="E35" s="55"/>
      <c r="F35" s="56">
        <v>2</v>
      </c>
      <c r="G35" s="56">
        <v>1136.33</v>
      </c>
      <c r="H35" s="57">
        <f t="shared" si="3"/>
        <v>2.2726599999999997</v>
      </c>
      <c r="I35" s="12">
        <v>0</v>
      </c>
    </row>
    <row r="36" spans="1:9" hidden="1">
      <c r="A36" s="26"/>
      <c r="B36" s="75" t="s">
        <v>5</v>
      </c>
      <c r="C36" s="54"/>
      <c r="D36" s="53"/>
      <c r="E36" s="55"/>
      <c r="F36" s="56"/>
      <c r="G36" s="56"/>
      <c r="H36" s="57" t="s">
        <v>125</v>
      </c>
      <c r="I36" s="12"/>
    </row>
    <row r="37" spans="1:9" hidden="1">
      <c r="A37" s="26">
        <v>6</v>
      </c>
      <c r="B37" s="53" t="s">
        <v>26</v>
      </c>
      <c r="C37" s="54" t="s">
        <v>32</v>
      </c>
      <c r="D37" s="53"/>
      <c r="E37" s="55"/>
      <c r="F37" s="56">
        <v>8</v>
      </c>
      <c r="G37" s="56">
        <v>1632.6</v>
      </c>
      <c r="H37" s="57">
        <f t="shared" ref="H37:H44" si="5">SUM(F37*G37/1000)</f>
        <v>13.060799999999999</v>
      </c>
      <c r="I37" s="12">
        <f>F37/6*G37</f>
        <v>2176.7999999999997</v>
      </c>
    </row>
    <row r="38" spans="1:9" hidden="1">
      <c r="A38" s="26">
        <v>7</v>
      </c>
      <c r="B38" s="53" t="s">
        <v>187</v>
      </c>
      <c r="C38" s="54" t="s">
        <v>29</v>
      </c>
      <c r="D38" s="53" t="s">
        <v>188</v>
      </c>
      <c r="E38" s="55">
        <v>477.19</v>
      </c>
      <c r="F38" s="56">
        <f>E38*12/1000</f>
        <v>5.72628</v>
      </c>
      <c r="G38" s="56">
        <v>2247.8000000000002</v>
      </c>
      <c r="H38" s="57">
        <f>G38*F38/1000</f>
        <v>12.871532184000001</v>
      </c>
      <c r="I38" s="12">
        <f>F38/6*G38</f>
        <v>2145.2553640000001</v>
      </c>
    </row>
    <row r="39" spans="1:9" hidden="1">
      <c r="A39" s="26">
        <v>8</v>
      </c>
      <c r="B39" s="53" t="s">
        <v>189</v>
      </c>
      <c r="C39" s="54" t="s">
        <v>29</v>
      </c>
      <c r="D39" s="53" t="s">
        <v>102</v>
      </c>
      <c r="E39" s="55">
        <v>116.93</v>
      </c>
      <c r="F39" s="56">
        <f>E39*30/1000</f>
        <v>3.5079000000000002</v>
      </c>
      <c r="G39" s="56">
        <v>2247.8000000000002</v>
      </c>
      <c r="H39" s="57">
        <f>G39*F39/1000</f>
        <v>7.8850576200000013</v>
      </c>
      <c r="I39" s="12">
        <f>F39/6*G39</f>
        <v>1314.1762700000002</v>
      </c>
    </row>
    <row r="40" spans="1:9" hidden="1">
      <c r="A40" s="26"/>
      <c r="B40" s="53" t="s">
        <v>190</v>
      </c>
      <c r="C40" s="54" t="s">
        <v>191</v>
      </c>
      <c r="D40" s="53" t="s">
        <v>66</v>
      </c>
      <c r="E40" s="55"/>
      <c r="F40" s="56">
        <v>135</v>
      </c>
      <c r="G40" s="56">
        <v>213.2</v>
      </c>
      <c r="H40" s="57">
        <f>G40*F40/1000</f>
        <v>28.782</v>
      </c>
      <c r="I40" s="12">
        <v>0</v>
      </c>
    </row>
    <row r="41" spans="1:9" ht="30" hidden="1">
      <c r="A41" s="26">
        <v>9</v>
      </c>
      <c r="B41" s="53" t="s">
        <v>67</v>
      </c>
      <c r="C41" s="54" t="s">
        <v>29</v>
      </c>
      <c r="D41" s="53" t="s">
        <v>103</v>
      </c>
      <c r="E41" s="56">
        <v>116.93</v>
      </c>
      <c r="F41" s="56">
        <f>SUM(E41*155/1000)</f>
        <v>18.12415</v>
      </c>
      <c r="G41" s="56">
        <v>374.95</v>
      </c>
      <c r="H41" s="57">
        <f t="shared" si="5"/>
        <v>6.7956500424999993</v>
      </c>
      <c r="I41" s="12">
        <f>F41/6*G41</f>
        <v>1132.6083404166666</v>
      </c>
    </row>
    <row r="42" spans="1:9" ht="60" hidden="1">
      <c r="A42" s="26">
        <v>10</v>
      </c>
      <c r="B42" s="53" t="s">
        <v>80</v>
      </c>
      <c r="C42" s="54" t="s">
        <v>100</v>
      </c>
      <c r="D42" s="53" t="s">
        <v>119</v>
      </c>
      <c r="E42" s="56">
        <v>116.93</v>
      </c>
      <c r="F42" s="56">
        <f>SUM(E42*24/1000)</f>
        <v>2.8063200000000004</v>
      </c>
      <c r="G42" s="56">
        <v>6203.71</v>
      </c>
      <c r="H42" s="57">
        <f t="shared" si="5"/>
        <v>17.409595447200001</v>
      </c>
      <c r="I42" s="12">
        <f>F42/6*G42</f>
        <v>2901.5992412000005</v>
      </c>
    </row>
    <row r="43" spans="1:9" hidden="1">
      <c r="A43" s="26">
        <v>11</v>
      </c>
      <c r="B43" s="53" t="s">
        <v>104</v>
      </c>
      <c r="C43" s="54" t="s">
        <v>100</v>
      </c>
      <c r="D43" s="53" t="s">
        <v>192</v>
      </c>
      <c r="E43" s="56">
        <v>116.93</v>
      </c>
      <c r="F43" s="56">
        <f>SUM(E43*45/1000)</f>
        <v>5.2618500000000008</v>
      </c>
      <c r="G43" s="56">
        <v>458.28</v>
      </c>
      <c r="H43" s="57">
        <f t="shared" si="5"/>
        <v>2.4114006180000001</v>
      </c>
      <c r="I43" s="12">
        <f>F43/6*G43</f>
        <v>401.90010300000006</v>
      </c>
    </row>
    <row r="44" spans="1:9" hidden="1">
      <c r="A44" s="26">
        <v>12</v>
      </c>
      <c r="B44" s="53" t="s">
        <v>68</v>
      </c>
      <c r="C44" s="54" t="s">
        <v>33</v>
      </c>
      <c r="D44" s="53"/>
      <c r="E44" s="55"/>
      <c r="F44" s="56">
        <v>0.9</v>
      </c>
      <c r="G44" s="56">
        <v>798</v>
      </c>
      <c r="H44" s="57">
        <f t="shared" si="5"/>
        <v>0.71820000000000006</v>
      </c>
      <c r="I44" s="12">
        <f>F44/6*G44</f>
        <v>119.69999999999999</v>
      </c>
    </row>
    <row r="45" spans="1:9">
      <c r="A45" s="202" t="s">
        <v>193</v>
      </c>
      <c r="B45" s="203"/>
      <c r="C45" s="203"/>
      <c r="D45" s="203"/>
      <c r="E45" s="203"/>
      <c r="F45" s="203"/>
      <c r="G45" s="203"/>
      <c r="H45" s="203"/>
      <c r="I45" s="204"/>
    </row>
    <row r="46" spans="1:9" ht="20.25" customHeight="1">
      <c r="A46" s="26">
        <v>17</v>
      </c>
      <c r="B46" s="53" t="s">
        <v>121</v>
      </c>
      <c r="C46" s="54" t="s">
        <v>100</v>
      </c>
      <c r="D46" s="53" t="s">
        <v>41</v>
      </c>
      <c r="E46" s="55">
        <v>1030.4000000000001</v>
      </c>
      <c r="F46" s="56">
        <f>SUM(E46*2/1000)</f>
        <v>2.0608</v>
      </c>
      <c r="G46" s="137">
        <v>1114.1300000000001</v>
      </c>
      <c r="H46" s="57">
        <f t="shared" ref="H46:H55" si="6">SUM(F46*G46/1000)</f>
        <v>2.2959991039999998</v>
      </c>
      <c r="I46" s="12">
        <f t="shared" ref="I46:I48" si="7">F46/2*G46</f>
        <v>1147.999552</v>
      </c>
    </row>
    <row r="47" spans="1:9" ht="21" customHeight="1">
      <c r="A47" s="26">
        <v>18</v>
      </c>
      <c r="B47" s="53" t="s">
        <v>34</v>
      </c>
      <c r="C47" s="54" t="s">
        <v>100</v>
      </c>
      <c r="D47" s="53" t="s">
        <v>41</v>
      </c>
      <c r="E47" s="55">
        <v>132</v>
      </c>
      <c r="F47" s="56">
        <f>E47*2/1000</f>
        <v>0.26400000000000001</v>
      </c>
      <c r="G47" s="137">
        <v>4419.05</v>
      </c>
      <c r="H47" s="57">
        <f t="shared" si="6"/>
        <v>1.1666292</v>
      </c>
      <c r="I47" s="12">
        <f t="shared" si="7"/>
        <v>583.31460000000004</v>
      </c>
    </row>
    <row r="48" spans="1:9" ht="20.25" customHeight="1">
      <c r="A48" s="26">
        <v>19</v>
      </c>
      <c r="B48" s="53" t="s">
        <v>35</v>
      </c>
      <c r="C48" s="54" t="s">
        <v>100</v>
      </c>
      <c r="D48" s="53" t="s">
        <v>41</v>
      </c>
      <c r="E48" s="55">
        <v>4248.22</v>
      </c>
      <c r="F48" s="56">
        <f>SUM(E48*2/1000)</f>
        <v>8.4964399999999998</v>
      </c>
      <c r="G48" s="137">
        <v>1803.69</v>
      </c>
      <c r="H48" s="57">
        <f t="shared" si="6"/>
        <v>15.3249438636</v>
      </c>
      <c r="I48" s="12">
        <f t="shared" si="7"/>
        <v>7662.4719317999998</v>
      </c>
    </row>
    <row r="49" spans="1:9" ht="16.5" customHeight="1">
      <c r="A49" s="26">
        <v>20</v>
      </c>
      <c r="B49" s="53" t="s">
        <v>36</v>
      </c>
      <c r="C49" s="54" t="s">
        <v>100</v>
      </c>
      <c r="D49" s="53" t="s">
        <v>41</v>
      </c>
      <c r="E49" s="55">
        <v>2163.66</v>
      </c>
      <c r="F49" s="56">
        <f>SUM(E49*2/1000)</f>
        <v>4.3273199999999994</v>
      </c>
      <c r="G49" s="137">
        <v>1243.43</v>
      </c>
      <c r="H49" s="57">
        <f t="shared" si="6"/>
        <v>5.3807195075999994</v>
      </c>
      <c r="I49" s="12">
        <f>F49/2*G49</f>
        <v>2690.3597537999999</v>
      </c>
    </row>
    <row r="50" spans="1:9" ht="15.75" customHeight="1">
      <c r="A50" s="26">
        <v>21</v>
      </c>
      <c r="B50" s="53" t="s">
        <v>55</v>
      </c>
      <c r="C50" s="54" t="s">
        <v>100</v>
      </c>
      <c r="D50" s="53" t="s">
        <v>131</v>
      </c>
      <c r="E50" s="55">
        <v>1015.4</v>
      </c>
      <c r="F50" s="56">
        <f>SUM(E50*5/1000)</f>
        <v>5.077</v>
      </c>
      <c r="G50" s="137">
        <v>1083.69</v>
      </c>
      <c r="H50" s="57">
        <f t="shared" si="6"/>
        <v>5.5018941300000002</v>
      </c>
      <c r="I50" s="12">
        <f>3.945*G50</f>
        <v>4275.1570499999998</v>
      </c>
    </row>
    <row r="51" spans="1:9" ht="45" hidden="1">
      <c r="A51" s="26"/>
      <c r="B51" s="53" t="s">
        <v>105</v>
      </c>
      <c r="C51" s="54" t="s">
        <v>100</v>
      </c>
      <c r="D51" s="53" t="s">
        <v>41</v>
      </c>
      <c r="E51" s="55">
        <v>1015.4</v>
      </c>
      <c r="F51" s="56">
        <f>SUM(E51*2/1000)</f>
        <v>2.0308000000000002</v>
      </c>
      <c r="G51" s="12">
        <v>1297.28</v>
      </c>
      <c r="H51" s="57">
        <f t="shared" si="6"/>
        <v>2.634516224</v>
      </c>
      <c r="I51" s="12">
        <v>0</v>
      </c>
    </row>
    <row r="52" spans="1:9" ht="30" hidden="1">
      <c r="A52" s="26"/>
      <c r="B52" s="53" t="s">
        <v>106</v>
      </c>
      <c r="C52" s="54" t="s">
        <v>37</v>
      </c>
      <c r="D52" s="53" t="s">
        <v>41</v>
      </c>
      <c r="E52" s="55">
        <v>30</v>
      </c>
      <c r="F52" s="56">
        <f>SUM(E52*2/100)</f>
        <v>0.6</v>
      </c>
      <c r="G52" s="12">
        <v>2918.89</v>
      </c>
      <c r="H52" s="57">
        <f t="shared" si="6"/>
        <v>1.7513339999999997</v>
      </c>
      <c r="I52" s="12">
        <v>0</v>
      </c>
    </row>
    <row r="53" spans="1:9" hidden="1">
      <c r="A53" s="26"/>
      <c r="B53" s="53" t="s">
        <v>38</v>
      </c>
      <c r="C53" s="54" t="s">
        <v>39</v>
      </c>
      <c r="D53" s="53" t="s">
        <v>41</v>
      </c>
      <c r="E53" s="55">
        <v>1</v>
      </c>
      <c r="F53" s="56">
        <v>0.02</v>
      </c>
      <c r="G53" s="12">
        <v>6042.13</v>
      </c>
      <c r="H53" s="57">
        <f t="shared" si="6"/>
        <v>0.12084260000000001</v>
      </c>
      <c r="I53" s="12">
        <v>0</v>
      </c>
    </row>
    <row r="54" spans="1:9" ht="16.5" customHeight="1">
      <c r="A54" s="26">
        <v>22</v>
      </c>
      <c r="B54" s="53" t="s">
        <v>120</v>
      </c>
      <c r="C54" s="54" t="s">
        <v>86</v>
      </c>
      <c r="D54" s="53" t="s">
        <v>69</v>
      </c>
      <c r="E54" s="55">
        <v>90</v>
      </c>
      <c r="F54" s="56">
        <f>E54*4</f>
        <v>360</v>
      </c>
      <c r="G54" s="137">
        <v>185.08</v>
      </c>
      <c r="H54" s="57">
        <f>F54*G54/1000</f>
        <v>66.628799999999998</v>
      </c>
      <c r="I54" s="12">
        <f>G54*E54</f>
        <v>16657.2</v>
      </c>
    </row>
    <row r="55" spans="1:9" ht="15.75" customHeight="1">
      <c r="A55" s="26">
        <v>23</v>
      </c>
      <c r="B55" s="53" t="s">
        <v>40</v>
      </c>
      <c r="C55" s="54" t="s">
        <v>86</v>
      </c>
      <c r="D55" s="53" t="s">
        <v>69</v>
      </c>
      <c r="E55" s="55">
        <v>180</v>
      </c>
      <c r="F55" s="56">
        <f>SUM(E55)*3</f>
        <v>540</v>
      </c>
      <c r="G55" s="141">
        <v>86.15</v>
      </c>
      <c r="H55" s="57">
        <f t="shared" si="6"/>
        <v>46.521000000000001</v>
      </c>
      <c r="I55" s="12">
        <f>G55*E55</f>
        <v>15507.000000000002</v>
      </c>
    </row>
    <row r="56" spans="1:9">
      <c r="A56" s="202" t="s">
        <v>128</v>
      </c>
      <c r="B56" s="203"/>
      <c r="C56" s="203"/>
      <c r="D56" s="203"/>
      <c r="E56" s="203"/>
      <c r="F56" s="203"/>
      <c r="G56" s="203"/>
      <c r="H56" s="203"/>
      <c r="I56" s="204"/>
    </row>
    <row r="57" spans="1:9" hidden="1">
      <c r="A57" s="26"/>
      <c r="B57" s="75" t="s">
        <v>42</v>
      </c>
      <c r="C57" s="54"/>
      <c r="D57" s="53"/>
      <c r="E57" s="55"/>
      <c r="F57" s="56"/>
      <c r="G57" s="56"/>
      <c r="H57" s="57"/>
      <c r="I57" s="12"/>
    </row>
    <row r="58" spans="1:9" ht="30" hidden="1">
      <c r="A58" s="26">
        <v>16</v>
      </c>
      <c r="B58" s="53" t="s">
        <v>194</v>
      </c>
      <c r="C58" s="54" t="s">
        <v>90</v>
      </c>
      <c r="D58" s="53" t="s">
        <v>107</v>
      </c>
      <c r="E58" s="55">
        <v>148.04</v>
      </c>
      <c r="F58" s="56">
        <f>SUM(E58*6/100)</f>
        <v>8.8824000000000005</v>
      </c>
      <c r="G58" s="12">
        <v>1654.04</v>
      </c>
      <c r="H58" s="57">
        <f>SUM(F58*G58/1000)</f>
        <v>14.691844896000001</v>
      </c>
      <c r="I58" s="12">
        <f>F58/6*G58</f>
        <v>2448.6408160000001</v>
      </c>
    </row>
    <row r="59" spans="1:9" ht="30" hidden="1">
      <c r="A59" s="26">
        <v>17</v>
      </c>
      <c r="B59" s="53" t="s">
        <v>84</v>
      </c>
      <c r="C59" s="54" t="s">
        <v>90</v>
      </c>
      <c r="D59" s="53" t="s">
        <v>85</v>
      </c>
      <c r="E59" s="55">
        <v>39.700000000000003</v>
      </c>
      <c r="F59" s="56">
        <f>SUM(E59*12/100)</f>
        <v>4.7640000000000002</v>
      </c>
      <c r="G59" s="12">
        <v>1654.04</v>
      </c>
      <c r="H59" s="57">
        <f>SUM(F59*G59/1000)</f>
        <v>7.8798465599999998</v>
      </c>
      <c r="I59" s="12">
        <f>F59/6*G59</f>
        <v>1313.3077600000001</v>
      </c>
    </row>
    <row r="60" spans="1:9" hidden="1">
      <c r="A60" s="26">
        <v>18</v>
      </c>
      <c r="B60" s="62" t="s">
        <v>122</v>
      </c>
      <c r="C60" s="63" t="s">
        <v>123</v>
      </c>
      <c r="D60" s="62" t="s">
        <v>41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idden="1">
      <c r="A61" s="26">
        <v>19</v>
      </c>
      <c r="B61" s="53" t="s">
        <v>124</v>
      </c>
      <c r="C61" s="54" t="s">
        <v>90</v>
      </c>
      <c r="D61" s="53" t="s">
        <v>107</v>
      </c>
      <c r="E61" s="55">
        <v>41.73</v>
      </c>
      <c r="F61" s="56">
        <f>SUM(E61*6/100)</f>
        <v>2.5038</v>
      </c>
      <c r="G61" s="12">
        <v>1654.04</v>
      </c>
      <c r="H61" s="57">
        <f>SUM(F61*G61/1000)</f>
        <v>4.1413853520000004</v>
      </c>
      <c r="I61" s="12">
        <f>F61/6*G61</f>
        <v>690.23089200000004</v>
      </c>
    </row>
    <row r="62" spans="1:9" ht="18" customHeight="1">
      <c r="A62" s="26"/>
      <c r="B62" s="76" t="s">
        <v>43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195</v>
      </c>
      <c r="C63" s="63" t="s">
        <v>51</v>
      </c>
      <c r="D63" s="62" t="s">
        <v>52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8.75" customHeight="1">
      <c r="A64" s="26">
        <v>24</v>
      </c>
      <c r="B64" s="62" t="s">
        <v>87</v>
      </c>
      <c r="C64" s="63" t="s">
        <v>25</v>
      </c>
      <c r="D64" s="62" t="s">
        <v>30</v>
      </c>
      <c r="E64" s="64">
        <v>203.1</v>
      </c>
      <c r="F64" s="67">
        <f>E64*12</f>
        <v>2437.1999999999998</v>
      </c>
      <c r="G64" s="48">
        <v>1.2</v>
      </c>
      <c r="H64" s="65">
        <f>F64*G64/1000</f>
        <v>2.9246399999999997</v>
      </c>
      <c r="I64" s="12">
        <f>2400/12*G64</f>
        <v>240</v>
      </c>
    </row>
    <row r="65" spans="1:9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</row>
    <row r="66" spans="1:9" hidden="1">
      <c r="A66" s="26">
        <v>19</v>
      </c>
      <c r="B66" s="13" t="s">
        <v>45</v>
      </c>
      <c r="C66" s="15" t="s">
        <v>86</v>
      </c>
      <c r="D66" s="13" t="s">
        <v>66</v>
      </c>
      <c r="E66" s="17">
        <v>10</v>
      </c>
      <c r="F66" s="56">
        <v>10</v>
      </c>
      <c r="G66" s="12">
        <v>237.75</v>
      </c>
      <c r="H66" s="68">
        <f t="shared" ref="H66:H79" si="8">SUM(F66*G66/1000)</f>
        <v>2.3774999999999999</v>
      </c>
      <c r="I66" s="12">
        <f>G66</f>
        <v>237.75</v>
      </c>
    </row>
    <row r="67" spans="1:9" hidden="1">
      <c r="A67" s="26"/>
      <c r="B67" s="13" t="s">
        <v>46</v>
      </c>
      <c r="C67" s="15" t="s">
        <v>86</v>
      </c>
      <c r="D67" s="13" t="s">
        <v>66</v>
      </c>
      <c r="E67" s="17">
        <v>5</v>
      </c>
      <c r="F67" s="56">
        <v>5</v>
      </c>
      <c r="G67" s="12">
        <v>81.510000000000005</v>
      </c>
      <c r="H67" s="68">
        <f t="shared" si="8"/>
        <v>0.40755000000000002</v>
      </c>
      <c r="I67" s="12">
        <v>0</v>
      </c>
    </row>
    <row r="68" spans="1:9" ht="18.75" customHeight="1">
      <c r="A68" s="26">
        <v>25</v>
      </c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37">
        <v>278.24</v>
      </c>
      <c r="H68" s="68">
        <f t="shared" si="8"/>
        <v>39.523992000000007</v>
      </c>
      <c r="I68" s="12">
        <f>F68*G68</f>
        <v>39523.992000000006</v>
      </c>
    </row>
    <row r="69" spans="1:9" ht="18" customHeight="1">
      <c r="A69" s="26">
        <v>26</v>
      </c>
      <c r="B69" s="13" t="s">
        <v>48</v>
      </c>
      <c r="C69" s="15" t="s">
        <v>110</v>
      </c>
      <c r="D69" s="13" t="s">
        <v>52</v>
      </c>
      <c r="E69" s="55">
        <v>14205</v>
      </c>
      <c r="F69" s="12">
        <f>SUM(E69/1000)</f>
        <v>14.205</v>
      </c>
      <c r="G69" s="137">
        <v>216.68</v>
      </c>
      <c r="H69" s="68">
        <f t="shared" si="8"/>
        <v>3.0779394</v>
      </c>
      <c r="I69" s="12">
        <f t="shared" ref="I69:I70" si="9">F69*G69</f>
        <v>3077.9394000000002</v>
      </c>
    </row>
    <row r="70" spans="1:9" ht="15.75" customHeight="1">
      <c r="A70" s="26">
        <v>27</v>
      </c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37">
        <v>2720.94</v>
      </c>
      <c r="H70" s="68">
        <f t="shared" si="8"/>
        <v>57.983231399999994</v>
      </c>
      <c r="I70" s="12">
        <f t="shared" si="9"/>
        <v>57983.231399999997</v>
      </c>
    </row>
    <row r="71" spans="1:9" ht="18.75" customHeight="1">
      <c r="A71" s="26">
        <v>28</v>
      </c>
      <c r="B71" s="69" t="s">
        <v>111</v>
      </c>
      <c r="C71" s="15" t="s">
        <v>33</v>
      </c>
      <c r="D71" s="13" t="s">
        <v>52</v>
      </c>
      <c r="E71" s="55">
        <v>12.48</v>
      </c>
      <c r="F71" s="12">
        <f>SUM(E71)</f>
        <v>12.48</v>
      </c>
      <c r="G71" s="137">
        <v>44.31</v>
      </c>
      <c r="H71" s="68">
        <f t="shared" si="8"/>
        <v>0.55298880000000006</v>
      </c>
      <c r="I71" s="12">
        <f>7*G71</f>
        <v>310.17</v>
      </c>
    </row>
    <row r="72" spans="1:9" ht="15.75" customHeight="1">
      <c r="A72" s="26">
        <v>29</v>
      </c>
      <c r="B72" s="69" t="s">
        <v>112</v>
      </c>
      <c r="C72" s="15" t="s">
        <v>33</v>
      </c>
      <c r="D72" s="13" t="s">
        <v>52</v>
      </c>
      <c r="E72" s="55">
        <v>12.48</v>
      </c>
      <c r="F72" s="12">
        <f>SUM(E72)</f>
        <v>12.48</v>
      </c>
      <c r="G72" s="137">
        <v>47.79</v>
      </c>
      <c r="H72" s="68">
        <f t="shared" si="8"/>
        <v>0.59641920000000004</v>
      </c>
      <c r="I72" s="12">
        <f>7*G72</f>
        <v>334.53</v>
      </c>
    </row>
    <row r="73" spans="1:9" ht="35.25" hidden="1" customHeight="1">
      <c r="A73" s="26"/>
      <c r="B73" s="13" t="s">
        <v>56</v>
      </c>
      <c r="C73" s="15" t="s">
        <v>57</v>
      </c>
      <c r="D73" s="13" t="s">
        <v>52</v>
      </c>
      <c r="E73" s="17">
        <v>5</v>
      </c>
      <c r="F73" s="56">
        <v>5</v>
      </c>
      <c r="G73" s="12">
        <v>53.32</v>
      </c>
      <c r="H73" s="68">
        <f t="shared" si="8"/>
        <v>0.2666</v>
      </c>
      <c r="I73" s="12">
        <v>0</v>
      </c>
    </row>
    <row r="74" spans="1:9" ht="31.5" hidden="1" customHeight="1">
      <c r="A74" s="26"/>
      <c r="B74" s="113" t="s">
        <v>70</v>
      </c>
      <c r="C74" s="15"/>
      <c r="D74" s="13"/>
      <c r="E74" s="17"/>
      <c r="F74" s="12"/>
      <c r="G74" s="12"/>
      <c r="H74" s="68" t="s">
        <v>125</v>
      </c>
      <c r="I74" s="12"/>
    </row>
    <row r="75" spans="1:9" ht="26.25" hidden="1" customHeight="1">
      <c r="A75" s="26">
        <v>21</v>
      </c>
      <c r="B75" s="13" t="s">
        <v>71</v>
      </c>
      <c r="C75" s="15" t="s">
        <v>73</v>
      </c>
      <c r="D75" s="13" t="s">
        <v>66</v>
      </c>
      <c r="E75" s="17">
        <v>2</v>
      </c>
      <c r="F75" s="12">
        <v>0.2</v>
      </c>
      <c r="G75" s="12">
        <v>536.23</v>
      </c>
      <c r="H75" s="68">
        <f t="shared" si="8"/>
        <v>0.10724600000000001</v>
      </c>
      <c r="I75" s="12">
        <f>G75*0.1</f>
        <v>53.623000000000005</v>
      </c>
    </row>
    <row r="76" spans="1:9" ht="30.75" hidden="1" customHeight="1">
      <c r="A76" s="26"/>
      <c r="B76" s="13" t="s">
        <v>72</v>
      </c>
      <c r="C76" s="15" t="s">
        <v>31</v>
      </c>
      <c r="D76" s="13" t="s">
        <v>66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t="41.25" hidden="1" customHeight="1">
      <c r="A77" s="26"/>
      <c r="B77" s="13" t="s">
        <v>196</v>
      </c>
      <c r="C77" s="15" t="s">
        <v>31</v>
      </c>
      <c r="D77" s="13" t="s">
        <v>66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t="38.25" hidden="1" customHeight="1">
      <c r="A78" s="26"/>
      <c r="B78" s="70" t="s">
        <v>74</v>
      </c>
      <c r="C78" s="15"/>
      <c r="D78" s="13"/>
      <c r="E78" s="17"/>
      <c r="F78" s="12"/>
      <c r="G78" s="12" t="s">
        <v>125</v>
      </c>
      <c r="H78" s="68" t="s">
        <v>125</v>
      </c>
      <c r="I78" s="12"/>
    </row>
    <row r="79" spans="1:9" ht="33.75" hidden="1" customHeight="1">
      <c r="A79" s="26">
        <v>22</v>
      </c>
      <c r="B79" s="39" t="s">
        <v>115</v>
      </c>
      <c r="C79" s="15" t="s">
        <v>75</v>
      </c>
      <c r="D79" s="13"/>
      <c r="E79" s="17"/>
      <c r="F79" s="12">
        <v>0.9</v>
      </c>
      <c r="G79" s="12">
        <v>2757.42</v>
      </c>
      <c r="H79" s="68">
        <f t="shared" si="8"/>
        <v>2.4816780000000005</v>
      </c>
      <c r="I79" s="12">
        <f>G79*F79</f>
        <v>2481.6780000000003</v>
      </c>
    </row>
    <row r="80" spans="1:9" ht="31.5" hidden="1" customHeight="1">
      <c r="A80" s="26"/>
      <c r="B80" s="113" t="s">
        <v>113</v>
      </c>
      <c r="C80" s="70"/>
      <c r="D80" s="28"/>
      <c r="E80" s="29"/>
      <c r="F80" s="59"/>
      <c r="G80" s="59"/>
      <c r="H80" s="71">
        <f>SUM(H58:H79)</f>
        <v>150.01431058800003</v>
      </c>
      <c r="I80" s="59"/>
    </row>
    <row r="81" spans="1:9" ht="16.5" hidden="1" customHeight="1">
      <c r="A81" s="126">
        <v>23</v>
      </c>
      <c r="B81" s="62" t="s">
        <v>114</v>
      </c>
      <c r="C81" s="127"/>
      <c r="D81" s="128"/>
      <c r="E81" s="49"/>
      <c r="F81" s="74">
        <v>1</v>
      </c>
      <c r="G81" s="74">
        <v>27901.200000000001</v>
      </c>
      <c r="H81" s="129">
        <f>G81*F81/1000</f>
        <v>27.901199999999999</v>
      </c>
      <c r="I81" s="74">
        <f>G81</f>
        <v>27901.200000000001</v>
      </c>
    </row>
    <row r="82" spans="1:9" ht="16.5" customHeight="1">
      <c r="A82" s="26"/>
      <c r="B82" s="139" t="s">
        <v>148</v>
      </c>
      <c r="C82" s="140"/>
      <c r="D82" s="13"/>
      <c r="E82" s="17"/>
      <c r="F82" s="12"/>
      <c r="G82" s="12"/>
      <c r="H82" s="12"/>
      <c r="I82" s="12"/>
    </row>
    <row r="83" spans="1:9" ht="36" customHeight="1">
      <c r="A83" s="26">
        <v>30</v>
      </c>
      <c r="B83" s="106" t="s">
        <v>149</v>
      </c>
      <c r="C83" s="32" t="s">
        <v>150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16.5" customHeight="1">
      <c r="A84" s="26">
        <v>31</v>
      </c>
      <c r="B84" s="111" t="s">
        <v>151</v>
      </c>
      <c r="C84" s="112" t="s">
        <v>86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10" t="s">
        <v>129</v>
      </c>
      <c r="B85" s="211"/>
      <c r="C85" s="211"/>
      <c r="D85" s="211"/>
      <c r="E85" s="211"/>
      <c r="F85" s="211"/>
      <c r="G85" s="211"/>
      <c r="H85" s="211"/>
      <c r="I85" s="212"/>
    </row>
    <row r="86" spans="1:9" ht="20.25" customHeight="1">
      <c r="A86" s="77">
        <v>32</v>
      </c>
      <c r="B86" s="130" t="s">
        <v>116</v>
      </c>
      <c r="C86" s="131" t="s">
        <v>53</v>
      </c>
      <c r="D86" s="132" t="s">
        <v>54</v>
      </c>
      <c r="E86" s="133">
        <v>3945</v>
      </c>
      <c r="F86" s="133">
        <f>SUM(E86*12)</f>
        <v>47340</v>
      </c>
      <c r="G86" s="138">
        <v>3.1</v>
      </c>
      <c r="H86" s="134">
        <f>SUM(F86*G86/1000)</f>
        <v>146.75399999999999</v>
      </c>
      <c r="I86" s="133">
        <f>F86/12*G86</f>
        <v>12229.5</v>
      </c>
    </row>
    <row r="87" spans="1:9" ht="42.75" customHeight="1">
      <c r="A87" s="26">
        <v>33</v>
      </c>
      <c r="B87" s="13" t="s">
        <v>76</v>
      </c>
      <c r="C87" s="15"/>
      <c r="D87" s="132" t="s">
        <v>54</v>
      </c>
      <c r="E87" s="55">
        <f>E86</f>
        <v>3945</v>
      </c>
      <c r="F87" s="12">
        <f>E87*12</f>
        <v>47340</v>
      </c>
      <c r="G87" s="137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79</v>
      </c>
      <c r="C88" s="32"/>
      <c r="D88" s="14"/>
      <c r="E88" s="14"/>
      <c r="F88" s="17"/>
      <c r="G88" s="135"/>
      <c r="H88" s="71">
        <f>H87</f>
        <v>165.69</v>
      </c>
      <c r="I88" s="29">
        <f>I87+I86+I84+I83+I72+I71+I70+I69+I68+I64+I55+I54+I50+I49+I48+I47+I46+I33+I32+I31+I30+I29+I26+I25+I24+I23+I22+I21+I20+I19+I18+I17+I16</f>
        <v>224161.96204437784</v>
      </c>
    </row>
    <row r="89" spans="1:9">
      <c r="A89" s="207" t="s">
        <v>59</v>
      </c>
      <c r="B89" s="208"/>
      <c r="C89" s="208"/>
      <c r="D89" s="208"/>
      <c r="E89" s="208"/>
      <c r="F89" s="208"/>
      <c r="G89" s="208"/>
      <c r="H89" s="208"/>
      <c r="I89" s="209"/>
    </row>
    <row r="90" spans="1:9" ht="18.75" customHeight="1">
      <c r="A90" s="26">
        <v>34</v>
      </c>
      <c r="B90" s="111" t="s">
        <v>200</v>
      </c>
      <c r="C90" s="112" t="s">
        <v>29</v>
      </c>
      <c r="D90" s="39"/>
      <c r="E90" s="12"/>
      <c r="F90" s="12">
        <v>2</v>
      </c>
      <c r="G90" s="107">
        <v>1158.7</v>
      </c>
      <c r="H90" s="12">
        <f t="shared" ref="H90:H91" si="10">G90*F90/1000</f>
        <v>2.3174000000000001</v>
      </c>
      <c r="I90" s="74">
        <f>G90*0.0431</f>
        <v>49.939970000000002</v>
      </c>
    </row>
    <row r="91" spans="1:9" hidden="1">
      <c r="A91" s="26">
        <v>28</v>
      </c>
      <c r="B91" s="72"/>
      <c r="C91" s="73"/>
      <c r="D91" s="39"/>
      <c r="E91" s="12"/>
      <c r="F91" s="12">
        <v>1</v>
      </c>
      <c r="G91" s="12"/>
      <c r="H91" s="68">
        <f t="shared" si="10"/>
        <v>0</v>
      </c>
      <c r="I91" s="74"/>
    </row>
    <row r="92" spans="1:9" hidden="1">
      <c r="A92" s="26">
        <v>29</v>
      </c>
      <c r="B92" s="72"/>
      <c r="C92" s="73"/>
      <c r="D92" s="39"/>
      <c r="E92" s="12"/>
      <c r="F92" s="12">
        <v>4</v>
      </c>
      <c r="G92" s="12"/>
      <c r="H92" s="68">
        <f>G92*F92/1000</f>
        <v>0</v>
      </c>
      <c r="I92" s="74">
        <f t="shared" ref="I92" si="11">G92</f>
        <v>0</v>
      </c>
    </row>
    <row r="93" spans="1:9" hidden="1">
      <c r="A93" s="26">
        <v>30</v>
      </c>
      <c r="B93" s="72"/>
      <c r="C93" s="73"/>
      <c r="D93" s="39"/>
      <c r="E93" s="12"/>
      <c r="F93" s="12">
        <v>2</v>
      </c>
      <c r="G93" s="12"/>
      <c r="H93" s="68">
        <f t="shared" ref="H93" si="12">G93*F93/1000</f>
        <v>0</v>
      </c>
      <c r="I93" s="74"/>
    </row>
    <row r="94" spans="1:9" hidden="1">
      <c r="A94" s="136">
        <v>31</v>
      </c>
      <c r="B94" s="72"/>
      <c r="C94" s="109"/>
      <c r="D94" s="39"/>
      <c r="E94" s="12"/>
      <c r="F94" s="12">
        <v>1</v>
      </c>
      <c r="G94" s="12"/>
      <c r="H94" s="68">
        <f>G94*F94/1000</f>
        <v>0</v>
      </c>
      <c r="I94" s="74"/>
    </row>
    <row r="95" spans="1:9" ht="15.75" customHeight="1">
      <c r="A95" s="26"/>
      <c r="B95" s="37" t="s">
        <v>50</v>
      </c>
      <c r="C95" s="33"/>
      <c r="D95" s="40"/>
      <c r="E95" s="33">
        <v>1</v>
      </c>
      <c r="F95" s="33"/>
      <c r="G95" s="33"/>
      <c r="H95" s="33"/>
      <c r="I95" s="29">
        <f>SUM(I90:I94)</f>
        <v>49.939970000000002</v>
      </c>
    </row>
    <row r="96" spans="1:9">
      <c r="A96" s="26"/>
      <c r="B96" s="39" t="s">
        <v>77</v>
      </c>
      <c r="C96" s="14"/>
      <c r="D96" s="14"/>
      <c r="E96" s="34"/>
      <c r="F96" s="34"/>
      <c r="G96" s="35"/>
      <c r="H96" s="35"/>
      <c r="I96" s="16">
        <v>0</v>
      </c>
    </row>
    <row r="97" spans="1:9">
      <c r="A97" s="41"/>
      <c r="B97" s="38" t="s">
        <v>197</v>
      </c>
      <c r="C97" s="30"/>
      <c r="D97" s="30"/>
      <c r="E97" s="30"/>
      <c r="F97" s="30"/>
      <c r="G97" s="30"/>
      <c r="H97" s="30"/>
      <c r="I97" s="36">
        <f>I88+I95</f>
        <v>224211.90201437785</v>
      </c>
    </row>
    <row r="98" spans="1:9" ht="15.75">
      <c r="A98" s="206" t="s">
        <v>201</v>
      </c>
      <c r="B98" s="206"/>
      <c r="C98" s="206"/>
      <c r="D98" s="206"/>
      <c r="E98" s="206"/>
      <c r="F98" s="206"/>
      <c r="G98" s="206"/>
      <c r="H98" s="206"/>
      <c r="I98" s="206"/>
    </row>
    <row r="99" spans="1:9" ht="15.75">
      <c r="A99" s="78"/>
      <c r="B99" s="213" t="s">
        <v>202</v>
      </c>
      <c r="C99" s="213"/>
      <c r="D99" s="213"/>
      <c r="E99" s="213"/>
      <c r="F99" s="213"/>
      <c r="G99" s="213"/>
      <c r="H99" s="52"/>
      <c r="I99" s="3"/>
    </row>
    <row r="100" spans="1:9">
      <c r="A100" s="118"/>
      <c r="B100" s="214" t="s">
        <v>6</v>
      </c>
      <c r="C100" s="214"/>
      <c r="D100" s="214"/>
      <c r="E100" s="214"/>
      <c r="F100" s="214"/>
      <c r="G100" s="214"/>
      <c r="H100" s="21"/>
      <c r="I100" s="5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>
      <c r="A102" s="215" t="s">
        <v>7</v>
      </c>
      <c r="B102" s="215"/>
      <c r="C102" s="215"/>
      <c r="D102" s="215"/>
      <c r="E102" s="215"/>
      <c r="F102" s="215"/>
      <c r="G102" s="215"/>
      <c r="H102" s="215"/>
      <c r="I102" s="215"/>
    </row>
    <row r="103" spans="1:9" ht="15.75">
      <c r="A103" s="215" t="s">
        <v>8</v>
      </c>
      <c r="B103" s="215"/>
      <c r="C103" s="215"/>
      <c r="D103" s="215"/>
      <c r="E103" s="215"/>
      <c r="F103" s="215"/>
      <c r="G103" s="215"/>
      <c r="H103" s="215"/>
      <c r="I103" s="215"/>
    </row>
    <row r="104" spans="1:9" ht="15.75">
      <c r="A104" s="216" t="s">
        <v>60</v>
      </c>
      <c r="B104" s="216"/>
      <c r="C104" s="216"/>
      <c r="D104" s="216"/>
      <c r="E104" s="216"/>
      <c r="F104" s="216"/>
      <c r="G104" s="216"/>
      <c r="H104" s="216"/>
      <c r="I104" s="216"/>
    </row>
    <row r="105" spans="1:9" ht="15.75">
      <c r="A105" s="10"/>
    </row>
    <row r="106" spans="1:9" ht="15.75">
      <c r="A106" s="200" t="s">
        <v>9</v>
      </c>
      <c r="B106" s="200"/>
      <c r="C106" s="200"/>
      <c r="D106" s="200"/>
      <c r="E106" s="200"/>
      <c r="F106" s="200"/>
      <c r="G106" s="200"/>
      <c r="H106" s="200"/>
      <c r="I106" s="200"/>
    </row>
    <row r="107" spans="1:9" ht="15.75">
      <c r="A107" s="4"/>
    </row>
    <row r="108" spans="1:9" ht="15.75">
      <c r="B108" s="116" t="s">
        <v>10</v>
      </c>
      <c r="C108" s="218" t="s">
        <v>83</v>
      </c>
      <c r="D108" s="218"/>
      <c r="E108" s="218"/>
      <c r="F108" s="50"/>
      <c r="I108" s="117"/>
    </row>
    <row r="109" spans="1:9">
      <c r="A109" s="118"/>
      <c r="C109" s="214" t="s">
        <v>11</v>
      </c>
      <c r="D109" s="214"/>
      <c r="E109" s="214"/>
      <c r="F109" s="21"/>
      <c r="I109" s="115" t="s">
        <v>12</v>
      </c>
    </row>
    <row r="110" spans="1:9" ht="15.75">
      <c r="A110" s="22"/>
      <c r="C110" s="11"/>
      <c r="D110" s="11"/>
      <c r="G110" s="11"/>
      <c r="H110" s="11"/>
    </row>
    <row r="111" spans="1:9" ht="15.75">
      <c r="B111" s="116" t="s">
        <v>13</v>
      </c>
      <c r="C111" s="219"/>
      <c r="D111" s="219"/>
      <c r="E111" s="219"/>
      <c r="F111" s="51"/>
      <c r="I111" s="117"/>
    </row>
    <row r="112" spans="1:9">
      <c r="A112" s="118"/>
      <c r="C112" s="220" t="s">
        <v>11</v>
      </c>
      <c r="D112" s="220"/>
      <c r="E112" s="220"/>
      <c r="F112" s="118"/>
      <c r="I112" s="115" t="s">
        <v>12</v>
      </c>
    </row>
    <row r="113" spans="1:9" ht="15.75">
      <c r="A113" s="4" t="s">
        <v>14</v>
      </c>
    </row>
    <row r="114" spans="1:9">
      <c r="A114" s="221" t="s">
        <v>15</v>
      </c>
      <c r="B114" s="221"/>
      <c r="C114" s="221"/>
      <c r="D114" s="221"/>
      <c r="E114" s="221"/>
      <c r="F114" s="221"/>
      <c r="G114" s="221"/>
      <c r="H114" s="221"/>
      <c r="I114" s="221"/>
    </row>
    <row r="115" spans="1:9" ht="42.75" customHeight="1">
      <c r="A115" s="217" t="s">
        <v>16</v>
      </c>
      <c r="B115" s="217"/>
      <c r="C115" s="217"/>
      <c r="D115" s="217"/>
      <c r="E115" s="217"/>
      <c r="F115" s="217"/>
      <c r="G115" s="217"/>
      <c r="H115" s="217"/>
      <c r="I115" s="217"/>
    </row>
    <row r="116" spans="1:9" ht="42.75" customHeight="1">
      <c r="A116" s="217" t="s">
        <v>17</v>
      </c>
      <c r="B116" s="217"/>
      <c r="C116" s="217"/>
      <c r="D116" s="217"/>
      <c r="E116" s="217"/>
      <c r="F116" s="217"/>
      <c r="G116" s="217"/>
      <c r="H116" s="217"/>
      <c r="I116" s="217"/>
    </row>
    <row r="117" spans="1:9" ht="38.25" customHeight="1">
      <c r="A117" s="217" t="s">
        <v>21</v>
      </c>
      <c r="B117" s="217"/>
      <c r="C117" s="217"/>
      <c r="D117" s="217"/>
      <c r="E117" s="217"/>
      <c r="F117" s="217"/>
      <c r="G117" s="217"/>
      <c r="H117" s="217"/>
      <c r="I117" s="217"/>
    </row>
    <row r="118" spans="1:9" ht="15.75">
      <c r="A118" s="217" t="s">
        <v>20</v>
      </c>
      <c r="B118" s="217"/>
      <c r="C118" s="217"/>
      <c r="D118" s="217"/>
      <c r="E118" s="217"/>
      <c r="F118" s="217"/>
      <c r="G118" s="217"/>
      <c r="H118" s="217"/>
      <c r="I118" s="217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7:I27"/>
    <mergeCell ref="A45:I45"/>
    <mergeCell ref="A56:I56"/>
    <mergeCell ref="A85:I85"/>
    <mergeCell ref="A89:I89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" right="0.7" top="0.75" bottom="0.75" header="0.3" footer="0.3"/>
  <pageSetup paperSize="9" scale="6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8"/>
  <sheetViews>
    <sheetView view="pageBreakPreview" topLeftCell="A97" zoomScale="60" workbookViewId="0">
      <selection activeCell="K102" sqref="K102"/>
    </sheetView>
  </sheetViews>
  <sheetFormatPr defaultRowHeight="15"/>
  <cols>
    <col min="1" max="1" width="12.42578125" customWidth="1"/>
    <col min="2" max="2" width="47.42578125" customWidth="1"/>
    <col min="3" max="3" width="18.140625" customWidth="1"/>
    <col min="4" max="4" width="17.7109375" customWidth="1"/>
    <col min="5" max="6" width="0" hidden="1" customWidth="1"/>
    <col min="7" max="7" width="18.28515625" customWidth="1"/>
    <col min="8" max="8" width="0" hidden="1" customWidth="1"/>
    <col min="9" max="9" width="17.42578125" customWidth="1"/>
  </cols>
  <sheetData>
    <row r="1" spans="1:9" ht="15.75">
      <c r="A1" s="24" t="s">
        <v>81</v>
      </c>
      <c r="I1" s="23"/>
    </row>
    <row r="2" spans="1:9" ht="15.75">
      <c r="A2" s="25" t="s">
        <v>61</v>
      </c>
    </row>
    <row r="3" spans="1:9" ht="15.75">
      <c r="A3" s="195" t="s">
        <v>203</v>
      </c>
      <c r="B3" s="195"/>
      <c r="C3" s="195"/>
      <c r="D3" s="195"/>
      <c r="E3" s="195"/>
      <c r="F3" s="195"/>
      <c r="G3" s="195"/>
      <c r="H3" s="195"/>
      <c r="I3" s="195"/>
    </row>
    <row r="4" spans="1:9" ht="33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9" ht="15.75">
      <c r="A5" s="195" t="s">
        <v>204</v>
      </c>
      <c r="B5" s="197"/>
      <c r="C5" s="197"/>
      <c r="D5" s="197"/>
      <c r="E5" s="197"/>
      <c r="F5" s="197"/>
      <c r="G5" s="197"/>
      <c r="H5" s="197"/>
      <c r="I5" s="197"/>
    </row>
    <row r="6" spans="1:9" ht="15.75">
      <c r="A6" s="2"/>
      <c r="B6" s="125"/>
      <c r="C6" s="125"/>
      <c r="D6" s="125"/>
      <c r="E6" s="125"/>
      <c r="F6" s="125"/>
      <c r="G6" s="125"/>
      <c r="H6" s="125"/>
      <c r="I6" s="27">
        <v>43281</v>
      </c>
    </row>
    <row r="7" spans="1:9" ht="15.75">
      <c r="B7" s="123"/>
      <c r="C7" s="123"/>
      <c r="D7" s="123"/>
      <c r="E7" s="3"/>
      <c r="F7" s="3"/>
      <c r="G7" s="3"/>
      <c r="H7" s="3"/>
    </row>
    <row r="8" spans="1:9" ht="64.5" customHeight="1">
      <c r="A8" s="198" t="s">
        <v>183</v>
      </c>
      <c r="B8" s="198"/>
      <c r="C8" s="198"/>
      <c r="D8" s="198"/>
      <c r="E8" s="198"/>
      <c r="F8" s="198"/>
      <c r="G8" s="198"/>
      <c r="H8" s="198"/>
      <c r="I8" s="198"/>
    </row>
    <row r="9" spans="1:9" ht="15.75">
      <c r="A9" s="4"/>
    </row>
    <row r="10" spans="1:9" ht="64.5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</row>
    <row r="15" spans="1:9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</row>
    <row r="16" spans="1:9" ht="15.7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142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5.75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142">
        <v>230</v>
      </c>
      <c r="H17" s="57">
        <f t="shared" si="0"/>
        <v>90.934271999999993</v>
      </c>
      <c r="I17" s="12">
        <f>F17/12*G17</f>
        <v>7577.8560000000007</v>
      </c>
    </row>
    <row r="18" spans="1:9" ht="15.7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142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91</v>
      </c>
      <c r="C19" s="54" t="s">
        <v>92</v>
      </c>
      <c r="D19" s="53" t="s">
        <v>93</v>
      </c>
      <c r="E19" s="55">
        <v>93.4</v>
      </c>
      <c r="F19" s="56">
        <f>SUM(E19/10)</f>
        <v>9.34</v>
      </c>
      <c r="G19" s="142">
        <v>223.17</v>
      </c>
      <c r="H19" s="57">
        <f t="shared" si="0"/>
        <v>2.0844078000000001</v>
      </c>
      <c r="I19" s="12">
        <f>5.76*G19</f>
        <v>1285.4591999999998</v>
      </c>
    </row>
    <row r="20" spans="1:9" hidden="1">
      <c r="A20" s="26">
        <v>5</v>
      </c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142">
        <v>285.76</v>
      </c>
      <c r="H20" s="57">
        <f t="shared" si="0"/>
        <v>0.24689664000000003</v>
      </c>
      <c r="I20" s="12">
        <f t="shared" ref="I20:I21" si="1">F20/2*G20</f>
        <v>123.44832000000001</v>
      </c>
    </row>
    <row r="21" spans="1:9" hidden="1">
      <c r="A21" s="26">
        <v>6</v>
      </c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142">
        <v>283.44</v>
      </c>
      <c r="H21" s="57">
        <f t="shared" si="0"/>
        <v>5.7141503999999996E-2</v>
      </c>
      <c r="I21" s="12">
        <f t="shared" si="1"/>
        <v>28.570751999999999</v>
      </c>
    </row>
    <row r="22" spans="1:9" hidden="1">
      <c r="A22" s="26">
        <v>7</v>
      </c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142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142">
        <v>58.08</v>
      </c>
      <c r="H23" s="57">
        <f t="shared" si="0"/>
        <v>2.0490623999999999E-2</v>
      </c>
      <c r="I23" s="12">
        <f t="shared" ref="I23:I24" si="2">F23*G23</f>
        <v>20.490624</v>
      </c>
    </row>
    <row r="24" spans="1:9" hidden="1">
      <c r="A24" s="26">
        <v>9</v>
      </c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142">
        <v>683.05</v>
      </c>
      <c r="H24" s="57">
        <f t="shared" si="0"/>
        <v>0.19671840000000002</v>
      </c>
      <c r="I24" s="12">
        <f t="shared" si="2"/>
        <v>196.7184</v>
      </c>
    </row>
    <row r="25" spans="1:9" ht="19.5" customHeight="1">
      <c r="A25" s="26">
        <v>4</v>
      </c>
      <c r="B25" s="53" t="s">
        <v>63</v>
      </c>
      <c r="C25" s="54" t="s">
        <v>33</v>
      </c>
      <c r="D25" s="53" t="s">
        <v>184</v>
      </c>
      <c r="E25" s="55">
        <v>0.1</v>
      </c>
      <c r="F25" s="56">
        <f>SUM(E25*365)</f>
        <v>36.5</v>
      </c>
      <c r="G25" s="142">
        <v>264.85000000000002</v>
      </c>
      <c r="H25" s="57">
        <f>SUM(F25*G25/1000)</f>
        <v>9.6670250000000006</v>
      </c>
      <c r="I25" s="12">
        <f>15.5/12*G25</f>
        <v>342.09791666666672</v>
      </c>
    </row>
    <row r="26" spans="1:9" ht="15" customHeight="1">
      <c r="A26" s="26">
        <v>5</v>
      </c>
      <c r="B26" s="61" t="s">
        <v>23</v>
      </c>
      <c r="C26" s="54" t="s">
        <v>24</v>
      </c>
      <c r="D26" s="53" t="s">
        <v>184</v>
      </c>
      <c r="E26" s="55">
        <v>3945</v>
      </c>
      <c r="F26" s="56">
        <f>SUM(E26*12)</f>
        <v>47340</v>
      </c>
      <c r="G26" s="142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02" t="s">
        <v>185</v>
      </c>
      <c r="B27" s="203"/>
      <c r="C27" s="203"/>
      <c r="D27" s="203"/>
      <c r="E27" s="203"/>
      <c r="F27" s="203"/>
      <c r="G27" s="203"/>
      <c r="H27" s="203"/>
      <c r="I27" s="204"/>
    </row>
    <row r="28" spans="1:9" ht="19.5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t="17.25" customHeight="1">
      <c r="A29" s="26">
        <v>6</v>
      </c>
      <c r="B29" s="53" t="s">
        <v>99</v>
      </c>
      <c r="C29" s="54" t="s">
        <v>186</v>
      </c>
      <c r="D29" s="53" t="s">
        <v>138</v>
      </c>
      <c r="E29" s="56">
        <v>1044.6500000000001</v>
      </c>
      <c r="F29" s="56">
        <f>SUM(E29*52/1000)</f>
        <v>54.321800000000003</v>
      </c>
      <c r="G29" s="142">
        <v>204.44</v>
      </c>
      <c r="H29" s="57">
        <f t="shared" ref="H29:H35" si="3">SUM(F29*G29/1000)</f>
        <v>11.105548792000002</v>
      </c>
      <c r="I29" s="12">
        <f>17.064/6*G29</f>
        <v>581.42736000000002</v>
      </c>
    </row>
    <row r="30" spans="1:9" ht="17.25" customHeight="1">
      <c r="A30" s="26">
        <v>7</v>
      </c>
      <c r="B30" s="53" t="s">
        <v>127</v>
      </c>
      <c r="C30" s="54" t="s">
        <v>100</v>
      </c>
      <c r="D30" s="53" t="s">
        <v>139</v>
      </c>
      <c r="E30" s="56">
        <v>116.93</v>
      </c>
      <c r="F30" s="56">
        <f>SUM(E30*78/1000)</f>
        <v>9.1205400000000001</v>
      </c>
      <c r="G30" s="142">
        <v>339.21</v>
      </c>
      <c r="H30" s="57">
        <f t="shared" si="3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100</v>
      </c>
      <c r="D31" s="53" t="s">
        <v>52</v>
      </c>
      <c r="E31" s="56">
        <v>1044.6500000000001</v>
      </c>
      <c r="F31" s="56">
        <f>SUM(E31/1000)</f>
        <v>1.0446500000000001</v>
      </c>
      <c r="G31" s="142">
        <v>3961.23</v>
      </c>
      <c r="H31" s="57">
        <f t="shared" si="3"/>
        <v>4.1380989195</v>
      </c>
      <c r="I31" s="12">
        <f>0.3555*G31</f>
        <v>1408.217265</v>
      </c>
    </row>
    <row r="32" spans="1:9" ht="17.25" customHeight="1">
      <c r="A32" s="26">
        <v>8</v>
      </c>
      <c r="B32" s="53" t="s">
        <v>118</v>
      </c>
      <c r="C32" s="54" t="s">
        <v>39</v>
      </c>
      <c r="D32" s="53" t="s">
        <v>140</v>
      </c>
      <c r="E32" s="56">
        <v>6</v>
      </c>
      <c r="F32" s="56">
        <v>9.3000000000000007</v>
      </c>
      <c r="G32" s="142">
        <v>1707.63</v>
      </c>
      <c r="H32" s="57">
        <f>G32*F32/1000</f>
        <v>15.880959000000002</v>
      </c>
      <c r="I32" s="12">
        <f>2.88/6*G32</f>
        <v>819.66240000000005</v>
      </c>
    </row>
    <row r="33" spans="1:9" ht="15.75" customHeight="1">
      <c r="A33" s="26">
        <v>9</v>
      </c>
      <c r="B33" s="53" t="s">
        <v>101</v>
      </c>
      <c r="C33" s="54" t="s">
        <v>31</v>
      </c>
      <c r="D33" s="53" t="s">
        <v>62</v>
      </c>
      <c r="E33" s="60">
        <v>0.33333333333333331</v>
      </c>
      <c r="F33" s="56">
        <f>155/3</f>
        <v>51.666666666666664</v>
      </c>
      <c r="G33" s="142">
        <v>74.349999999999994</v>
      </c>
      <c r="H33" s="57">
        <f>SUM(G33*155/3/1000)</f>
        <v>3.8414166666666665</v>
      </c>
      <c r="I33" s="12">
        <f t="shared" ref="I33" si="4">F33/6*G33</f>
        <v>640.23611111111109</v>
      </c>
    </row>
    <row r="34" spans="1:9" hidden="1">
      <c r="A34" s="26"/>
      <c r="B34" s="53" t="s">
        <v>64</v>
      </c>
      <c r="C34" s="54" t="s">
        <v>33</v>
      </c>
      <c r="D34" s="53" t="s">
        <v>66</v>
      </c>
      <c r="E34" s="55"/>
      <c r="F34" s="56">
        <v>3</v>
      </c>
      <c r="G34" s="56">
        <v>204.52</v>
      </c>
      <c r="H34" s="57">
        <f t="shared" si="3"/>
        <v>0.61356000000000011</v>
      </c>
      <c r="I34" s="12">
        <v>0</v>
      </c>
    </row>
    <row r="35" spans="1:9" hidden="1">
      <c r="A35" s="26"/>
      <c r="B35" s="53" t="s">
        <v>65</v>
      </c>
      <c r="C35" s="54" t="s">
        <v>32</v>
      </c>
      <c r="D35" s="53" t="s">
        <v>66</v>
      </c>
      <c r="E35" s="55"/>
      <c r="F35" s="56">
        <v>2</v>
      </c>
      <c r="G35" s="56">
        <v>1136.33</v>
      </c>
      <c r="H35" s="57">
        <f t="shared" si="3"/>
        <v>2.2726599999999997</v>
      </c>
      <c r="I35" s="12">
        <v>0</v>
      </c>
    </row>
    <row r="36" spans="1:9" ht="16.5" hidden="1" customHeight="1">
      <c r="A36" s="26"/>
      <c r="B36" s="75" t="s">
        <v>5</v>
      </c>
      <c r="C36" s="54"/>
      <c r="D36" s="53"/>
      <c r="E36" s="55"/>
      <c r="F36" s="56"/>
      <c r="G36" s="56"/>
      <c r="H36" s="57" t="s">
        <v>125</v>
      </c>
      <c r="I36" s="12"/>
    </row>
    <row r="37" spans="1:9" hidden="1">
      <c r="A37" s="26">
        <v>6</v>
      </c>
      <c r="B37" s="53" t="s">
        <v>26</v>
      </c>
      <c r="C37" s="54" t="s">
        <v>32</v>
      </c>
      <c r="D37" s="53"/>
      <c r="E37" s="55"/>
      <c r="F37" s="56">
        <v>8</v>
      </c>
      <c r="G37" s="56">
        <v>1632.6</v>
      </c>
      <c r="H37" s="57">
        <f t="shared" ref="H37:H44" si="5">SUM(F37*G37/1000)</f>
        <v>13.060799999999999</v>
      </c>
      <c r="I37" s="12">
        <f>F37/6*G37</f>
        <v>2176.7999999999997</v>
      </c>
    </row>
    <row r="38" spans="1:9" hidden="1">
      <c r="A38" s="26">
        <v>7</v>
      </c>
      <c r="B38" s="53" t="s">
        <v>187</v>
      </c>
      <c r="C38" s="54" t="s">
        <v>29</v>
      </c>
      <c r="D38" s="53" t="s">
        <v>188</v>
      </c>
      <c r="E38" s="55">
        <v>477.19</v>
      </c>
      <c r="F38" s="56">
        <f>E38*12/1000</f>
        <v>5.72628</v>
      </c>
      <c r="G38" s="56">
        <v>2247.8000000000002</v>
      </c>
      <c r="H38" s="57">
        <f>G38*F38/1000</f>
        <v>12.871532184000001</v>
      </c>
      <c r="I38" s="12">
        <f>F38/6*G38</f>
        <v>2145.2553640000001</v>
      </c>
    </row>
    <row r="39" spans="1:9" ht="30" hidden="1">
      <c r="A39" s="26">
        <v>8</v>
      </c>
      <c r="B39" s="53" t="s">
        <v>189</v>
      </c>
      <c r="C39" s="54" t="s">
        <v>29</v>
      </c>
      <c r="D39" s="53" t="s">
        <v>102</v>
      </c>
      <c r="E39" s="55">
        <v>116.93</v>
      </c>
      <c r="F39" s="56">
        <f>E39*30/1000</f>
        <v>3.5079000000000002</v>
      </c>
      <c r="G39" s="56">
        <v>2247.8000000000002</v>
      </c>
      <c r="H39" s="57">
        <f>G39*F39/1000</f>
        <v>7.8850576200000013</v>
      </c>
      <c r="I39" s="12">
        <f>F39/6*G39</f>
        <v>1314.1762700000002</v>
      </c>
    </row>
    <row r="40" spans="1:9" hidden="1">
      <c r="A40" s="26"/>
      <c r="B40" s="53" t="s">
        <v>190</v>
      </c>
      <c r="C40" s="54" t="s">
        <v>191</v>
      </c>
      <c r="D40" s="53" t="s">
        <v>66</v>
      </c>
      <c r="E40" s="55"/>
      <c r="F40" s="56">
        <v>135</v>
      </c>
      <c r="G40" s="56">
        <v>213.2</v>
      </c>
      <c r="H40" s="57">
        <f>G40*F40/1000</f>
        <v>28.782</v>
      </c>
      <c r="I40" s="12">
        <v>0</v>
      </c>
    </row>
    <row r="41" spans="1:9" ht="30" hidden="1">
      <c r="A41" s="26">
        <v>9</v>
      </c>
      <c r="B41" s="53" t="s">
        <v>67</v>
      </c>
      <c r="C41" s="54" t="s">
        <v>29</v>
      </c>
      <c r="D41" s="53" t="s">
        <v>103</v>
      </c>
      <c r="E41" s="56">
        <v>116.93</v>
      </c>
      <c r="F41" s="56">
        <f>SUM(E41*155/1000)</f>
        <v>18.12415</v>
      </c>
      <c r="G41" s="56">
        <v>374.95</v>
      </c>
      <c r="H41" s="57">
        <f t="shared" si="5"/>
        <v>6.7956500424999993</v>
      </c>
      <c r="I41" s="12">
        <f>F41/6*G41</f>
        <v>1132.6083404166666</v>
      </c>
    </row>
    <row r="42" spans="1:9" ht="60" hidden="1">
      <c r="A42" s="26">
        <v>10</v>
      </c>
      <c r="B42" s="53" t="s">
        <v>80</v>
      </c>
      <c r="C42" s="54" t="s">
        <v>100</v>
      </c>
      <c r="D42" s="53" t="s">
        <v>119</v>
      </c>
      <c r="E42" s="56">
        <v>116.93</v>
      </c>
      <c r="F42" s="56">
        <f>SUM(E42*24/1000)</f>
        <v>2.8063200000000004</v>
      </c>
      <c r="G42" s="56">
        <v>6203.71</v>
      </c>
      <c r="H42" s="57">
        <f t="shared" si="5"/>
        <v>17.409595447200001</v>
      </c>
      <c r="I42" s="12">
        <f>F42/6*G42</f>
        <v>2901.5992412000005</v>
      </c>
    </row>
    <row r="43" spans="1:9" hidden="1">
      <c r="A43" s="26">
        <v>11</v>
      </c>
      <c r="B43" s="53" t="s">
        <v>104</v>
      </c>
      <c r="C43" s="54" t="s">
        <v>100</v>
      </c>
      <c r="D43" s="53" t="s">
        <v>192</v>
      </c>
      <c r="E43" s="56">
        <v>116.93</v>
      </c>
      <c r="F43" s="56">
        <f>SUM(E43*45/1000)</f>
        <v>5.2618500000000008</v>
      </c>
      <c r="G43" s="56">
        <v>458.28</v>
      </c>
      <c r="H43" s="57">
        <f t="shared" si="5"/>
        <v>2.4114006180000001</v>
      </c>
      <c r="I43" s="12">
        <f>F43/6*G43</f>
        <v>401.90010300000006</v>
      </c>
    </row>
    <row r="44" spans="1:9" hidden="1">
      <c r="A44" s="26">
        <v>12</v>
      </c>
      <c r="B44" s="53" t="s">
        <v>68</v>
      </c>
      <c r="C44" s="54" t="s">
        <v>33</v>
      </c>
      <c r="D44" s="53"/>
      <c r="E44" s="55"/>
      <c r="F44" s="56">
        <v>0.9</v>
      </c>
      <c r="G44" s="56">
        <v>798</v>
      </c>
      <c r="H44" s="57">
        <f t="shared" si="5"/>
        <v>0.71820000000000006</v>
      </c>
      <c r="I44" s="12">
        <f>F44/6*G44</f>
        <v>119.69999999999999</v>
      </c>
    </row>
    <row r="45" spans="1:9" hidden="1">
      <c r="A45" s="202" t="s">
        <v>193</v>
      </c>
      <c r="B45" s="203"/>
      <c r="C45" s="203"/>
      <c r="D45" s="203"/>
      <c r="E45" s="203"/>
      <c r="F45" s="203"/>
      <c r="G45" s="203"/>
      <c r="H45" s="203"/>
      <c r="I45" s="204"/>
    </row>
    <row r="46" spans="1:9" hidden="1">
      <c r="A46" s="26">
        <v>17</v>
      </c>
      <c r="B46" s="53" t="s">
        <v>121</v>
      </c>
      <c r="C46" s="54" t="s">
        <v>100</v>
      </c>
      <c r="D46" s="53" t="s">
        <v>41</v>
      </c>
      <c r="E46" s="55">
        <v>1030.4000000000001</v>
      </c>
      <c r="F46" s="56">
        <f>SUM(E46*2/1000)</f>
        <v>2.0608</v>
      </c>
      <c r="G46" s="137">
        <v>1114.1300000000001</v>
      </c>
      <c r="H46" s="57">
        <f t="shared" ref="H46:H55" si="6">SUM(F46*G46/1000)</f>
        <v>2.2959991039999998</v>
      </c>
      <c r="I46" s="12">
        <f t="shared" ref="I46:I48" si="7">F46/2*G46</f>
        <v>1147.999552</v>
      </c>
    </row>
    <row r="47" spans="1:9" hidden="1">
      <c r="A47" s="26">
        <v>18</v>
      </c>
      <c r="B47" s="53" t="s">
        <v>34</v>
      </c>
      <c r="C47" s="54" t="s">
        <v>100</v>
      </c>
      <c r="D47" s="53" t="s">
        <v>41</v>
      </c>
      <c r="E47" s="55">
        <v>132</v>
      </c>
      <c r="F47" s="56">
        <f>E47*2/1000</f>
        <v>0.26400000000000001</v>
      </c>
      <c r="G47" s="137">
        <v>4419.05</v>
      </c>
      <c r="H47" s="57">
        <f t="shared" si="6"/>
        <v>1.1666292</v>
      </c>
      <c r="I47" s="12">
        <f t="shared" si="7"/>
        <v>583.31460000000004</v>
      </c>
    </row>
    <row r="48" spans="1:9" hidden="1">
      <c r="A48" s="26">
        <v>19</v>
      </c>
      <c r="B48" s="53" t="s">
        <v>35</v>
      </c>
      <c r="C48" s="54" t="s">
        <v>100</v>
      </c>
      <c r="D48" s="53" t="s">
        <v>41</v>
      </c>
      <c r="E48" s="55">
        <v>4248.22</v>
      </c>
      <c r="F48" s="56">
        <f>SUM(E48*2/1000)</f>
        <v>8.4964399999999998</v>
      </c>
      <c r="G48" s="137">
        <v>1803.69</v>
      </c>
      <c r="H48" s="57">
        <f t="shared" si="6"/>
        <v>15.3249438636</v>
      </c>
      <c r="I48" s="12">
        <f t="shared" si="7"/>
        <v>7662.4719317999998</v>
      </c>
    </row>
    <row r="49" spans="1:9" hidden="1">
      <c r="A49" s="26">
        <v>20</v>
      </c>
      <c r="B49" s="53" t="s">
        <v>36</v>
      </c>
      <c r="C49" s="54" t="s">
        <v>100</v>
      </c>
      <c r="D49" s="53" t="s">
        <v>41</v>
      </c>
      <c r="E49" s="55">
        <v>2163.66</v>
      </c>
      <c r="F49" s="56">
        <f>SUM(E49*2/1000)</f>
        <v>4.3273199999999994</v>
      </c>
      <c r="G49" s="137">
        <v>1243.43</v>
      </c>
      <c r="H49" s="57">
        <f t="shared" si="6"/>
        <v>5.3807195075999994</v>
      </c>
      <c r="I49" s="12">
        <f>F49/2*G49</f>
        <v>2690.3597537999999</v>
      </c>
    </row>
    <row r="50" spans="1:9" hidden="1">
      <c r="A50" s="26">
        <v>21</v>
      </c>
      <c r="B50" s="53" t="s">
        <v>55</v>
      </c>
      <c r="C50" s="54" t="s">
        <v>100</v>
      </c>
      <c r="D50" s="53" t="s">
        <v>131</v>
      </c>
      <c r="E50" s="55">
        <v>1015.4</v>
      </c>
      <c r="F50" s="56">
        <f>SUM(E50*5/1000)</f>
        <v>5.077</v>
      </c>
      <c r="G50" s="137">
        <v>1083.69</v>
      </c>
      <c r="H50" s="57">
        <f t="shared" si="6"/>
        <v>5.5018941300000002</v>
      </c>
      <c r="I50" s="12">
        <f>3.945*G50</f>
        <v>4275.1570499999998</v>
      </c>
    </row>
    <row r="51" spans="1:9" ht="45" hidden="1">
      <c r="A51" s="26"/>
      <c r="B51" s="53" t="s">
        <v>105</v>
      </c>
      <c r="C51" s="54" t="s">
        <v>100</v>
      </c>
      <c r="D51" s="53" t="s">
        <v>41</v>
      </c>
      <c r="E51" s="55">
        <v>1015.4</v>
      </c>
      <c r="F51" s="56">
        <f>SUM(E51*2/1000)</f>
        <v>2.0308000000000002</v>
      </c>
      <c r="G51" s="12">
        <v>1297.28</v>
      </c>
      <c r="H51" s="57">
        <f t="shared" si="6"/>
        <v>2.634516224</v>
      </c>
      <c r="I51" s="12">
        <v>0</v>
      </c>
    </row>
    <row r="52" spans="1:9" ht="30" hidden="1">
      <c r="A52" s="26"/>
      <c r="B52" s="53" t="s">
        <v>106</v>
      </c>
      <c r="C52" s="54" t="s">
        <v>37</v>
      </c>
      <c r="D52" s="53" t="s">
        <v>41</v>
      </c>
      <c r="E52" s="55">
        <v>30</v>
      </c>
      <c r="F52" s="56">
        <f>SUM(E52*2/100)</f>
        <v>0.6</v>
      </c>
      <c r="G52" s="12">
        <v>2918.89</v>
      </c>
      <c r="H52" s="57">
        <f t="shared" si="6"/>
        <v>1.7513339999999997</v>
      </c>
      <c r="I52" s="12">
        <v>0</v>
      </c>
    </row>
    <row r="53" spans="1:9" hidden="1">
      <c r="A53" s="26"/>
      <c r="B53" s="53" t="s">
        <v>38</v>
      </c>
      <c r="C53" s="54" t="s">
        <v>39</v>
      </c>
      <c r="D53" s="53" t="s">
        <v>41</v>
      </c>
      <c r="E53" s="55">
        <v>1</v>
      </c>
      <c r="F53" s="56">
        <v>0.02</v>
      </c>
      <c r="G53" s="12">
        <v>6042.13</v>
      </c>
      <c r="H53" s="57">
        <f t="shared" si="6"/>
        <v>0.12084260000000001</v>
      </c>
      <c r="I53" s="12">
        <v>0</v>
      </c>
    </row>
    <row r="54" spans="1:9" hidden="1">
      <c r="A54" s="26">
        <v>22</v>
      </c>
      <c r="B54" s="53" t="s">
        <v>120</v>
      </c>
      <c r="C54" s="54" t="s">
        <v>86</v>
      </c>
      <c r="D54" s="53" t="s">
        <v>69</v>
      </c>
      <c r="E54" s="55">
        <v>90</v>
      </c>
      <c r="F54" s="56">
        <f>E54*4</f>
        <v>360</v>
      </c>
      <c r="G54" s="137">
        <v>185.08</v>
      </c>
      <c r="H54" s="57">
        <f>F54*G54/1000</f>
        <v>66.628799999999998</v>
      </c>
      <c r="I54" s="12">
        <f>G54*E54</f>
        <v>16657.2</v>
      </c>
    </row>
    <row r="55" spans="1:9" hidden="1">
      <c r="A55" s="26">
        <v>23</v>
      </c>
      <c r="B55" s="53" t="s">
        <v>40</v>
      </c>
      <c r="C55" s="54" t="s">
        <v>86</v>
      </c>
      <c r="D55" s="53" t="s">
        <v>69</v>
      </c>
      <c r="E55" s="55">
        <v>180</v>
      </c>
      <c r="F55" s="56">
        <f>SUM(E55)*3</f>
        <v>540</v>
      </c>
      <c r="G55" s="141">
        <v>86.15</v>
      </c>
      <c r="H55" s="57">
        <f t="shared" si="6"/>
        <v>46.521000000000001</v>
      </c>
      <c r="I55" s="12">
        <f>G55*E55</f>
        <v>15507.000000000002</v>
      </c>
    </row>
    <row r="56" spans="1:9">
      <c r="A56" s="202" t="s">
        <v>165</v>
      </c>
      <c r="B56" s="203"/>
      <c r="C56" s="203"/>
      <c r="D56" s="203"/>
      <c r="E56" s="203"/>
      <c r="F56" s="203"/>
      <c r="G56" s="203"/>
      <c r="H56" s="203"/>
      <c r="I56" s="204"/>
    </row>
    <row r="57" spans="1:9" hidden="1">
      <c r="A57" s="26"/>
      <c r="B57" s="75" t="s">
        <v>42</v>
      </c>
      <c r="C57" s="54"/>
      <c r="D57" s="53"/>
      <c r="E57" s="55"/>
      <c r="F57" s="56"/>
      <c r="G57" s="56"/>
      <c r="H57" s="57"/>
      <c r="I57" s="12"/>
    </row>
    <row r="58" spans="1:9" ht="45" hidden="1">
      <c r="A58" s="26">
        <v>16</v>
      </c>
      <c r="B58" s="53" t="s">
        <v>194</v>
      </c>
      <c r="C58" s="54" t="s">
        <v>90</v>
      </c>
      <c r="D58" s="53" t="s">
        <v>107</v>
      </c>
      <c r="E58" s="55">
        <v>148.04</v>
      </c>
      <c r="F58" s="56">
        <f>SUM(E58*6/100)</f>
        <v>8.8824000000000005</v>
      </c>
      <c r="G58" s="12">
        <v>1654.04</v>
      </c>
      <c r="H58" s="57">
        <f>SUM(F58*G58/1000)</f>
        <v>14.691844896000001</v>
      </c>
      <c r="I58" s="12">
        <f>F58/6*G58</f>
        <v>2448.6408160000001</v>
      </c>
    </row>
    <row r="59" spans="1:9" ht="30" hidden="1">
      <c r="A59" s="26">
        <v>17</v>
      </c>
      <c r="B59" s="53" t="s">
        <v>84</v>
      </c>
      <c r="C59" s="54" t="s">
        <v>90</v>
      </c>
      <c r="D59" s="53" t="s">
        <v>85</v>
      </c>
      <c r="E59" s="55">
        <v>39.700000000000003</v>
      </c>
      <c r="F59" s="56">
        <f>SUM(E59*12/100)</f>
        <v>4.7640000000000002</v>
      </c>
      <c r="G59" s="12">
        <v>1654.04</v>
      </c>
      <c r="H59" s="57">
        <f>SUM(F59*G59/1000)</f>
        <v>7.8798465599999998</v>
      </c>
      <c r="I59" s="12">
        <f>F59/6*G59</f>
        <v>1313.3077600000001</v>
      </c>
    </row>
    <row r="60" spans="1:9" hidden="1">
      <c r="A60" s="26">
        <v>18</v>
      </c>
      <c r="B60" s="62" t="s">
        <v>122</v>
      </c>
      <c r="C60" s="63" t="s">
        <v>123</v>
      </c>
      <c r="D60" s="62" t="s">
        <v>41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idden="1">
      <c r="A61" s="26">
        <v>19</v>
      </c>
      <c r="B61" s="53" t="s">
        <v>124</v>
      </c>
      <c r="C61" s="54" t="s">
        <v>90</v>
      </c>
      <c r="D61" s="53" t="s">
        <v>107</v>
      </c>
      <c r="E61" s="55">
        <v>41.73</v>
      </c>
      <c r="F61" s="56">
        <f>SUM(E61*6/100)</f>
        <v>2.5038</v>
      </c>
      <c r="G61" s="12">
        <v>1654.04</v>
      </c>
      <c r="H61" s="57">
        <f>SUM(F61*G61/1000)</f>
        <v>4.1413853520000004</v>
      </c>
      <c r="I61" s="12">
        <f>F61/6*G61</f>
        <v>690.23089200000004</v>
      </c>
    </row>
    <row r="62" spans="1:9" ht="17.25" customHeight="1">
      <c r="A62" s="26"/>
      <c r="B62" s="76" t="s">
        <v>43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195</v>
      </c>
      <c r="C63" s="63" t="s">
        <v>51</v>
      </c>
      <c r="D63" s="62" t="s">
        <v>52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21" customHeight="1">
      <c r="A64" s="26">
        <v>10</v>
      </c>
      <c r="B64" s="62" t="s">
        <v>87</v>
      </c>
      <c r="C64" s="63" t="s">
        <v>25</v>
      </c>
      <c r="D64" s="62" t="s">
        <v>30</v>
      </c>
      <c r="E64" s="64">
        <v>203.1</v>
      </c>
      <c r="F64" s="67">
        <f>E64*12</f>
        <v>2437.1999999999998</v>
      </c>
      <c r="G64" s="48">
        <v>1.2</v>
      </c>
      <c r="H64" s="65">
        <f>F64*G64/1000</f>
        <v>2.9246399999999997</v>
      </c>
      <c r="I64" s="12">
        <f>2400/12*G64</f>
        <v>240</v>
      </c>
    </row>
    <row r="65" spans="1:9" hidden="1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</row>
    <row r="66" spans="1:9" hidden="1">
      <c r="A66" s="26">
        <v>19</v>
      </c>
      <c r="B66" s="13" t="s">
        <v>45</v>
      </c>
      <c r="C66" s="15" t="s">
        <v>86</v>
      </c>
      <c r="D66" s="13" t="s">
        <v>66</v>
      </c>
      <c r="E66" s="17">
        <v>10</v>
      </c>
      <c r="F66" s="56">
        <v>10</v>
      </c>
      <c r="G66" s="12">
        <v>237.75</v>
      </c>
      <c r="H66" s="68">
        <f t="shared" ref="H66:H79" si="8">SUM(F66*G66/1000)</f>
        <v>2.3774999999999999</v>
      </c>
      <c r="I66" s="12">
        <f>G66</f>
        <v>237.75</v>
      </c>
    </row>
    <row r="67" spans="1:9" hidden="1">
      <c r="A67" s="26"/>
      <c r="B67" s="13" t="s">
        <v>46</v>
      </c>
      <c r="C67" s="15" t="s">
        <v>86</v>
      </c>
      <c r="D67" s="13" t="s">
        <v>66</v>
      </c>
      <c r="E67" s="17">
        <v>5</v>
      </c>
      <c r="F67" s="56">
        <v>5</v>
      </c>
      <c r="G67" s="12">
        <v>81.510000000000005</v>
      </c>
      <c r="H67" s="68">
        <f t="shared" si="8"/>
        <v>0.40755000000000002</v>
      </c>
      <c r="I67" s="12">
        <v>0</v>
      </c>
    </row>
    <row r="68" spans="1:9" hidden="1">
      <c r="A68" s="26">
        <v>25</v>
      </c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37">
        <v>278.24</v>
      </c>
      <c r="H68" s="68">
        <f t="shared" si="8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48</v>
      </c>
      <c r="C69" s="15" t="s">
        <v>110</v>
      </c>
      <c r="D69" s="13" t="s">
        <v>52</v>
      </c>
      <c r="E69" s="55">
        <v>14205</v>
      </c>
      <c r="F69" s="12">
        <f>SUM(E69/1000)</f>
        <v>14.205</v>
      </c>
      <c r="G69" s="137">
        <v>216.68</v>
      </c>
      <c r="H69" s="68">
        <f t="shared" si="8"/>
        <v>3.0779394</v>
      </c>
      <c r="I69" s="12">
        <f t="shared" ref="I69:I70" si="9">F69*G69</f>
        <v>3077.9394000000002</v>
      </c>
    </row>
    <row r="70" spans="1:9" hidden="1">
      <c r="A70" s="26">
        <v>27</v>
      </c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37">
        <v>2720.94</v>
      </c>
      <c r="H70" s="68">
        <f t="shared" si="8"/>
        <v>57.983231399999994</v>
      </c>
      <c r="I70" s="12">
        <f t="shared" si="9"/>
        <v>57983.231399999997</v>
      </c>
    </row>
    <row r="71" spans="1:9" hidden="1">
      <c r="A71" s="26">
        <v>28</v>
      </c>
      <c r="B71" s="69" t="s">
        <v>111</v>
      </c>
      <c r="C71" s="15" t="s">
        <v>33</v>
      </c>
      <c r="D71" s="13" t="s">
        <v>52</v>
      </c>
      <c r="E71" s="55">
        <v>12.48</v>
      </c>
      <c r="F71" s="12">
        <f>SUM(E71)</f>
        <v>12.48</v>
      </c>
      <c r="G71" s="137">
        <v>44.31</v>
      </c>
      <c r="H71" s="68">
        <f t="shared" si="8"/>
        <v>0.55298880000000006</v>
      </c>
      <c r="I71" s="12">
        <f>7*G71</f>
        <v>310.17</v>
      </c>
    </row>
    <row r="72" spans="1:9" hidden="1">
      <c r="A72" s="26">
        <v>29</v>
      </c>
      <c r="B72" s="69" t="s">
        <v>112</v>
      </c>
      <c r="C72" s="15" t="s">
        <v>33</v>
      </c>
      <c r="D72" s="13" t="s">
        <v>52</v>
      </c>
      <c r="E72" s="55">
        <v>12.48</v>
      </c>
      <c r="F72" s="12">
        <f>SUM(E72)</f>
        <v>12.48</v>
      </c>
      <c r="G72" s="137">
        <v>47.79</v>
      </c>
      <c r="H72" s="68">
        <f t="shared" si="8"/>
        <v>0.59641920000000004</v>
      </c>
      <c r="I72" s="12">
        <f>7*G72</f>
        <v>334.53</v>
      </c>
    </row>
    <row r="73" spans="1:9" hidden="1">
      <c r="A73" s="26"/>
      <c r="B73" s="13" t="s">
        <v>56</v>
      </c>
      <c r="C73" s="15" t="s">
        <v>57</v>
      </c>
      <c r="D73" s="13" t="s">
        <v>52</v>
      </c>
      <c r="E73" s="17">
        <v>5</v>
      </c>
      <c r="F73" s="56">
        <v>5</v>
      </c>
      <c r="G73" s="12">
        <v>53.32</v>
      </c>
      <c r="H73" s="68">
        <f t="shared" si="8"/>
        <v>0.2666</v>
      </c>
      <c r="I73" s="12">
        <v>0</v>
      </c>
    </row>
    <row r="74" spans="1:9" hidden="1">
      <c r="A74" s="26"/>
      <c r="B74" s="124" t="s">
        <v>70</v>
      </c>
      <c r="C74" s="15"/>
      <c r="D74" s="13"/>
      <c r="E74" s="17"/>
      <c r="F74" s="12"/>
      <c r="G74" s="12"/>
      <c r="H74" s="68" t="s">
        <v>125</v>
      </c>
      <c r="I74" s="12"/>
    </row>
    <row r="75" spans="1:9" hidden="1">
      <c r="A75" s="26">
        <v>21</v>
      </c>
      <c r="B75" s="13" t="s">
        <v>71</v>
      </c>
      <c r="C75" s="15" t="s">
        <v>73</v>
      </c>
      <c r="D75" s="13" t="s">
        <v>66</v>
      </c>
      <c r="E75" s="17">
        <v>2</v>
      </c>
      <c r="F75" s="12">
        <v>0.2</v>
      </c>
      <c r="G75" s="12">
        <v>536.23</v>
      </c>
      <c r="H75" s="68">
        <f t="shared" si="8"/>
        <v>0.10724600000000001</v>
      </c>
      <c r="I75" s="12">
        <f>G75*0.1</f>
        <v>53.623000000000005</v>
      </c>
    </row>
    <row r="76" spans="1:9" hidden="1">
      <c r="A76" s="26"/>
      <c r="B76" s="13" t="s">
        <v>72</v>
      </c>
      <c r="C76" s="15" t="s">
        <v>31</v>
      </c>
      <c r="D76" s="13" t="s">
        <v>66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idden="1">
      <c r="A77" s="26"/>
      <c r="B77" s="13" t="s">
        <v>196</v>
      </c>
      <c r="C77" s="15" t="s">
        <v>31</v>
      </c>
      <c r="D77" s="13" t="s">
        <v>66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74</v>
      </c>
      <c r="C78" s="15"/>
      <c r="D78" s="13"/>
      <c r="E78" s="17"/>
      <c r="F78" s="12"/>
      <c r="G78" s="12" t="s">
        <v>125</v>
      </c>
      <c r="H78" s="68" t="s">
        <v>125</v>
      </c>
      <c r="I78" s="12"/>
    </row>
    <row r="79" spans="1:9" hidden="1">
      <c r="A79" s="26">
        <v>22</v>
      </c>
      <c r="B79" s="39" t="s">
        <v>115</v>
      </c>
      <c r="C79" s="15" t="s">
        <v>75</v>
      </c>
      <c r="D79" s="13"/>
      <c r="E79" s="17"/>
      <c r="F79" s="12">
        <v>0.9</v>
      </c>
      <c r="G79" s="12">
        <v>2757.42</v>
      </c>
      <c r="H79" s="68">
        <f t="shared" si="8"/>
        <v>2.4816780000000005</v>
      </c>
      <c r="I79" s="12">
        <f>G79*F79</f>
        <v>2481.6780000000003</v>
      </c>
    </row>
    <row r="80" spans="1:9" ht="28.5" hidden="1">
      <c r="A80" s="26"/>
      <c r="B80" s="124" t="s">
        <v>113</v>
      </c>
      <c r="C80" s="70"/>
      <c r="D80" s="28"/>
      <c r="E80" s="29"/>
      <c r="F80" s="59"/>
      <c r="G80" s="59"/>
      <c r="H80" s="71">
        <f>SUM(H58:H79)</f>
        <v>150.01431058800003</v>
      </c>
      <c r="I80" s="59"/>
    </row>
    <row r="81" spans="1:9" hidden="1">
      <c r="A81" s="126">
        <v>23</v>
      </c>
      <c r="B81" s="62" t="s">
        <v>114</v>
      </c>
      <c r="C81" s="127"/>
      <c r="D81" s="128"/>
      <c r="E81" s="49"/>
      <c r="F81" s="74">
        <v>1</v>
      </c>
      <c r="G81" s="74">
        <v>27901.200000000001</v>
      </c>
      <c r="H81" s="129">
        <f>G81*F81/1000</f>
        <v>27.901199999999999</v>
      </c>
      <c r="I81" s="74">
        <f>G81</f>
        <v>27901.200000000001</v>
      </c>
    </row>
    <row r="82" spans="1:9" ht="15" customHeight="1">
      <c r="A82" s="26"/>
      <c r="B82" s="149" t="s">
        <v>148</v>
      </c>
      <c r="C82" s="140"/>
      <c r="D82" s="13"/>
      <c r="E82" s="17"/>
      <c r="F82" s="12"/>
      <c r="G82" s="12"/>
      <c r="H82" s="12"/>
      <c r="I82" s="12"/>
    </row>
    <row r="83" spans="1:9" ht="29.25" customHeight="1">
      <c r="A83" s="26">
        <v>11</v>
      </c>
      <c r="B83" s="106" t="s">
        <v>149</v>
      </c>
      <c r="C83" s="32" t="s">
        <v>150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29.25" customHeight="1">
      <c r="A84" s="26">
        <v>12</v>
      </c>
      <c r="B84" s="111" t="s">
        <v>151</v>
      </c>
      <c r="C84" s="112" t="s">
        <v>86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10" t="s">
        <v>129</v>
      </c>
      <c r="B85" s="211"/>
      <c r="C85" s="211"/>
      <c r="D85" s="211"/>
      <c r="E85" s="211"/>
      <c r="F85" s="211"/>
      <c r="G85" s="211"/>
      <c r="H85" s="211"/>
      <c r="I85" s="212"/>
    </row>
    <row r="86" spans="1:9" ht="18.75" customHeight="1">
      <c r="A86" s="77">
        <v>13</v>
      </c>
      <c r="B86" s="130" t="s">
        <v>116</v>
      </c>
      <c r="C86" s="131" t="s">
        <v>53</v>
      </c>
      <c r="D86" s="132" t="s">
        <v>54</v>
      </c>
      <c r="E86" s="133">
        <v>3945</v>
      </c>
      <c r="F86" s="133">
        <f>SUM(E86*12)</f>
        <v>47340</v>
      </c>
      <c r="G86" s="138">
        <v>3.1</v>
      </c>
      <c r="H86" s="134">
        <f>SUM(F86*G86/1000)</f>
        <v>146.75399999999999</v>
      </c>
      <c r="I86" s="133">
        <f>F86/12*G86</f>
        <v>12229.5</v>
      </c>
    </row>
    <row r="87" spans="1:9" ht="29.25" customHeight="1">
      <c r="A87" s="26">
        <v>14</v>
      </c>
      <c r="B87" s="13" t="s">
        <v>76</v>
      </c>
      <c r="C87" s="15"/>
      <c r="D87" s="132" t="s">
        <v>54</v>
      </c>
      <c r="E87" s="55">
        <f>E86</f>
        <v>3945</v>
      </c>
      <c r="F87" s="12">
        <f>E87*12</f>
        <v>47340</v>
      </c>
      <c r="G87" s="137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79</v>
      </c>
      <c r="C88" s="32"/>
      <c r="D88" s="14"/>
      <c r="E88" s="14"/>
      <c r="F88" s="17"/>
      <c r="G88" s="135"/>
      <c r="H88" s="71">
        <f>H87</f>
        <v>165.69</v>
      </c>
      <c r="I88" s="29">
        <f>I87+I86+I84+I83+I64+I33+I32+I30+I29+I26+I25+I18+I17+I16</f>
        <v>69076.414155777777</v>
      </c>
    </row>
    <row r="89" spans="1:9">
      <c r="A89" s="207" t="s">
        <v>59</v>
      </c>
      <c r="B89" s="208"/>
      <c r="C89" s="208"/>
      <c r="D89" s="208"/>
      <c r="E89" s="208"/>
      <c r="F89" s="208"/>
      <c r="G89" s="208"/>
      <c r="H89" s="208"/>
      <c r="I89" s="209"/>
    </row>
    <row r="90" spans="1:9" hidden="1">
      <c r="A90" s="26">
        <v>34</v>
      </c>
      <c r="B90" s="111"/>
      <c r="C90" s="112" t="s">
        <v>29</v>
      </c>
      <c r="D90" s="39"/>
      <c r="E90" s="12"/>
      <c r="F90" s="12">
        <v>2</v>
      </c>
      <c r="G90" s="107">
        <v>1158.7</v>
      </c>
      <c r="H90" s="12">
        <f t="shared" ref="H90:H91" si="10">G90*F90/1000</f>
        <v>2.3174000000000001</v>
      </c>
      <c r="I90" s="74">
        <f>G90*0.0431</f>
        <v>49.939970000000002</v>
      </c>
    </row>
    <row r="91" spans="1:9" hidden="1">
      <c r="A91" s="26">
        <v>28</v>
      </c>
      <c r="B91" s="72"/>
      <c r="C91" s="73"/>
      <c r="D91" s="39"/>
      <c r="E91" s="12"/>
      <c r="F91" s="12">
        <v>1</v>
      </c>
      <c r="G91" s="12"/>
      <c r="H91" s="68">
        <f t="shared" si="10"/>
        <v>0</v>
      </c>
      <c r="I91" s="74"/>
    </row>
    <row r="92" spans="1:9" hidden="1">
      <c r="A92" s="26">
        <v>29</v>
      </c>
      <c r="B92" s="72"/>
      <c r="C92" s="73"/>
      <c r="D92" s="39"/>
      <c r="E92" s="12"/>
      <c r="F92" s="12">
        <v>4</v>
      </c>
      <c r="G92" s="12"/>
      <c r="H92" s="68">
        <f>G92*F92/1000</f>
        <v>0</v>
      </c>
      <c r="I92" s="74">
        <f t="shared" ref="I92" si="11">G92</f>
        <v>0</v>
      </c>
    </row>
    <row r="93" spans="1:9" hidden="1">
      <c r="A93" s="26">
        <v>30</v>
      </c>
      <c r="B93" s="72"/>
      <c r="C93" s="73"/>
      <c r="D93" s="39"/>
      <c r="E93" s="12"/>
      <c r="F93" s="12">
        <v>2</v>
      </c>
      <c r="G93" s="12"/>
      <c r="H93" s="68">
        <f t="shared" ref="H93" si="12">G93*F93/1000</f>
        <v>0</v>
      </c>
      <c r="I93" s="74"/>
    </row>
    <row r="94" spans="1:9" hidden="1">
      <c r="A94" s="136">
        <v>31</v>
      </c>
      <c r="B94" s="72"/>
      <c r="C94" s="109"/>
      <c r="D94" s="39"/>
      <c r="E94" s="12"/>
      <c r="F94" s="12">
        <v>1</v>
      </c>
      <c r="G94" s="12"/>
      <c r="H94" s="68">
        <f>G94*F94/1000</f>
        <v>0</v>
      </c>
      <c r="I94" s="74"/>
    </row>
    <row r="95" spans="1:9" ht="15.75" customHeight="1">
      <c r="A95" s="26"/>
      <c r="B95" s="37" t="s">
        <v>50</v>
      </c>
      <c r="C95" s="33"/>
      <c r="D95" s="40"/>
      <c r="E95" s="33">
        <v>1</v>
      </c>
      <c r="F95" s="33"/>
      <c r="G95" s="33"/>
      <c r="H95" s="33"/>
      <c r="I95" s="29">
        <v>0</v>
      </c>
    </row>
    <row r="96" spans="1:9">
      <c r="A96" s="26"/>
      <c r="B96" s="39" t="s">
        <v>77</v>
      </c>
      <c r="C96" s="14"/>
      <c r="D96" s="14"/>
      <c r="E96" s="34"/>
      <c r="F96" s="34"/>
      <c r="G96" s="35"/>
      <c r="H96" s="35"/>
      <c r="I96" s="16">
        <v>0</v>
      </c>
    </row>
    <row r="97" spans="1:9">
      <c r="A97" s="41"/>
      <c r="B97" s="38" t="s">
        <v>197</v>
      </c>
      <c r="C97" s="30"/>
      <c r="D97" s="30"/>
      <c r="E97" s="30"/>
      <c r="F97" s="30"/>
      <c r="G97" s="30"/>
      <c r="H97" s="30"/>
      <c r="I97" s="36">
        <f>I88+I95</f>
        <v>69076.414155777777</v>
      </c>
    </row>
    <row r="98" spans="1:9" ht="15.75">
      <c r="A98" s="206" t="s">
        <v>205</v>
      </c>
      <c r="B98" s="206"/>
      <c r="C98" s="206"/>
      <c r="D98" s="206"/>
      <c r="E98" s="206"/>
      <c r="F98" s="206"/>
      <c r="G98" s="206"/>
      <c r="H98" s="206"/>
      <c r="I98" s="206"/>
    </row>
    <row r="99" spans="1:9" ht="15.75">
      <c r="A99" s="78"/>
      <c r="B99" s="213" t="s">
        <v>206</v>
      </c>
      <c r="C99" s="213"/>
      <c r="D99" s="213"/>
      <c r="E99" s="213"/>
      <c r="F99" s="213"/>
      <c r="G99" s="213"/>
      <c r="H99" s="52"/>
      <c r="I99" s="3"/>
    </row>
    <row r="100" spans="1:9">
      <c r="A100" s="122"/>
      <c r="B100" s="214" t="s">
        <v>6</v>
      </c>
      <c r="C100" s="214"/>
      <c r="D100" s="214"/>
      <c r="E100" s="214"/>
      <c r="F100" s="214"/>
      <c r="G100" s="214"/>
      <c r="H100" s="21"/>
      <c r="I100" s="5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>
      <c r="A102" s="215" t="s">
        <v>7</v>
      </c>
      <c r="B102" s="215"/>
      <c r="C102" s="215"/>
      <c r="D102" s="215"/>
      <c r="E102" s="215"/>
      <c r="F102" s="215"/>
      <c r="G102" s="215"/>
      <c r="H102" s="215"/>
      <c r="I102" s="215"/>
    </row>
    <row r="103" spans="1:9" ht="15.75">
      <c r="A103" s="215" t="s">
        <v>8</v>
      </c>
      <c r="B103" s="215"/>
      <c r="C103" s="215"/>
      <c r="D103" s="215"/>
      <c r="E103" s="215"/>
      <c r="F103" s="215"/>
      <c r="G103" s="215"/>
      <c r="H103" s="215"/>
      <c r="I103" s="215"/>
    </row>
    <row r="104" spans="1:9" ht="15.75">
      <c r="A104" s="216" t="s">
        <v>60</v>
      </c>
      <c r="B104" s="216"/>
      <c r="C104" s="216"/>
      <c r="D104" s="216"/>
      <c r="E104" s="216"/>
      <c r="F104" s="216"/>
      <c r="G104" s="216"/>
      <c r="H104" s="216"/>
      <c r="I104" s="216"/>
    </row>
    <row r="105" spans="1:9" ht="15.75">
      <c r="A105" s="10"/>
    </row>
    <row r="106" spans="1:9" ht="15.75">
      <c r="A106" s="200" t="s">
        <v>9</v>
      </c>
      <c r="B106" s="200"/>
      <c r="C106" s="200"/>
      <c r="D106" s="200"/>
      <c r="E106" s="200"/>
      <c r="F106" s="200"/>
      <c r="G106" s="200"/>
      <c r="H106" s="200"/>
      <c r="I106" s="200"/>
    </row>
    <row r="107" spans="1:9" ht="15.75">
      <c r="A107" s="4"/>
    </row>
    <row r="108" spans="1:9" ht="15.75">
      <c r="B108" s="123" t="s">
        <v>10</v>
      </c>
      <c r="C108" s="218" t="s">
        <v>83</v>
      </c>
      <c r="D108" s="218"/>
      <c r="E108" s="218"/>
      <c r="F108" s="50"/>
      <c r="I108" s="121"/>
    </row>
    <row r="109" spans="1:9">
      <c r="A109" s="122"/>
      <c r="C109" s="214" t="s">
        <v>11</v>
      </c>
      <c r="D109" s="214"/>
      <c r="E109" s="214"/>
      <c r="F109" s="21"/>
      <c r="I109" s="120" t="s">
        <v>12</v>
      </c>
    </row>
    <row r="110" spans="1:9" ht="15.75">
      <c r="A110" s="22"/>
      <c r="C110" s="11"/>
      <c r="D110" s="11"/>
      <c r="G110" s="11"/>
      <c r="H110" s="11"/>
    </row>
    <row r="111" spans="1:9" ht="15.75">
      <c r="B111" s="123" t="s">
        <v>13</v>
      </c>
      <c r="C111" s="219"/>
      <c r="D111" s="219"/>
      <c r="E111" s="219"/>
      <c r="F111" s="51"/>
      <c r="I111" s="121"/>
    </row>
    <row r="112" spans="1:9">
      <c r="A112" s="122"/>
      <c r="C112" s="220" t="s">
        <v>11</v>
      </c>
      <c r="D112" s="220"/>
      <c r="E112" s="220"/>
      <c r="F112" s="122"/>
      <c r="I112" s="120" t="s">
        <v>12</v>
      </c>
    </row>
    <row r="113" spans="1:9" ht="15.75">
      <c r="A113" s="4" t="s">
        <v>14</v>
      </c>
    </row>
    <row r="114" spans="1:9">
      <c r="A114" s="221" t="s">
        <v>15</v>
      </c>
      <c r="B114" s="221"/>
      <c r="C114" s="221"/>
      <c r="D114" s="221"/>
      <c r="E114" s="221"/>
      <c r="F114" s="221"/>
      <c r="G114" s="221"/>
      <c r="H114" s="221"/>
      <c r="I114" s="221"/>
    </row>
    <row r="115" spans="1:9" ht="45.75" customHeight="1">
      <c r="A115" s="217" t="s">
        <v>16</v>
      </c>
      <c r="B115" s="217"/>
      <c r="C115" s="217"/>
      <c r="D115" s="217"/>
      <c r="E115" s="217"/>
      <c r="F115" s="217"/>
      <c r="G115" s="217"/>
      <c r="H115" s="217"/>
      <c r="I115" s="217"/>
    </row>
    <row r="116" spans="1:9" ht="32.25" customHeight="1">
      <c r="A116" s="217" t="s">
        <v>17</v>
      </c>
      <c r="B116" s="217"/>
      <c r="C116" s="217"/>
      <c r="D116" s="217"/>
      <c r="E116" s="217"/>
      <c r="F116" s="217"/>
      <c r="G116" s="217"/>
      <c r="H116" s="217"/>
      <c r="I116" s="217"/>
    </row>
    <row r="117" spans="1:9" ht="33" customHeight="1">
      <c r="A117" s="217" t="s">
        <v>21</v>
      </c>
      <c r="B117" s="217"/>
      <c r="C117" s="217"/>
      <c r="D117" s="217"/>
      <c r="E117" s="217"/>
      <c r="F117" s="217"/>
      <c r="G117" s="217"/>
      <c r="H117" s="217"/>
      <c r="I117" s="217"/>
    </row>
    <row r="118" spans="1:9" ht="15.75">
      <c r="A118" s="217" t="s">
        <v>20</v>
      </c>
      <c r="B118" s="217"/>
      <c r="C118" s="217"/>
      <c r="D118" s="217"/>
      <c r="E118" s="217"/>
      <c r="F118" s="217"/>
      <c r="G118" s="217"/>
      <c r="H118" s="217"/>
      <c r="I118" s="217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7:I27"/>
    <mergeCell ref="A45:I45"/>
    <mergeCell ref="A56:I56"/>
    <mergeCell ref="A85:I85"/>
    <mergeCell ref="A89:I89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11811023622047245" top="0.35433070866141736" bottom="0.35433070866141736" header="0.31496062992125984" footer="0.31496062992125984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5"/>
  <sheetViews>
    <sheetView view="pageBreakPreview" topLeftCell="A94" zoomScale="60" workbookViewId="0">
      <selection activeCell="K101" sqref="K101"/>
    </sheetView>
  </sheetViews>
  <sheetFormatPr defaultRowHeight="15"/>
  <cols>
    <col min="1" max="1" width="10.7109375" customWidth="1"/>
    <col min="2" max="2" width="52.140625" customWidth="1"/>
    <col min="3" max="3" width="18.140625" customWidth="1"/>
    <col min="4" max="4" width="16.28515625" customWidth="1"/>
    <col min="5" max="6" width="0" hidden="1" customWidth="1"/>
    <col min="7" max="7" width="16.140625" customWidth="1"/>
    <col min="8" max="8" width="0" hidden="1" customWidth="1"/>
    <col min="9" max="9" width="14.85546875" customWidth="1"/>
  </cols>
  <sheetData>
    <row r="1" spans="1:9" ht="15.75">
      <c r="A1" s="24" t="s">
        <v>207</v>
      </c>
      <c r="I1" s="23"/>
    </row>
    <row r="2" spans="1:9" ht="15.75">
      <c r="A2" s="25" t="s">
        <v>61</v>
      </c>
    </row>
    <row r="3" spans="1:9" ht="15.75">
      <c r="A3" s="195" t="s">
        <v>208</v>
      </c>
      <c r="B3" s="195"/>
      <c r="C3" s="195"/>
      <c r="D3" s="195"/>
      <c r="E3" s="195"/>
      <c r="F3" s="195"/>
      <c r="G3" s="195"/>
      <c r="H3" s="195"/>
      <c r="I3" s="195"/>
    </row>
    <row r="4" spans="1:9" ht="35.25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9" ht="15.75">
      <c r="A5" s="195" t="s">
        <v>209</v>
      </c>
      <c r="B5" s="197"/>
      <c r="C5" s="197"/>
      <c r="D5" s="197"/>
      <c r="E5" s="197"/>
      <c r="F5" s="197"/>
      <c r="G5" s="197"/>
      <c r="H5" s="197"/>
      <c r="I5" s="197"/>
    </row>
    <row r="6" spans="1:9" ht="15.75">
      <c r="A6" s="2"/>
      <c r="B6" s="144"/>
      <c r="C6" s="144"/>
      <c r="D6" s="144"/>
      <c r="E6" s="144"/>
      <c r="F6" s="144"/>
      <c r="G6" s="144"/>
      <c r="H6" s="144"/>
      <c r="I6" s="27">
        <v>43312</v>
      </c>
    </row>
    <row r="7" spans="1:9" ht="15.75">
      <c r="B7" s="146"/>
      <c r="C7" s="146"/>
      <c r="D7" s="146"/>
      <c r="E7" s="3"/>
      <c r="F7" s="3"/>
      <c r="G7" s="3"/>
      <c r="H7" s="3"/>
    </row>
    <row r="8" spans="1:9" ht="99" customHeight="1">
      <c r="A8" s="198" t="s">
        <v>210</v>
      </c>
      <c r="B8" s="198"/>
      <c r="C8" s="198"/>
      <c r="D8" s="198"/>
      <c r="E8" s="198"/>
      <c r="F8" s="198"/>
      <c r="G8" s="198"/>
      <c r="H8" s="198"/>
      <c r="I8" s="198"/>
    </row>
    <row r="9" spans="1:9" ht="0.75" customHeight="1">
      <c r="A9" s="4"/>
    </row>
    <row r="10" spans="1:9" ht="77.25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</row>
    <row r="15" spans="1:9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</row>
    <row r="16" spans="1:9" ht="15.7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142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6.5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142">
        <v>230</v>
      </c>
      <c r="H17" s="57">
        <f t="shared" si="0"/>
        <v>90.934271999999993</v>
      </c>
      <c r="I17" s="12">
        <f>F17/12*G17</f>
        <v>7577.8560000000007</v>
      </c>
    </row>
    <row r="18" spans="1:9" ht="13.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142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91</v>
      </c>
      <c r="C19" s="54" t="s">
        <v>92</v>
      </c>
      <c r="D19" s="53" t="s">
        <v>93</v>
      </c>
      <c r="E19" s="55">
        <v>93.4</v>
      </c>
      <c r="F19" s="56">
        <f>SUM(E19/10)</f>
        <v>9.34</v>
      </c>
      <c r="G19" s="142">
        <v>223.17</v>
      </c>
      <c r="H19" s="57">
        <f t="shared" si="0"/>
        <v>2.0844078000000001</v>
      </c>
      <c r="I19" s="12">
        <f>5.76*G19</f>
        <v>1285.4591999999998</v>
      </c>
    </row>
    <row r="20" spans="1:9" hidden="1">
      <c r="A20" s="26">
        <v>5</v>
      </c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142">
        <v>285.76</v>
      </c>
      <c r="H20" s="57">
        <f t="shared" si="0"/>
        <v>0.24689664000000003</v>
      </c>
      <c r="I20" s="12">
        <f t="shared" ref="I20:I21" si="1">F20/2*G20</f>
        <v>123.44832000000001</v>
      </c>
    </row>
    <row r="21" spans="1:9" hidden="1">
      <c r="A21" s="26">
        <v>6</v>
      </c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142">
        <v>283.44</v>
      </c>
      <c r="H21" s="57">
        <f t="shared" si="0"/>
        <v>5.7141503999999996E-2</v>
      </c>
      <c r="I21" s="12">
        <f t="shared" si="1"/>
        <v>28.570751999999999</v>
      </c>
    </row>
    <row r="22" spans="1:9" hidden="1">
      <c r="A22" s="26">
        <v>7</v>
      </c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142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142">
        <v>58.08</v>
      </c>
      <c r="H23" s="57">
        <f t="shared" si="0"/>
        <v>2.0490623999999999E-2</v>
      </c>
      <c r="I23" s="12">
        <f t="shared" ref="I23:I24" si="2">F23*G23</f>
        <v>20.490624</v>
      </c>
    </row>
    <row r="24" spans="1:9" hidden="1">
      <c r="A24" s="26">
        <v>9</v>
      </c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142">
        <v>683.05</v>
      </c>
      <c r="H24" s="57">
        <f t="shared" si="0"/>
        <v>0.19671840000000002</v>
      </c>
      <c r="I24" s="12">
        <f t="shared" si="2"/>
        <v>196.7184</v>
      </c>
    </row>
    <row r="25" spans="1:9" ht="17.25" customHeight="1">
      <c r="A25" s="26">
        <v>4</v>
      </c>
      <c r="B25" s="53" t="s">
        <v>63</v>
      </c>
      <c r="C25" s="54" t="s">
        <v>33</v>
      </c>
      <c r="D25" s="53" t="s">
        <v>184</v>
      </c>
      <c r="E25" s="55">
        <v>0.1</v>
      </c>
      <c r="F25" s="56">
        <f>SUM(E25*365)</f>
        <v>36.5</v>
      </c>
      <c r="G25" s="142">
        <v>264.85000000000002</v>
      </c>
      <c r="H25" s="57">
        <f>SUM(F25*G25/1000)</f>
        <v>9.6670250000000006</v>
      </c>
      <c r="I25" s="12">
        <f>15.5/12*G25</f>
        <v>342.09791666666672</v>
      </c>
    </row>
    <row r="26" spans="1:9" ht="17.25" customHeight="1">
      <c r="A26" s="26">
        <v>5</v>
      </c>
      <c r="B26" s="61" t="s">
        <v>23</v>
      </c>
      <c r="C26" s="54" t="s">
        <v>24</v>
      </c>
      <c r="D26" s="53" t="s">
        <v>184</v>
      </c>
      <c r="E26" s="55">
        <v>3945</v>
      </c>
      <c r="F26" s="56">
        <f>SUM(E26*12)</f>
        <v>47340</v>
      </c>
      <c r="G26" s="142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02" t="s">
        <v>185</v>
      </c>
      <c r="B27" s="203"/>
      <c r="C27" s="203"/>
      <c r="D27" s="203"/>
      <c r="E27" s="203"/>
      <c r="F27" s="203"/>
      <c r="G27" s="203"/>
      <c r="H27" s="203"/>
      <c r="I27" s="204"/>
    </row>
    <row r="28" spans="1:9" ht="18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t="15.75" customHeight="1">
      <c r="A29" s="26">
        <v>6</v>
      </c>
      <c r="B29" s="53" t="s">
        <v>99</v>
      </c>
      <c r="C29" s="54" t="s">
        <v>186</v>
      </c>
      <c r="D29" s="53" t="s">
        <v>138</v>
      </c>
      <c r="E29" s="56">
        <v>1044.6500000000001</v>
      </c>
      <c r="F29" s="56">
        <f>SUM(E29*52/1000)</f>
        <v>54.321800000000003</v>
      </c>
      <c r="G29" s="142">
        <v>204.44</v>
      </c>
      <c r="H29" s="57">
        <f t="shared" ref="H29:H35" si="3">SUM(F29*G29/1000)</f>
        <v>11.105548792000002</v>
      </c>
      <c r="I29" s="12">
        <f>17.064/6*G29</f>
        <v>581.42736000000002</v>
      </c>
    </row>
    <row r="30" spans="1:9" ht="44.25" customHeight="1">
      <c r="A30" s="26">
        <v>7</v>
      </c>
      <c r="B30" s="53" t="s">
        <v>127</v>
      </c>
      <c r="C30" s="54" t="s">
        <v>100</v>
      </c>
      <c r="D30" s="53" t="s">
        <v>139</v>
      </c>
      <c r="E30" s="56">
        <v>116.93</v>
      </c>
      <c r="F30" s="56">
        <f>SUM(E30*78/1000)</f>
        <v>9.1205400000000001</v>
      </c>
      <c r="G30" s="142">
        <v>339.21</v>
      </c>
      <c r="H30" s="57">
        <f t="shared" si="3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100</v>
      </c>
      <c r="D31" s="53" t="s">
        <v>52</v>
      </c>
      <c r="E31" s="56">
        <v>1044.6500000000001</v>
      </c>
      <c r="F31" s="56">
        <f>SUM(E31/1000)</f>
        <v>1.0446500000000001</v>
      </c>
      <c r="G31" s="142">
        <v>3961.23</v>
      </c>
      <c r="H31" s="57">
        <f t="shared" si="3"/>
        <v>4.1380989195</v>
      </c>
      <c r="I31" s="12">
        <f>0.3555*G31</f>
        <v>1408.217265</v>
      </c>
    </row>
    <row r="32" spans="1:9" ht="18" customHeight="1">
      <c r="A32" s="26">
        <v>8</v>
      </c>
      <c r="B32" s="53" t="s">
        <v>118</v>
      </c>
      <c r="C32" s="54" t="s">
        <v>39</v>
      </c>
      <c r="D32" s="53" t="s">
        <v>140</v>
      </c>
      <c r="E32" s="56">
        <v>6</v>
      </c>
      <c r="F32" s="56">
        <v>9.3000000000000007</v>
      </c>
      <c r="G32" s="142">
        <v>1707.63</v>
      </c>
      <c r="H32" s="57">
        <f>G32*F32/1000</f>
        <v>15.880959000000002</v>
      </c>
      <c r="I32" s="12">
        <f>2.88/6*G32</f>
        <v>819.66240000000005</v>
      </c>
    </row>
    <row r="33" spans="1:9" ht="17.25" customHeight="1">
      <c r="A33" s="26">
        <v>9</v>
      </c>
      <c r="B33" s="53" t="s">
        <v>101</v>
      </c>
      <c r="C33" s="54" t="s">
        <v>31</v>
      </c>
      <c r="D33" s="53" t="s">
        <v>62</v>
      </c>
      <c r="E33" s="60">
        <v>0.33333333333333331</v>
      </c>
      <c r="F33" s="56">
        <f>155/3</f>
        <v>51.666666666666664</v>
      </c>
      <c r="G33" s="142">
        <v>74.349999999999994</v>
      </c>
      <c r="H33" s="57">
        <f>SUM(G33*155/3/1000)</f>
        <v>3.8414166666666665</v>
      </c>
      <c r="I33" s="12">
        <f t="shared" ref="I33" si="4">F33/6*G33</f>
        <v>640.23611111111109</v>
      </c>
    </row>
    <row r="34" spans="1:9" ht="30" hidden="1">
      <c r="A34" s="26"/>
      <c r="B34" s="53" t="s">
        <v>64</v>
      </c>
      <c r="C34" s="54" t="s">
        <v>33</v>
      </c>
      <c r="D34" s="53" t="s">
        <v>66</v>
      </c>
      <c r="E34" s="55"/>
      <c r="F34" s="56">
        <v>3</v>
      </c>
      <c r="G34" s="56">
        <v>204.52</v>
      </c>
      <c r="H34" s="57">
        <f t="shared" si="3"/>
        <v>0.61356000000000011</v>
      </c>
      <c r="I34" s="12">
        <v>0</v>
      </c>
    </row>
    <row r="35" spans="1:9" ht="30" hidden="1">
      <c r="A35" s="26"/>
      <c r="B35" s="53" t="s">
        <v>65</v>
      </c>
      <c r="C35" s="54" t="s">
        <v>32</v>
      </c>
      <c r="D35" s="53" t="s">
        <v>66</v>
      </c>
      <c r="E35" s="55"/>
      <c r="F35" s="56">
        <v>2</v>
      </c>
      <c r="G35" s="56">
        <v>1136.33</v>
      </c>
      <c r="H35" s="57">
        <f t="shared" si="3"/>
        <v>2.2726599999999997</v>
      </c>
      <c r="I35" s="12">
        <v>0</v>
      </c>
    </row>
    <row r="36" spans="1:9" hidden="1">
      <c r="A36" s="26"/>
      <c r="B36" s="75" t="s">
        <v>5</v>
      </c>
      <c r="C36" s="54"/>
      <c r="D36" s="53"/>
      <c r="E36" s="55"/>
      <c r="F36" s="56"/>
      <c r="G36" s="56"/>
      <c r="H36" s="57" t="s">
        <v>125</v>
      </c>
      <c r="I36" s="12"/>
    </row>
    <row r="37" spans="1:9" hidden="1">
      <c r="A37" s="26">
        <v>6</v>
      </c>
      <c r="B37" s="53" t="s">
        <v>26</v>
      </c>
      <c r="C37" s="54" t="s">
        <v>32</v>
      </c>
      <c r="D37" s="53"/>
      <c r="E37" s="55"/>
      <c r="F37" s="56">
        <v>8</v>
      </c>
      <c r="G37" s="56">
        <v>1632.6</v>
      </c>
      <c r="H37" s="57">
        <f t="shared" ref="H37:H44" si="5">SUM(F37*G37/1000)</f>
        <v>13.060799999999999</v>
      </c>
      <c r="I37" s="12">
        <f>F37/6*G37</f>
        <v>2176.7999999999997</v>
      </c>
    </row>
    <row r="38" spans="1:9" hidden="1">
      <c r="A38" s="26">
        <v>7</v>
      </c>
      <c r="B38" s="53" t="s">
        <v>187</v>
      </c>
      <c r="C38" s="54" t="s">
        <v>29</v>
      </c>
      <c r="D38" s="53" t="s">
        <v>188</v>
      </c>
      <c r="E38" s="55">
        <v>477.19</v>
      </c>
      <c r="F38" s="56">
        <f>E38*12/1000</f>
        <v>5.72628</v>
      </c>
      <c r="G38" s="56">
        <v>2247.8000000000002</v>
      </c>
      <c r="H38" s="57">
        <f>G38*F38/1000</f>
        <v>12.871532184000001</v>
      </c>
      <c r="I38" s="12">
        <f>F38/6*G38</f>
        <v>2145.2553640000001</v>
      </c>
    </row>
    <row r="39" spans="1:9" hidden="1">
      <c r="A39" s="26">
        <v>8</v>
      </c>
      <c r="B39" s="53" t="s">
        <v>189</v>
      </c>
      <c r="C39" s="54" t="s">
        <v>29</v>
      </c>
      <c r="D39" s="53" t="s">
        <v>102</v>
      </c>
      <c r="E39" s="55">
        <v>116.93</v>
      </c>
      <c r="F39" s="56">
        <f>E39*30/1000</f>
        <v>3.5079000000000002</v>
      </c>
      <c r="G39" s="56">
        <v>2247.8000000000002</v>
      </c>
      <c r="H39" s="57">
        <f>G39*F39/1000</f>
        <v>7.8850576200000013</v>
      </c>
      <c r="I39" s="12">
        <f>F39/6*G39</f>
        <v>1314.1762700000002</v>
      </c>
    </row>
    <row r="40" spans="1:9" ht="30" hidden="1">
      <c r="A40" s="26"/>
      <c r="B40" s="53" t="s">
        <v>190</v>
      </c>
      <c r="C40" s="54" t="s">
        <v>191</v>
      </c>
      <c r="D40" s="53" t="s">
        <v>66</v>
      </c>
      <c r="E40" s="55"/>
      <c r="F40" s="56">
        <v>135</v>
      </c>
      <c r="G40" s="56">
        <v>213.2</v>
      </c>
      <c r="H40" s="57">
        <f>G40*F40/1000</f>
        <v>28.782</v>
      </c>
      <c r="I40" s="12">
        <v>0</v>
      </c>
    </row>
    <row r="41" spans="1:9" hidden="1">
      <c r="A41" s="26">
        <v>9</v>
      </c>
      <c r="B41" s="53" t="s">
        <v>67</v>
      </c>
      <c r="C41" s="54" t="s">
        <v>29</v>
      </c>
      <c r="D41" s="53" t="s">
        <v>103</v>
      </c>
      <c r="E41" s="56">
        <v>116.93</v>
      </c>
      <c r="F41" s="56">
        <f>SUM(E41*155/1000)</f>
        <v>18.12415</v>
      </c>
      <c r="G41" s="56">
        <v>374.95</v>
      </c>
      <c r="H41" s="57">
        <f t="shared" si="5"/>
        <v>6.7956500424999993</v>
      </c>
      <c r="I41" s="12">
        <f>F41/6*G41</f>
        <v>1132.6083404166666</v>
      </c>
    </row>
    <row r="42" spans="1:9" ht="45" hidden="1">
      <c r="A42" s="26">
        <v>10</v>
      </c>
      <c r="B42" s="53" t="s">
        <v>80</v>
      </c>
      <c r="C42" s="54" t="s">
        <v>100</v>
      </c>
      <c r="D42" s="53" t="s">
        <v>119</v>
      </c>
      <c r="E42" s="56">
        <v>116.93</v>
      </c>
      <c r="F42" s="56">
        <f>SUM(E42*24/1000)</f>
        <v>2.8063200000000004</v>
      </c>
      <c r="G42" s="56">
        <v>6203.71</v>
      </c>
      <c r="H42" s="57">
        <f t="shared" si="5"/>
        <v>17.409595447200001</v>
      </c>
      <c r="I42" s="12">
        <f>F42/6*G42</f>
        <v>2901.5992412000005</v>
      </c>
    </row>
    <row r="43" spans="1:9" hidden="1">
      <c r="A43" s="26">
        <v>11</v>
      </c>
      <c r="B43" s="53" t="s">
        <v>104</v>
      </c>
      <c r="C43" s="54" t="s">
        <v>100</v>
      </c>
      <c r="D43" s="53" t="s">
        <v>192</v>
      </c>
      <c r="E43" s="56">
        <v>116.93</v>
      </c>
      <c r="F43" s="56">
        <f>SUM(E43*45/1000)</f>
        <v>5.2618500000000008</v>
      </c>
      <c r="G43" s="56">
        <v>458.28</v>
      </c>
      <c r="H43" s="57">
        <f t="shared" si="5"/>
        <v>2.4114006180000001</v>
      </c>
      <c r="I43" s="12">
        <f>F43/6*G43</f>
        <v>401.90010300000006</v>
      </c>
    </row>
    <row r="44" spans="1:9" hidden="1">
      <c r="A44" s="26">
        <v>12</v>
      </c>
      <c r="B44" s="53" t="s">
        <v>68</v>
      </c>
      <c r="C44" s="54" t="s">
        <v>33</v>
      </c>
      <c r="D44" s="53"/>
      <c r="E44" s="55"/>
      <c r="F44" s="56">
        <v>0.9</v>
      </c>
      <c r="G44" s="56">
        <v>798</v>
      </c>
      <c r="H44" s="57">
        <f t="shared" si="5"/>
        <v>0.71820000000000006</v>
      </c>
      <c r="I44" s="12">
        <f>F44/6*G44</f>
        <v>119.69999999999999</v>
      </c>
    </row>
    <row r="45" spans="1:9" hidden="1">
      <c r="A45" s="202" t="s">
        <v>193</v>
      </c>
      <c r="B45" s="203"/>
      <c r="C45" s="203"/>
      <c r="D45" s="203"/>
      <c r="E45" s="203"/>
      <c r="F45" s="203"/>
      <c r="G45" s="203"/>
      <c r="H45" s="203"/>
      <c r="I45" s="204"/>
    </row>
    <row r="46" spans="1:9" hidden="1">
      <c r="A46" s="26">
        <v>17</v>
      </c>
      <c r="B46" s="53" t="s">
        <v>121</v>
      </c>
      <c r="C46" s="54" t="s">
        <v>100</v>
      </c>
      <c r="D46" s="53" t="s">
        <v>41</v>
      </c>
      <c r="E46" s="55">
        <v>1030.4000000000001</v>
      </c>
      <c r="F46" s="56">
        <f>SUM(E46*2/1000)</f>
        <v>2.0608</v>
      </c>
      <c r="G46" s="137">
        <v>1114.1300000000001</v>
      </c>
      <c r="H46" s="57">
        <f t="shared" ref="H46:H55" si="6">SUM(F46*G46/1000)</f>
        <v>2.2959991039999998</v>
      </c>
      <c r="I46" s="12">
        <f t="shared" ref="I46:I48" si="7">F46/2*G46</f>
        <v>1147.999552</v>
      </c>
    </row>
    <row r="47" spans="1:9" hidden="1">
      <c r="A47" s="26">
        <v>18</v>
      </c>
      <c r="B47" s="53" t="s">
        <v>34</v>
      </c>
      <c r="C47" s="54" t="s">
        <v>100</v>
      </c>
      <c r="D47" s="53" t="s">
        <v>41</v>
      </c>
      <c r="E47" s="55">
        <v>132</v>
      </c>
      <c r="F47" s="56">
        <f>E47*2/1000</f>
        <v>0.26400000000000001</v>
      </c>
      <c r="G47" s="137">
        <v>4419.05</v>
      </c>
      <c r="H47" s="57">
        <f t="shared" si="6"/>
        <v>1.1666292</v>
      </c>
      <c r="I47" s="12">
        <f t="shared" si="7"/>
        <v>583.31460000000004</v>
      </c>
    </row>
    <row r="48" spans="1:9" hidden="1">
      <c r="A48" s="26">
        <v>19</v>
      </c>
      <c r="B48" s="53" t="s">
        <v>35</v>
      </c>
      <c r="C48" s="54" t="s">
        <v>100</v>
      </c>
      <c r="D48" s="53" t="s">
        <v>41</v>
      </c>
      <c r="E48" s="55">
        <v>4248.22</v>
      </c>
      <c r="F48" s="56">
        <f>SUM(E48*2/1000)</f>
        <v>8.4964399999999998</v>
      </c>
      <c r="G48" s="137">
        <v>1803.69</v>
      </c>
      <c r="H48" s="57">
        <f t="shared" si="6"/>
        <v>15.3249438636</v>
      </c>
      <c r="I48" s="12">
        <f t="shared" si="7"/>
        <v>7662.4719317999998</v>
      </c>
    </row>
    <row r="49" spans="1:9" hidden="1">
      <c r="A49" s="26">
        <v>20</v>
      </c>
      <c r="B49" s="53" t="s">
        <v>36</v>
      </c>
      <c r="C49" s="54" t="s">
        <v>100</v>
      </c>
      <c r="D49" s="53" t="s">
        <v>41</v>
      </c>
      <c r="E49" s="55">
        <v>2163.66</v>
      </c>
      <c r="F49" s="56">
        <f>SUM(E49*2/1000)</f>
        <v>4.3273199999999994</v>
      </c>
      <c r="G49" s="137">
        <v>1243.43</v>
      </c>
      <c r="H49" s="57">
        <f t="shared" si="6"/>
        <v>5.3807195075999994</v>
      </c>
      <c r="I49" s="12">
        <f>F49/2*G49</f>
        <v>2690.3597537999999</v>
      </c>
    </row>
    <row r="50" spans="1:9" hidden="1">
      <c r="A50" s="26">
        <v>21</v>
      </c>
      <c r="B50" s="53" t="s">
        <v>55</v>
      </c>
      <c r="C50" s="54" t="s">
        <v>100</v>
      </c>
      <c r="D50" s="53" t="s">
        <v>131</v>
      </c>
      <c r="E50" s="55">
        <v>1015.4</v>
      </c>
      <c r="F50" s="56">
        <f>SUM(E50*5/1000)</f>
        <v>5.077</v>
      </c>
      <c r="G50" s="137">
        <v>1083.69</v>
      </c>
      <c r="H50" s="57">
        <f t="shared" si="6"/>
        <v>5.5018941300000002</v>
      </c>
      <c r="I50" s="12">
        <f>3.945*G50</f>
        <v>4275.1570499999998</v>
      </c>
    </row>
    <row r="51" spans="1:9" ht="45" hidden="1">
      <c r="A51" s="26"/>
      <c r="B51" s="53" t="s">
        <v>105</v>
      </c>
      <c r="C51" s="54" t="s">
        <v>100</v>
      </c>
      <c r="D51" s="53" t="s">
        <v>41</v>
      </c>
      <c r="E51" s="55">
        <v>1015.4</v>
      </c>
      <c r="F51" s="56">
        <f>SUM(E51*2/1000)</f>
        <v>2.0308000000000002</v>
      </c>
      <c r="G51" s="12">
        <v>1297.28</v>
      </c>
      <c r="H51" s="57">
        <f t="shared" si="6"/>
        <v>2.634516224</v>
      </c>
      <c r="I51" s="12">
        <v>0</v>
      </c>
    </row>
    <row r="52" spans="1:9" ht="30" hidden="1">
      <c r="A52" s="26"/>
      <c r="B52" s="53" t="s">
        <v>106</v>
      </c>
      <c r="C52" s="54" t="s">
        <v>37</v>
      </c>
      <c r="D52" s="53" t="s">
        <v>41</v>
      </c>
      <c r="E52" s="55">
        <v>30</v>
      </c>
      <c r="F52" s="56">
        <f>SUM(E52*2/100)</f>
        <v>0.6</v>
      </c>
      <c r="G52" s="12">
        <v>2918.89</v>
      </c>
      <c r="H52" s="57">
        <f t="shared" si="6"/>
        <v>1.7513339999999997</v>
      </c>
      <c r="I52" s="12">
        <v>0</v>
      </c>
    </row>
    <row r="53" spans="1:9" hidden="1">
      <c r="A53" s="26"/>
      <c r="B53" s="53" t="s">
        <v>38</v>
      </c>
      <c r="C53" s="54" t="s">
        <v>39</v>
      </c>
      <c r="D53" s="53" t="s">
        <v>41</v>
      </c>
      <c r="E53" s="55">
        <v>1</v>
      </c>
      <c r="F53" s="56">
        <v>0.02</v>
      </c>
      <c r="G53" s="12">
        <v>6042.13</v>
      </c>
      <c r="H53" s="57">
        <f t="shared" si="6"/>
        <v>0.12084260000000001</v>
      </c>
      <c r="I53" s="12">
        <v>0</v>
      </c>
    </row>
    <row r="54" spans="1:9" hidden="1">
      <c r="A54" s="26">
        <v>22</v>
      </c>
      <c r="B54" s="53" t="s">
        <v>120</v>
      </c>
      <c r="C54" s="54" t="s">
        <v>86</v>
      </c>
      <c r="D54" s="53" t="s">
        <v>69</v>
      </c>
      <c r="E54" s="55">
        <v>90</v>
      </c>
      <c r="F54" s="56">
        <f>E54*4</f>
        <v>360</v>
      </c>
      <c r="G54" s="137">
        <v>185.08</v>
      </c>
      <c r="H54" s="57">
        <f>F54*G54/1000</f>
        <v>66.628799999999998</v>
      </c>
      <c r="I54" s="12">
        <f>G54*E54</f>
        <v>16657.2</v>
      </c>
    </row>
    <row r="55" spans="1:9" hidden="1">
      <c r="A55" s="26">
        <v>23</v>
      </c>
      <c r="B55" s="53" t="s">
        <v>40</v>
      </c>
      <c r="C55" s="54" t="s">
        <v>86</v>
      </c>
      <c r="D55" s="53" t="s">
        <v>69</v>
      </c>
      <c r="E55" s="55">
        <v>180</v>
      </c>
      <c r="F55" s="56">
        <f>SUM(E55)*3</f>
        <v>540</v>
      </c>
      <c r="G55" s="141">
        <v>86.15</v>
      </c>
      <c r="H55" s="57">
        <f t="shared" si="6"/>
        <v>46.521000000000001</v>
      </c>
      <c r="I55" s="12">
        <f>G55*E55</f>
        <v>15507.000000000002</v>
      </c>
    </row>
    <row r="56" spans="1:9">
      <c r="A56" s="202" t="s">
        <v>165</v>
      </c>
      <c r="B56" s="203"/>
      <c r="C56" s="203"/>
      <c r="D56" s="203"/>
      <c r="E56" s="203"/>
      <c r="F56" s="203"/>
      <c r="G56" s="203"/>
      <c r="H56" s="203"/>
      <c r="I56" s="204"/>
    </row>
    <row r="57" spans="1:9" hidden="1">
      <c r="A57" s="26"/>
      <c r="B57" s="75" t="s">
        <v>42</v>
      </c>
      <c r="C57" s="54"/>
      <c r="D57" s="53"/>
      <c r="E57" s="55"/>
      <c r="F57" s="56"/>
      <c r="G57" s="56"/>
      <c r="H57" s="57"/>
      <c r="I57" s="12"/>
    </row>
    <row r="58" spans="1:9" ht="30" hidden="1">
      <c r="A58" s="26">
        <v>16</v>
      </c>
      <c r="B58" s="53" t="s">
        <v>194</v>
      </c>
      <c r="C58" s="54" t="s">
        <v>90</v>
      </c>
      <c r="D58" s="53" t="s">
        <v>107</v>
      </c>
      <c r="E58" s="55">
        <v>148.04</v>
      </c>
      <c r="F58" s="56">
        <f>SUM(E58*6/100)</f>
        <v>8.8824000000000005</v>
      </c>
      <c r="G58" s="12">
        <v>1654.04</v>
      </c>
      <c r="H58" s="57">
        <f>SUM(F58*G58/1000)</f>
        <v>14.691844896000001</v>
      </c>
      <c r="I58" s="12">
        <f>F58/6*G58</f>
        <v>2448.6408160000001</v>
      </c>
    </row>
    <row r="59" spans="1:9" ht="30" hidden="1">
      <c r="A59" s="26">
        <v>17</v>
      </c>
      <c r="B59" s="53" t="s">
        <v>84</v>
      </c>
      <c r="C59" s="54" t="s">
        <v>90</v>
      </c>
      <c r="D59" s="53" t="s">
        <v>85</v>
      </c>
      <c r="E59" s="55">
        <v>39.700000000000003</v>
      </c>
      <c r="F59" s="56">
        <f>SUM(E59*12/100)</f>
        <v>4.7640000000000002</v>
      </c>
      <c r="G59" s="12">
        <v>1654.04</v>
      </c>
      <c r="H59" s="57">
        <f>SUM(F59*G59/1000)</f>
        <v>7.8798465599999998</v>
      </c>
      <c r="I59" s="12">
        <f>F59/6*G59</f>
        <v>1313.3077600000001</v>
      </c>
    </row>
    <row r="60" spans="1:9" hidden="1">
      <c r="A60" s="26">
        <v>18</v>
      </c>
      <c r="B60" s="62" t="s">
        <v>122</v>
      </c>
      <c r="C60" s="63" t="s">
        <v>123</v>
      </c>
      <c r="D60" s="62" t="s">
        <v>41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idden="1">
      <c r="A61" s="26">
        <v>19</v>
      </c>
      <c r="B61" s="53" t="s">
        <v>124</v>
      </c>
      <c r="C61" s="54" t="s">
        <v>90</v>
      </c>
      <c r="D61" s="53" t="s">
        <v>107</v>
      </c>
      <c r="E61" s="55">
        <v>41.73</v>
      </c>
      <c r="F61" s="56">
        <f>SUM(E61*6/100)</f>
        <v>2.5038</v>
      </c>
      <c r="G61" s="12">
        <v>1654.04</v>
      </c>
      <c r="H61" s="57">
        <f>SUM(F61*G61/1000)</f>
        <v>4.1413853520000004</v>
      </c>
      <c r="I61" s="12">
        <f>F61/6*G61</f>
        <v>690.23089200000004</v>
      </c>
    </row>
    <row r="62" spans="1:9" ht="17.25" customHeight="1">
      <c r="A62" s="26"/>
      <c r="B62" s="76" t="s">
        <v>43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195</v>
      </c>
      <c r="C63" s="63" t="s">
        <v>51</v>
      </c>
      <c r="D63" s="62" t="s">
        <v>52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20.25" customHeight="1">
      <c r="A64" s="26">
        <v>10</v>
      </c>
      <c r="B64" s="62" t="s">
        <v>87</v>
      </c>
      <c r="C64" s="63" t="s">
        <v>25</v>
      </c>
      <c r="D64" s="62" t="s">
        <v>30</v>
      </c>
      <c r="E64" s="64">
        <v>203.1</v>
      </c>
      <c r="F64" s="67">
        <f>E64*12</f>
        <v>2437.1999999999998</v>
      </c>
      <c r="G64" s="48">
        <v>1.2</v>
      </c>
      <c r="H64" s="65">
        <f>F64*G64/1000</f>
        <v>2.9246399999999997</v>
      </c>
      <c r="I64" s="12">
        <f>2400/12*G64</f>
        <v>240</v>
      </c>
    </row>
    <row r="65" spans="1:9" hidden="1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</row>
    <row r="66" spans="1:9" ht="30" hidden="1">
      <c r="A66" s="26">
        <v>19</v>
      </c>
      <c r="B66" s="13" t="s">
        <v>45</v>
      </c>
      <c r="C66" s="15" t="s">
        <v>86</v>
      </c>
      <c r="D66" s="13" t="s">
        <v>66</v>
      </c>
      <c r="E66" s="17">
        <v>10</v>
      </c>
      <c r="F66" s="56">
        <v>10</v>
      </c>
      <c r="G66" s="12">
        <v>237.75</v>
      </c>
      <c r="H66" s="68">
        <f t="shared" ref="H66:H79" si="8">SUM(F66*G66/1000)</f>
        <v>2.3774999999999999</v>
      </c>
      <c r="I66" s="12">
        <f>G66</f>
        <v>237.75</v>
      </c>
    </row>
    <row r="67" spans="1:9" ht="30" hidden="1">
      <c r="A67" s="26"/>
      <c r="B67" s="13" t="s">
        <v>46</v>
      </c>
      <c r="C67" s="15" t="s">
        <v>86</v>
      </c>
      <c r="D67" s="13" t="s">
        <v>66</v>
      </c>
      <c r="E67" s="17">
        <v>5</v>
      </c>
      <c r="F67" s="56">
        <v>5</v>
      </c>
      <c r="G67" s="12">
        <v>81.510000000000005</v>
      </c>
      <c r="H67" s="68">
        <f t="shared" si="8"/>
        <v>0.40755000000000002</v>
      </c>
      <c r="I67" s="12">
        <v>0</v>
      </c>
    </row>
    <row r="68" spans="1:9" hidden="1">
      <c r="A68" s="26">
        <v>25</v>
      </c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37">
        <v>278.24</v>
      </c>
      <c r="H68" s="68">
        <f t="shared" si="8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48</v>
      </c>
      <c r="C69" s="15" t="s">
        <v>110</v>
      </c>
      <c r="D69" s="13" t="s">
        <v>52</v>
      </c>
      <c r="E69" s="55">
        <v>14205</v>
      </c>
      <c r="F69" s="12">
        <f>SUM(E69/1000)</f>
        <v>14.205</v>
      </c>
      <c r="G69" s="137">
        <v>216.68</v>
      </c>
      <c r="H69" s="68">
        <f t="shared" si="8"/>
        <v>3.0779394</v>
      </c>
      <c r="I69" s="12">
        <f t="shared" ref="I69:I70" si="9">F69*G69</f>
        <v>3077.9394000000002</v>
      </c>
    </row>
    <row r="70" spans="1:9" hidden="1">
      <c r="A70" s="26">
        <v>27</v>
      </c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37">
        <v>2720.94</v>
      </c>
      <c r="H70" s="68">
        <f t="shared" si="8"/>
        <v>57.983231399999994</v>
      </c>
      <c r="I70" s="12">
        <f t="shared" si="9"/>
        <v>57983.231399999997</v>
      </c>
    </row>
    <row r="71" spans="1:9" hidden="1">
      <c r="A71" s="26">
        <v>28</v>
      </c>
      <c r="B71" s="69" t="s">
        <v>111</v>
      </c>
      <c r="C71" s="15" t="s">
        <v>33</v>
      </c>
      <c r="D71" s="13" t="s">
        <v>52</v>
      </c>
      <c r="E71" s="55">
        <v>12.48</v>
      </c>
      <c r="F71" s="12">
        <f>SUM(E71)</f>
        <v>12.48</v>
      </c>
      <c r="G71" s="137">
        <v>44.31</v>
      </c>
      <c r="H71" s="68">
        <f t="shared" si="8"/>
        <v>0.55298880000000006</v>
      </c>
      <c r="I71" s="12">
        <f>7*G71</f>
        <v>310.17</v>
      </c>
    </row>
    <row r="72" spans="1:9" hidden="1">
      <c r="A72" s="26">
        <v>29</v>
      </c>
      <c r="B72" s="69" t="s">
        <v>112</v>
      </c>
      <c r="C72" s="15" t="s">
        <v>33</v>
      </c>
      <c r="D72" s="13" t="s">
        <v>52</v>
      </c>
      <c r="E72" s="55">
        <v>12.48</v>
      </c>
      <c r="F72" s="12">
        <f>SUM(E72)</f>
        <v>12.48</v>
      </c>
      <c r="G72" s="137">
        <v>47.79</v>
      </c>
      <c r="H72" s="68">
        <f t="shared" si="8"/>
        <v>0.59641920000000004</v>
      </c>
      <c r="I72" s="12">
        <f>7*G72</f>
        <v>334.53</v>
      </c>
    </row>
    <row r="73" spans="1:9" hidden="1">
      <c r="A73" s="26"/>
      <c r="B73" s="13" t="s">
        <v>56</v>
      </c>
      <c r="C73" s="15" t="s">
        <v>57</v>
      </c>
      <c r="D73" s="13" t="s">
        <v>52</v>
      </c>
      <c r="E73" s="17">
        <v>5</v>
      </c>
      <c r="F73" s="56">
        <v>5</v>
      </c>
      <c r="G73" s="12">
        <v>53.32</v>
      </c>
      <c r="H73" s="68">
        <f t="shared" si="8"/>
        <v>0.2666</v>
      </c>
      <c r="I73" s="12">
        <v>0</v>
      </c>
    </row>
    <row r="74" spans="1:9" hidden="1">
      <c r="A74" s="26"/>
      <c r="B74" s="143" t="s">
        <v>70</v>
      </c>
      <c r="C74" s="15"/>
      <c r="D74" s="13"/>
      <c r="E74" s="17"/>
      <c r="F74" s="12"/>
      <c r="G74" s="12"/>
      <c r="H74" s="68" t="s">
        <v>125</v>
      </c>
      <c r="I74" s="12"/>
    </row>
    <row r="75" spans="1:9" ht="30" hidden="1">
      <c r="A75" s="26">
        <v>21</v>
      </c>
      <c r="B75" s="13" t="s">
        <v>71</v>
      </c>
      <c r="C75" s="15" t="s">
        <v>73</v>
      </c>
      <c r="D75" s="13" t="s">
        <v>66</v>
      </c>
      <c r="E75" s="17">
        <v>2</v>
      </c>
      <c r="F75" s="12">
        <v>0.2</v>
      </c>
      <c r="G75" s="12">
        <v>536.23</v>
      </c>
      <c r="H75" s="68">
        <f t="shared" si="8"/>
        <v>0.10724600000000001</v>
      </c>
      <c r="I75" s="12">
        <f>G75*0.1</f>
        <v>53.623000000000005</v>
      </c>
    </row>
    <row r="76" spans="1:9" ht="30" hidden="1">
      <c r="A76" s="26"/>
      <c r="B76" s="13" t="s">
        <v>72</v>
      </c>
      <c r="C76" s="15" t="s">
        <v>31</v>
      </c>
      <c r="D76" s="13" t="s">
        <v>66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t="30" hidden="1">
      <c r="A77" s="26"/>
      <c r="B77" s="13" t="s">
        <v>196</v>
      </c>
      <c r="C77" s="15" t="s">
        <v>31</v>
      </c>
      <c r="D77" s="13" t="s">
        <v>66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74</v>
      </c>
      <c r="C78" s="15"/>
      <c r="D78" s="13"/>
      <c r="E78" s="17"/>
      <c r="F78" s="12"/>
      <c r="G78" s="12" t="s">
        <v>125</v>
      </c>
      <c r="H78" s="68" t="s">
        <v>125</v>
      </c>
      <c r="I78" s="12"/>
    </row>
    <row r="79" spans="1:9" hidden="1">
      <c r="A79" s="26">
        <v>22</v>
      </c>
      <c r="B79" s="39" t="s">
        <v>115</v>
      </c>
      <c r="C79" s="15" t="s">
        <v>75</v>
      </c>
      <c r="D79" s="13"/>
      <c r="E79" s="17"/>
      <c r="F79" s="12">
        <v>0.9</v>
      </c>
      <c r="G79" s="12">
        <v>2757.42</v>
      </c>
      <c r="H79" s="68">
        <f t="shared" si="8"/>
        <v>2.4816780000000005</v>
      </c>
      <c r="I79" s="12">
        <f>G79*F79</f>
        <v>2481.6780000000003</v>
      </c>
    </row>
    <row r="80" spans="1:9" ht="28.5" hidden="1">
      <c r="A80" s="26"/>
      <c r="B80" s="143" t="s">
        <v>113</v>
      </c>
      <c r="C80" s="70"/>
      <c r="D80" s="28"/>
      <c r="E80" s="29"/>
      <c r="F80" s="59"/>
      <c r="G80" s="59"/>
      <c r="H80" s="71">
        <f>SUM(H58:H79)</f>
        <v>150.01431058800003</v>
      </c>
      <c r="I80" s="59"/>
    </row>
    <row r="81" spans="1:9" hidden="1">
      <c r="A81" s="126">
        <v>23</v>
      </c>
      <c r="B81" s="62" t="s">
        <v>114</v>
      </c>
      <c r="C81" s="127"/>
      <c r="D81" s="128"/>
      <c r="E81" s="49"/>
      <c r="F81" s="74">
        <v>1</v>
      </c>
      <c r="G81" s="74">
        <v>27901.200000000001</v>
      </c>
      <c r="H81" s="129">
        <f>G81*F81/1000</f>
        <v>27.901199999999999</v>
      </c>
      <c r="I81" s="74">
        <f>G81</f>
        <v>27901.200000000001</v>
      </c>
    </row>
    <row r="82" spans="1:9" ht="15.75" customHeight="1">
      <c r="A82" s="26"/>
      <c r="B82" s="150" t="s">
        <v>148</v>
      </c>
      <c r="C82" s="140"/>
      <c r="D82" s="13"/>
      <c r="E82" s="17"/>
      <c r="F82" s="12"/>
      <c r="G82" s="12"/>
      <c r="H82" s="12"/>
      <c r="I82" s="12"/>
    </row>
    <row r="83" spans="1:9" ht="39.75" customHeight="1">
      <c r="A83" s="26">
        <v>11</v>
      </c>
      <c r="B83" s="106" t="s">
        <v>149</v>
      </c>
      <c r="C83" s="32" t="s">
        <v>150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36.75" customHeight="1">
      <c r="A84" s="26">
        <v>12</v>
      </c>
      <c r="B84" s="111" t="s">
        <v>151</v>
      </c>
      <c r="C84" s="112" t="s">
        <v>86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10" t="s">
        <v>166</v>
      </c>
      <c r="B85" s="211"/>
      <c r="C85" s="211"/>
      <c r="D85" s="211"/>
      <c r="E85" s="211"/>
      <c r="F85" s="211"/>
      <c r="G85" s="211"/>
      <c r="H85" s="211"/>
      <c r="I85" s="212"/>
    </row>
    <row r="86" spans="1:9" ht="18" customHeight="1">
      <c r="A86" s="77">
        <v>13</v>
      </c>
      <c r="B86" s="130" t="s">
        <v>116</v>
      </c>
      <c r="C86" s="131" t="s">
        <v>53</v>
      </c>
      <c r="D86" s="132" t="s">
        <v>54</v>
      </c>
      <c r="E86" s="133">
        <v>3945</v>
      </c>
      <c r="F86" s="133">
        <f>SUM(E86*12)</f>
        <v>47340</v>
      </c>
      <c r="G86" s="138">
        <v>3.1</v>
      </c>
      <c r="H86" s="134">
        <f>SUM(F86*G86/1000)</f>
        <v>146.75399999999999</v>
      </c>
      <c r="I86" s="133">
        <f>F86/12*G86</f>
        <v>12229.5</v>
      </c>
    </row>
    <row r="87" spans="1:9" ht="38.25" customHeight="1">
      <c r="A87" s="26">
        <v>14</v>
      </c>
      <c r="B87" s="13" t="s">
        <v>76</v>
      </c>
      <c r="C87" s="15"/>
      <c r="D87" s="132" t="s">
        <v>54</v>
      </c>
      <c r="E87" s="55">
        <f>E86</f>
        <v>3945</v>
      </c>
      <c r="F87" s="12">
        <f>E87*12</f>
        <v>47340</v>
      </c>
      <c r="G87" s="137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79</v>
      </c>
      <c r="C88" s="32"/>
      <c r="D88" s="14"/>
      <c r="E88" s="14"/>
      <c r="F88" s="17"/>
      <c r="G88" s="135"/>
      <c r="H88" s="71">
        <f>H87</f>
        <v>165.69</v>
      </c>
      <c r="I88" s="29">
        <f>I87+I86+I84+I83+I64+I33+I32+I30+I29+I26+I25+I18+I17+I16</f>
        <v>69076.414155777777</v>
      </c>
    </row>
    <row r="89" spans="1:9">
      <c r="A89" s="207" t="s">
        <v>59</v>
      </c>
      <c r="B89" s="208"/>
      <c r="C89" s="208"/>
      <c r="D89" s="208"/>
      <c r="E89" s="208"/>
      <c r="F89" s="208"/>
      <c r="G89" s="208"/>
      <c r="H89" s="208"/>
      <c r="I89" s="209"/>
    </row>
    <row r="90" spans="1:9" ht="30">
      <c r="A90" s="26">
        <v>15</v>
      </c>
      <c r="B90" s="72" t="s">
        <v>161</v>
      </c>
      <c r="C90" s="73" t="s">
        <v>37</v>
      </c>
      <c r="D90" s="39"/>
      <c r="E90" s="12"/>
      <c r="F90" s="12">
        <v>2</v>
      </c>
      <c r="G90" s="107">
        <v>3724.37</v>
      </c>
      <c r="H90" s="12">
        <f t="shared" ref="H90:H91" si="10">G90*F90/1000</f>
        <v>7.4487399999999999</v>
      </c>
      <c r="I90" s="74">
        <f>G90*0.01</f>
        <v>37.243699999999997</v>
      </c>
    </row>
    <row r="91" spans="1:9" ht="30">
      <c r="A91" s="26">
        <v>16</v>
      </c>
      <c r="B91" s="72" t="s">
        <v>78</v>
      </c>
      <c r="C91" s="73" t="s">
        <v>86</v>
      </c>
      <c r="D91" s="39"/>
      <c r="E91" s="12"/>
      <c r="F91" s="12">
        <v>1</v>
      </c>
      <c r="G91" s="107">
        <v>86.69</v>
      </c>
      <c r="H91" s="68">
        <f t="shared" si="10"/>
        <v>8.6690000000000003E-2</v>
      </c>
      <c r="I91" s="74">
        <f>G91*1</f>
        <v>86.69</v>
      </c>
    </row>
    <row r="92" spans="1:9" ht="19.5" customHeight="1">
      <c r="A92" s="26"/>
      <c r="B92" s="37" t="s">
        <v>50</v>
      </c>
      <c r="C92" s="33"/>
      <c r="D92" s="40"/>
      <c r="E92" s="33">
        <v>1</v>
      </c>
      <c r="F92" s="33"/>
      <c r="G92" s="33"/>
      <c r="H92" s="33"/>
      <c r="I92" s="29">
        <f>SUM(I90:I91)</f>
        <v>123.93369999999999</v>
      </c>
    </row>
    <row r="93" spans="1:9">
      <c r="A93" s="26"/>
      <c r="B93" s="39" t="s">
        <v>77</v>
      </c>
      <c r="C93" s="14"/>
      <c r="D93" s="14"/>
      <c r="E93" s="34"/>
      <c r="F93" s="34"/>
      <c r="G93" s="35"/>
      <c r="H93" s="35"/>
      <c r="I93" s="16">
        <v>0</v>
      </c>
    </row>
    <row r="94" spans="1:9">
      <c r="A94" s="41"/>
      <c r="B94" s="38" t="s">
        <v>197</v>
      </c>
      <c r="C94" s="30"/>
      <c r="D94" s="30"/>
      <c r="E94" s="30"/>
      <c r="F94" s="30"/>
      <c r="G94" s="30"/>
      <c r="H94" s="30"/>
      <c r="I94" s="36">
        <f>I88+I92</f>
        <v>69200.347855777771</v>
      </c>
    </row>
    <row r="95" spans="1:9" ht="15.75">
      <c r="A95" s="206" t="s">
        <v>211</v>
      </c>
      <c r="B95" s="206"/>
      <c r="C95" s="206"/>
      <c r="D95" s="206"/>
      <c r="E95" s="206"/>
      <c r="F95" s="206"/>
      <c r="G95" s="206"/>
      <c r="H95" s="206"/>
      <c r="I95" s="206"/>
    </row>
    <row r="96" spans="1:9" ht="15.75">
      <c r="A96" s="78"/>
      <c r="B96" s="213" t="s">
        <v>212</v>
      </c>
      <c r="C96" s="213"/>
      <c r="D96" s="213"/>
      <c r="E96" s="213"/>
      <c r="F96" s="213"/>
      <c r="G96" s="213"/>
      <c r="H96" s="52"/>
      <c r="I96" s="3"/>
    </row>
    <row r="97" spans="1:9">
      <c r="A97" s="148"/>
      <c r="B97" s="214" t="s">
        <v>6</v>
      </c>
      <c r="C97" s="214"/>
      <c r="D97" s="214"/>
      <c r="E97" s="214"/>
      <c r="F97" s="214"/>
      <c r="G97" s="214"/>
      <c r="H97" s="21"/>
      <c r="I97" s="5"/>
    </row>
    <row r="98" spans="1:9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215" t="s">
        <v>7</v>
      </c>
      <c r="B99" s="215"/>
      <c r="C99" s="215"/>
      <c r="D99" s="215"/>
      <c r="E99" s="215"/>
      <c r="F99" s="215"/>
      <c r="G99" s="215"/>
      <c r="H99" s="215"/>
      <c r="I99" s="215"/>
    </row>
    <row r="100" spans="1:9" ht="15.75">
      <c r="A100" s="215" t="s">
        <v>8</v>
      </c>
      <c r="B100" s="215"/>
      <c r="C100" s="215"/>
      <c r="D100" s="215"/>
      <c r="E100" s="215"/>
      <c r="F100" s="215"/>
      <c r="G100" s="215"/>
      <c r="H100" s="215"/>
      <c r="I100" s="215"/>
    </row>
    <row r="101" spans="1:9" ht="15.75">
      <c r="A101" s="216" t="s">
        <v>60</v>
      </c>
      <c r="B101" s="216"/>
      <c r="C101" s="216"/>
      <c r="D101" s="216"/>
      <c r="E101" s="216"/>
      <c r="F101" s="216"/>
      <c r="G101" s="216"/>
      <c r="H101" s="216"/>
      <c r="I101" s="216"/>
    </row>
    <row r="102" spans="1:9" ht="15.75">
      <c r="A102" s="10"/>
    </row>
    <row r="103" spans="1:9" ht="15.75">
      <c r="A103" s="200" t="s">
        <v>9</v>
      </c>
      <c r="B103" s="200"/>
      <c r="C103" s="200"/>
      <c r="D103" s="200"/>
      <c r="E103" s="200"/>
      <c r="F103" s="200"/>
      <c r="G103" s="200"/>
      <c r="H103" s="200"/>
      <c r="I103" s="200"/>
    </row>
    <row r="104" spans="1:9" ht="15.75">
      <c r="A104" s="4"/>
    </row>
    <row r="105" spans="1:9" ht="15.75">
      <c r="B105" s="146" t="s">
        <v>10</v>
      </c>
      <c r="C105" s="218" t="s">
        <v>83</v>
      </c>
      <c r="D105" s="218"/>
      <c r="E105" s="218"/>
      <c r="F105" s="50"/>
      <c r="I105" s="147"/>
    </row>
    <row r="106" spans="1:9">
      <c r="A106" s="148"/>
      <c r="C106" s="214" t="s">
        <v>11</v>
      </c>
      <c r="D106" s="214"/>
      <c r="E106" s="214"/>
      <c r="F106" s="21"/>
      <c r="I106" s="145" t="s">
        <v>12</v>
      </c>
    </row>
    <row r="107" spans="1:9" ht="15.75">
      <c r="A107" s="22"/>
      <c r="C107" s="11"/>
      <c r="D107" s="11"/>
      <c r="G107" s="11"/>
      <c r="H107" s="11"/>
    </row>
    <row r="108" spans="1:9" ht="15.75">
      <c r="B108" s="146" t="s">
        <v>13</v>
      </c>
      <c r="C108" s="219"/>
      <c r="D108" s="219"/>
      <c r="E108" s="219"/>
      <c r="F108" s="51"/>
      <c r="I108" s="147"/>
    </row>
    <row r="109" spans="1:9">
      <c r="A109" s="148"/>
      <c r="C109" s="220" t="s">
        <v>11</v>
      </c>
      <c r="D109" s="220"/>
      <c r="E109" s="220"/>
      <c r="F109" s="148"/>
      <c r="I109" s="145" t="s">
        <v>12</v>
      </c>
    </row>
    <row r="110" spans="1:9" ht="15.75">
      <c r="A110" s="4" t="s">
        <v>14</v>
      </c>
    </row>
    <row r="111" spans="1:9">
      <c r="A111" s="221" t="s">
        <v>15</v>
      </c>
      <c r="B111" s="221"/>
      <c r="C111" s="221"/>
      <c r="D111" s="221"/>
      <c r="E111" s="221"/>
      <c r="F111" s="221"/>
      <c r="G111" s="221"/>
      <c r="H111" s="221"/>
      <c r="I111" s="221"/>
    </row>
    <row r="112" spans="1:9" ht="42" customHeight="1">
      <c r="A112" s="217" t="s">
        <v>16</v>
      </c>
      <c r="B112" s="217"/>
      <c r="C112" s="217"/>
      <c r="D112" s="217"/>
      <c r="E112" s="217"/>
      <c r="F112" s="217"/>
      <c r="G112" s="217"/>
      <c r="H112" s="217"/>
      <c r="I112" s="217"/>
    </row>
    <row r="113" spans="1:9" ht="32.25" customHeight="1">
      <c r="A113" s="217" t="s">
        <v>17</v>
      </c>
      <c r="B113" s="217"/>
      <c r="C113" s="217"/>
      <c r="D113" s="217"/>
      <c r="E113" s="217"/>
      <c r="F113" s="217"/>
      <c r="G113" s="217"/>
      <c r="H113" s="217"/>
      <c r="I113" s="217"/>
    </row>
    <row r="114" spans="1:9" ht="31.5" customHeight="1">
      <c r="A114" s="217" t="s">
        <v>21</v>
      </c>
      <c r="B114" s="217"/>
      <c r="C114" s="217"/>
      <c r="D114" s="217"/>
      <c r="E114" s="217"/>
      <c r="F114" s="217"/>
      <c r="G114" s="217"/>
      <c r="H114" s="217"/>
      <c r="I114" s="217"/>
    </row>
    <row r="115" spans="1:9" ht="15.75">
      <c r="A115" s="217" t="s">
        <v>20</v>
      </c>
      <c r="B115" s="217"/>
      <c r="C115" s="217"/>
      <c r="D115" s="217"/>
      <c r="E115" s="217"/>
      <c r="F115" s="217"/>
      <c r="G115" s="217"/>
      <c r="H115" s="217"/>
      <c r="I115" s="217"/>
    </row>
  </sheetData>
  <mergeCells count="28">
    <mergeCell ref="A14:I14"/>
    <mergeCell ref="A3:I3"/>
    <mergeCell ref="A4:I4"/>
    <mergeCell ref="A5:I5"/>
    <mergeCell ref="A8:I8"/>
    <mergeCell ref="A10:I10"/>
    <mergeCell ref="A101:I101"/>
    <mergeCell ref="A15:I15"/>
    <mergeCell ref="A27:I27"/>
    <mergeCell ref="A45:I45"/>
    <mergeCell ref="A56:I56"/>
    <mergeCell ref="A85:I85"/>
    <mergeCell ref="A89:I89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31496062992125984" top="0.15748031496062992" bottom="0.35433070866141736" header="0.31496062992125984" footer="0.31496062992125984"/>
  <pageSetup paperSize="9" scale="67" orientation="portrait" horizontalDpi="0" verticalDpi="0" r:id="rId1"/>
  <rowBreaks count="1" manualBreakCount="1"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35"/>
  <sheetViews>
    <sheetView view="pageBreakPreview" topLeftCell="A27" zoomScale="60" workbookViewId="0">
      <selection activeCell="J118" sqref="J118"/>
    </sheetView>
  </sheetViews>
  <sheetFormatPr defaultRowHeight="15"/>
  <cols>
    <col min="1" max="1" width="11" customWidth="1"/>
    <col min="2" max="2" width="49.7109375" customWidth="1"/>
    <col min="3" max="3" width="17.42578125" customWidth="1"/>
    <col min="4" max="4" width="18.28515625" customWidth="1"/>
    <col min="5" max="5" width="0" hidden="1" customWidth="1"/>
    <col min="6" max="6" width="15.42578125" hidden="1" customWidth="1"/>
    <col min="7" max="7" width="14.42578125" customWidth="1"/>
    <col min="8" max="8" width="15" hidden="1" customWidth="1"/>
    <col min="9" max="9" width="21" customWidth="1"/>
  </cols>
  <sheetData>
    <row r="1" spans="1:9" ht="15.75">
      <c r="A1" s="24" t="s">
        <v>207</v>
      </c>
      <c r="I1" s="23"/>
    </row>
    <row r="2" spans="1:9" ht="15.75">
      <c r="A2" s="25" t="s">
        <v>61</v>
      </c>
    </row>
    <row r="3" spans="1:9" ht="15.75">
      <c r="A3" s="195" t="s">
        <v>235</v>
      </c>
      <c r="B3" s="195"/>
      <c r="C3" s="195"/>
      <c r="D3" s="195"/>
      <c r="E3" s="195"/>
      <c r="F3" s="195"/>
      <c r="G3" s="195"/>
      <c r="H3" s="195"/>
      <c r="I3" s="195"/>
    </row>
    <row r="4" spans="1:9" ht="30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9" ht="15.75">
      <c r="A5" s="195" t="s">
        <v>219</v>
      </c>
      <c r="B5" s="197"/>
      <c r="C5" s="197"/>
      <c r="D5" s="197"/>
      <c r="E5" s="197"/>
      <c r="F5" s="197"/>
      <c r="G5" s="197"/>
      <c r="H5" s="197"/>
      <c r="I5" s="197"/>
    </row>
    <row r="6" spans="1:9" ht="15.75">
      <c r="A6" s="2"/>
      <c r="B6" s="152"/>
      <c r="C6" s="152"/>
      <c r="D6" s="152"/>
      <c r="E6" s="152"/>
      <c r="F6" s="152"/>
      <c r="G6" s="152"/>
      <c r="H6" s="152"/>
      <c r="I6" s="27">
        <v>43343</v>
      </c>
    </row>
    <row r="7" spans="1:9" ht="15.75">
      <c r="B7" s="154"/>
      <c r="C7" s="154"/>
      <c r="D7" s="154"/>
      <c r="E7" s="3"/>
      <c r="F7" s="3"/>
      <c r="G7" s="3"/>
      <c r="H7" s="3"/>
    </row>
    <row r="8" spans="1:9" ht="83.25" customHeight="1">
      <c r="A8" s="198" t="s">
        <v>210</v>
      </c>
      <c r="B8" s="198"/>
      <c r="C8" s="198"/>
      <c r="D8" s="198"/>
      <c r="E8" s="198"/>
      <c r="F8" s="198"/>
      <c r="G8" s="198"/>
      <c r="H8" s="198"/>
      <c r="I8" s="198"/>
    </row>
    <row r="9" spans="1:9" ht="15.75">
      <c r="A9" s="4"/>
    </row>
    <row r="10" spans="1:9" ht="52.5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</row>
    <row r="11" spans="1:9" ht="15.75">
      <c r="A11" s="4"/>
    </row>
    <row r="12" spans="1:9" ht="7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</row>
    <row r="15" spans="1:9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</row>
    <row r="16" spans="1:9" ht="16.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142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6.5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142">
        <v>230</v>
      </c>
      <c r="H17" s="57">
        <f t="shared" si="0"/>
        <v>90.934271999999993</v>
      </c>
      <c r="I17" s="12">
        <f>F17/12*G17</f>
        <v>7577.8560000000007</v>
      </c>
    </row>
    <row r="18" spans="1:9" ht="15.7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142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91</v>
      </c>
      <c r="C19" s="54" t="s">
        <v>92</v>
      </c>
      <c r="D19" s="53" t="s">
        <v>93</v>
      </c>
      <c r="E19" s="55">
        <v>93.4</v>
      </c>
      <c r="F19" s="56">
        <f>SUM(E19/10)</f>
        <v>9.34</v>
      </c>
      <c r="G19" s="142">
        <v>223.17</v>
      </c>
      <c r="H19" s="57">
        <f t="shared" si="0"/>
        <v>2.0844078000000001</v>
      </c>
      <c r="I19" s="12">
        <f>5.76*G19</f>
        <v>1285.4591999999998</v>
      </c>
    </row>
    <row r="20" spans="1:9" ht="15.75" hidden="1" customHeight="1">
      <c r="A20" s="26">
        <v>5</v>
      </c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142">
        <v>285.76</v>
      </c>
      <c r="H20" s="57">
        <f t="shared" si="0"/>
        <v>0.24689664000000003</v>
      </c>
      <c r="I20" s="12">
        <f t="shared" ref="I20:I21" si="1">F20/2*G20</f>
        <v>123.44832000000001</v>
      </c>
    </row>
    <row r="21" spans="1:9" ht="15.75" hidden="1" customHeight="1">
      <c r="A21" s="26">
        <v>6</v>
      </c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142">
        <v>283.44</v>
      </c>
      <c r="H21" s="57">
        <f t="shared" si="0"/>
        <v>5.7141503999999996E-2</v>
      </c>
      <c r="I21" s="12">
        <f t="shared" si="1"/>
        <v>28.570751999999999</v>
      </c>
    </row>
    <row r="22" spans="1:9" hidden="1">
      <c r="A22" s="26">
        <v>7</v>
      </c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142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142">
        <v>58.08</v>
      </c>
      <c r="H23" s="57">
        <f t="shared" si="0"/>
        <v>2.0490623999999999E-2</v>
      </c>
      <c r="I23" s="12">
        <f t="shared" ref="I23:I24" si="2">F23*G23</f>
        <v>20.490624</v>
      </c>
    </row>
    <row r="24" spans="1:9" hidden="1">
      <c r="A24" s="26">
        <v>9</v>
      </c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142">
        <v>683.05</v>
      </c>
      <c r="H24" s="57">
        <f t="shared" si="0"/>
        <v>0.19671840000000002</v>
      </c>
      <c r="I24" s="12">
        <f t="shared" si="2"/>
        <v>196.7184</v>
      </c>
    </row>
    <row r="25" spans="1:9" ht="18" customHeight="1">
      <c r="A25" s="26">
        <v>4</v>
      </c>
      <c r="B25" s="53" t="s">
        <v>63</v>
      </c>
      <c r="C25" s="54" t="s">
        <v>33</v>
      </c>
      <c r="D25" s="53" t="s">
        <v>184</v>
      </c>
      <c r="E25" s="55">
        <v>0.1</v>
      </c>
      <c r="F25" s="56">
        <f>SUM(E25*365)</f>
        <v>36.5</v>
      </c>
      <c r="G25" s="142">
        <v>264.85000000000002</v>
      </c>
      <c r="H25" s="57">
        <f>SUM(F25*G25/1000)</f>
        <v>9.6670250000000006</v>
      </c>
      <c r="I25" s="12">
        <f>15.5/12*G25</f>
        <v>342.09791666666672</v>
      </c>
    </row>
    <row r="26" spans="1:9" ht="14.25" customHeight="1">
      <c r="A26" s="26">
        <v>5</v>
      </c>
      <c r="B26" s="61" t="s">
        <v>23</v>
      </c>
      <c r="C26" s="54" t="s">
        <v>24</v>
      </c>
      <c r="D26" s="53" t="s">
        <v>184</v>
      </c>
      <c r="E26" s="55">
        <v>3945</v>
      </c>
      <c r="F26" s="56">
        <f>SUM(E26*12)</f>
        <v>47340</v>
      </c>
      <c r="G26" s="142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02" t="s">
        <v>185</v>
      </c>
      <c r="B27" s="203"/>
      <c r="C27" s="203"/>
      <c r="D27" s="203"/>
      <c r="E27" s="203"/>
      <c r="F27" s="203"/>
      <c r="G27" s="203"/>
      <c r="H27" s="203"/>
      <c r="I27" s="204"/>
    </row>
    <row r="28" spans="1:9" ht="17.25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t="18" customHeight="1">
      <c r="A29" s="26">
        <v>6</v>
      </c>
      <c r="B29" s="53" t="s">
        <v>99</v>
      </c>
      <c r="C29" s="54" t="s">
        <v>186</v>
      </c>
      <c r="D29" s="53" t="s">
        <v>138</v>
      </c>
      <c r="E29" s="56">
        <v>1044.6500000000001</v>
      </c>
      <c r="F29" s="56">
        <f>SUM(E29*52/1000)</f>
        <v>54.321800000000003</v>
      </c>
      <c r="G29" s="142">
        <v>204.44</v>
      </c>
      <c r="H29" s="57">
        <f t="shared" ref="H29:H35" si="3">SUM(F29*G29/1000)</f>
        <v>11.105548792000002</v>
      </c>
      <c r="I29" s="12">
        <f>17.064/6*G29</f>
        <v>581.42736000000002</v>
      </c>
    </row>
    <row r="30" spans="1:9" ht="43.5" customHeight="1">
      <c r="A30" s="26">
        <v>7</v>
      </c>
      <c r="B30" s="53" t="s">
        <v>127</v>
      </c>
      <c r="C30" s="54" t="s">
        <v>100</v>
      </c>
      <c r="D30" s="53" t="s">
        <v>139</v>
      </c>
      <c r="E30" s="56">
        <v>116.93</v>
      </c>
      <c r="F30" s="56">
        <f>SUM(E30*78/1000)</f>
        <v>9.1205400000000001</v>
      </c>
      <c r="G30" s="142">
        <v>339.21</v>
      </c>
      <c r="H30" s="57">
        <f t="shared" si="3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100</v>
      </c>
      <c r="D31" s="53" t="s">
        <v>52</v>
      </c>
      <c r="E31" s="56">
        <v>1044.6500000000001</v>
      </c>
      <c r="F31" s="56">
        <f>SUM(E31/1000)</f>
        <v>1.0446500000000001</v>
      </c>
      <c r="G31" s="142">
        <v>3961.23</v>
      </c>
      <c r="H31" s="57">
        <f t="shared" si="3"/>
        <v>4.1380989195</v>
      </c>
      <c r="I31" s="12">
        <f>0.3555*G31</f>
        <v>1408.217265</v>
      </c>
    </row>
    <row r="32" spans="1:9" ht="17.25" customHeight="1">
      <c r="A32" s="26">
        <v>8</v>
      </c>
      <c r="B32" s="53" t="s">
        <v>118</v>
      </c>
      <c r="C32" s="54" t="s">
        <v>39</v>
      </c>
      <c r="D32" s="53" t="s">
        <v>140</v>
      </c>
      <c r="E32" s="56">
        <v>6</v>
      </c>
      <c r="F32" s="56">
        <v>9.3000000000000007</v>
      </c>
      <c r="G32" s="142">
        <v>1707.63</v>
      </c>
      <c r="H32" s="57">
        <f>G32*F32/1000</f>
        <v>15.880959000000002</v>
      </c>
      <c r="I32" s="12">
        <f>2.88/6*G32</f>
        <v>819.66240000000005</v>
      </c>
    </row>
    <row r="33" spans="1:9" ht="19.5" customHeight="1">
      <c r="A33" s="26">
        <v>9</v>
      </c>
      <c r="B33" s="53" t="s">
        <v>101</v>
      </c>
      <c r="C33" s="54" t="s">
        <v>31</v>
      </c>
      <c r="D33" s="53" t="s">
        <v>62</v>
      </c>
      <c r="E33" s="60">
        <v>0.33333333333333331</v>
      </c>
      <c r="F33" s="56">
        <f>155/3</f>
        <v>51.666666666666664</v>
      </c>
      <c r="G33" s="142">
        <v>74.349999999999994</v>
      </c>
      <c r="H33" s="57">
        <f>SUM(G33*155/3/1000)</f>
        <v>3.8414166666666665</v>
      </c>
      <c r="I33" s="12">
        <f t="shared" ref="I33" si="4">F33/6*G33</f>
        <v>640.23611111111109</v>
      </c>
    </row>
    <row r="34" spans="1:9" hidden="1">
      <c r="A34" s="26"/>
      <c r="B34" s="53" t="s">
        <v>64</v>
      </c>
      <c r="C34" s="54" t="s">
        <v>33</v>
      </c>
      <c r="D34" s="53" t="s">
        <v>66</v>
      </c>
      <c r="E34" s="55"/>
      <c r="F34" s="56">
        <v>3</v>
      </c>
      <c r="G34" s="56">
        <v>204.52</v>
      </c>
      <c r="H34" s="57">
        <f t="shared" si="3"/>
        <v>0.61356000000000011</v>
      </c>
      <c r="I34" s="12">
        <v>0</v>
      </c>
    </row>
    <row r="35" spans="1:9" hidden="1">
      <c r="A35" s="26"/>
      <c r="B35" s="53" t="s">
        <v>65</v>
      </c>
      <c r="C35" s="54" t="s">
        <v>32</v>
      </c>
      <c r="D35" s="53" t="s">
        <v>66</v>
      </c>
      <c r="E35" s="55"/>
      <c r="F35" s="56">
        <v>2</v>
      </c>
      <c r="G35" s="56">
        <v>1136.33</v>
      </c>
      <c r="H35" s="57">
        <f t="shared" si="3"/>
        <v>2.2726599999999997</v>
      </c>
      <c r="I35" s="12">
        <v>0</v>
      </c>
    </row>
    <row r="36" spans="1:9" hidden="1">
      <c r="A36" s="26"/>
      <c r="B36" s="75" t="s">
        <v>5</v>
      </c>
      <c r="C36" s="54"/>
      <c r="D36" s="53"/>
      <c r="E36" s="55"/>
      <c r="F36" s="56"/>
      <c r="G36" s="56"/>
      <c r="H36" s="57" t="s">
        <v>125</v>
      </c>
      <c r="I36" s="12"/>
    </row>
    <row r="37" spans="1:9" hidden="1">
      <c r="A37" s="26">
        <v>6</v>
      </c>
      <c r="B37" s="53" t="s">
        <v>26</v>
      </c>
      <c r="C37" s="54" t="s">
        <v>32</v>
      </c>
      <c r="D37" s="53"/>
      <c r="E37" s="55"/>
      <c r="F37" s="56">
        <v>8</v>
      </c>
      <c r="G37" s="56">
        <v>1632.6</v>
      </c>
      <c r="H37" s="57">
        <f t="shared" ref="H37:H44" si="5">SUM(F37*G37/1000)</f>
        <v>13.060799999999999</v>
      </c>
      <c r="I37" s="12">
        <f>F37/6*G37</f>
        <v>2176.7999999999997</v>
      </c>
    </row>
    <row r="38" spans="1:9" hidden="1">
      <c r="A38" s="26">
        <v>7</v>
      </c>
      <c r="B38" s="53" t="s">
        <v>187</v>
      </c>
      <c r="C38" s="54" t="s">
        <v>29</v>
      </c>
      <c r="D38" s="53" t="s">
        <v>188</v>
      </c>
      <c r="E38" s="55">
        <v>477.19</v>
      </c>
      <c r="F38" s="56">
        <f>E38*12/1000</f>
        <v>5.72628</v>
      </c>
      <c r="G38" s="56">
        <v>2247.8000000000002</v>
      </c>
      <c r="H38" s="57">
        <f>G38*F38/1000</f>
        <v>12.871532184000001</v>
      </c>
      <c r="I38" s="12">
        <f>F38/6*G38</f>
        <v>2145.2553640000001</v>
      </c>
    </row>
    <row r="39" spans="1:9" ht="30" hidden="1">
      <c r="A39" s="26">
        <v>8</v>
      </c>
      <c r="B39" s="53" t="s">
        <v>189</v>
      </c>
      <c r="C39" s="54" t="s">
        <v>29</v>
      </c>
      <c r="D39" s="53" t="s">
        <v>102</v>
      </c>
      <c r="E39" s="55">
        <v>116.93</v>
      </c>
      <c r="F39" s="56">
        <f>E39*30/1000</f>
        <v>3.5079000000000002</v>
      </c>
      <c r="G39" s="56">
        <v>2247.8000000000002</v>
      </c>
      <c r="H39" s="57">
        <f>G39*F39/1000</f>
        <v>7.8850576200000013</v>
      </c>
      <c r="I39" s="12">
        <f>F39/6*G39</f>
        <v>1314.1762700000002</v>
      </c>
    </row>
    <row r="40" spans="1:9" hidden="1">
      <c r="A40" s="26"/>
      <c r="B40" s="53" t="s">
        <v>190</v>
      </c>
      <c r="C40" s="54" t="s">
        <v>191</v>
      </c>
      <c r="D40" s="53" t="s">
        <v>66</v>
      </c>
      <c r="E40" s="55"/>
      <c r="F40" s="56">
        <v>135</v>
      </c>
      <c r="G40" s="56">
        <v>213.2</v>
      </c>
      <c r="H40" s="57">
        <f>G40*F40/1000</f>
        <v>28.782</v>
      </c>
      <c r="I40" s="12">
        <v>0</v>
      </c>
    </row>
    <row r="41" spans="1:9" ht="30" hidden="1">
      <c r="A41" s="26">
        <v>9</v>
      </c>
      <c r="B41" s="53" t="s">
        <v>67</v>
      </c>
      <c r="C41" s="54" t="s">
        <v>29</v>
      </c>
      <c r="D41" s="53" t="s">
        <v>103</v>
      </c>
      <c r="E41" s="56">
        <v>116.93</v>
      </c>
      <c r="F41" s="56">
        <f>SUM(E41*155/1000)</f>
        <v>18.12415</v>
      </c>
      <c r="G41" s="56">
        <v>374.95</v>
      </c>
      <c r="H41" s="57">
        <f t="shared" si="5"/>
        <v>6.7956500424999993</v>
      </c>
      <c r="I41" s="12">
        <f>F41/6*G41</f>
        <v>1132.6083404166666</v>
      </c>
    </row>
    <row r="42" spans="1:9" ht="60" hidden="1">
      <c r="A42" s="26">
        <v>10</v>
      </c>
      <c r="B42" s="53" t="s">
        <v>80</v>
      </c>
      <c r="C42" s="54" t="s">
        <v>100</v>
      </c>
      <c r="D42" s="53" t="s">
        <v>119</v>
      </c>
      <c r="E42" s="56">
        <v>116.93</v>
      </c>
      <c r="F42" s="56">
        <f>SUM(E42*24/1000)</f>
        <v>2.8063200000000004</v>
      </c>
      <c r="G42" s="56">
        <v>6203.71</v>
      </c>
      <c r="H42" s="57">
        <f t="shared" si="5"/>
        <v>17.409595447200001</v>
      </c>
      <c r="I42" s="12">
        <f>F42/6*G42</f>
        <v>2901.5992412000005</v>
      </c>
    </row>
    <row r="43" spans="1:9" hidden="1">
      <c r="A43" s="26">
        <v>11</v>
      </c>
      <c r="B43" s="53" t="s">
        <v>104</v>
      </c>
      <c r="C43" s="54" t="s">
        <v>100</v>
      </c>
      <c r="D43" s="53" t="s">
        <v>192</v>
      </c>
      <c r="E43" s="56">
        <v>116.93</v>
      </c>
      <c r="F43" s="56">
        <f>SUM(E43*45/1000)</f>
        <v>5.2618500000000008</v>
      </c>
      <c r="G43" s="56">
        <v>458.28</v>
      </c>
      <c r="H43" s="57">
        <f t="shared" si="5"/>
        <v>2.4114006180000001</v>
      </c>
      <c r="I43" s="12">
        <f>F43/6*G43</f>
        <v>401.90010300000006</v>
      </c>
    </row>
    <row r="44" spans="1:9" hidden="1">
      <c r="A44" s="26">
        <v>12</v>
      </c>
      <c r="B44" s="53" t="s">
        <v>68</v>
      </c>
      <c r="C44" s="54" t="s">
        <v>33</v>
      </c>
      <c r="D44" s="53"/>
      <c r="E44" s="55"/>
      <c r="F44" s="56">
        <v>0.9</v>
      </c>
      <c r="G44" s="56">
        <v>798</v>
      </c>
      <c r="H44" s="57">
        <f t="shared" si="5"/>
        <v>0.71820000000000006</v>
      </c>
      <c r="I44" s="12">
        <f>F44/6*G44</f>
        <v>119.69999999999999</v>
      </c>
    </row>
    <row r="45" spans="1:9" hidden="1">
      <c r="A45" s="202" t="s">
        <v>193</v>
      </c>
      <c r="B45" s="203"/>
      <c r="C45" s="203"/>
      <c r="D45" s="203"/>
      <c r="E45" s="203"/>
      <c r="F45" s="203"/>
      <c r="G45" s="203"/>
      <c r="H45" s="203"/>
      <c r="I45" s="204"/>
    </row>
    <row r="46" spans="1:9" hidden="1">
      <c r="A46" s="26">
        <v>17</v>
      </c>
      <c r="B46" s="53" t="s">
        <v>121</v>
      </c>
      <c r="C46" s="54" t="s">
        <v>100</v>
      </c>
      <c r="D46" s="53" t="s">
        <v>41</v>
      </c>
      <c r="E46" s="55">
        <v>1030.4000000000001</v>
      </c>
      <c r="F46" s="56">
        <f>SUM(E46*2/1000)</f>
        <v>2.0608</v>
      </c>
      <c r="G46" s="137">
        <v>1114.1300000000001</v>
      </c>
      <c r="H46" s="57">
        <f t="shared" ref="H46:H55" si="6">SUM(F46*G46/1000)</f>
        <v>2.2959991039999998</v>
      </c>
      <c r="I46" s="12">
        <f t="shared" ref="I46:I48" si="7">F46/2*G46</f>
        <v>1147.999552</v>
      </c>
    </row>
    <row r="47" spans="1:9" hidden="1">
      <c r="A47" s="26">
        <v>18</v>
      </c>
      <c r="B47" s="53" t="s">
        <v>34</v>
      </c>
      <c r="C47" s="54" t="s">
        <v>100</v>
      </c>
      <c r="D47" s="53" t="s">
        <v>41</v>
      </c>
      <c r="E47" s="55">
        <v>132</v>
      </c>
      <c r="F47" s="56">
        <f>E47*2/1000</f>
        <v>0.26400000000000001</v>
      </c>
      <c r="G47" s="137">
        <v>4419.05</v>
      </c>
      <c r="H47" s="57">
        <f t="shared" si="6"/>
        <v>1.1666292</v>
      </c>
      <c r="I47" s="12">
        <f t="shared" si="7"/>
        <v>583.31460000000004</v>
      </c>
    </row>
    <row r="48" spans="1:9" hidden="1">
      <c r="A48" s="26">
        <v>19</v>
      </c>
      <c r="B48" s="53" t="s">
        <v>35</v>
      </c>
      <c r="C48" s="54" t="s">
        <v>100</v>
      </c>
      <c r="D48" s="53" t="s">
        <v>41</v>
      </c>
      <c r="E48" s="55">
        <v>4248.22</v>
      </c>
      <c r="F48" s="56">
        <f>SUM(E48*2/1000)</f>
        <v>8.4964399999999998</v>
      </c>
      <c r="G48" s="137">
        <v>1803.69</v>
      </c>
      <c r="H48" s="57">
        <f t="shared" si="6"/>
        <v>15.3249438636</v>
      </c>
      <c r="I48" s="12">
        <f t="shared" si="7"/>
        <v>7662.4719317999998</v>
      </c>
    </row>
    <row r="49" spans="1:9" hidden="1">
      <c r="A49" s="26">
        <v>20</v>
      </c>
      <c r="B49" s="53" t="s">
        <v>36</v>
      </c>
      <c r="C49" s="54" t="s">
        <v>100</v>
      </c>
      <c r="D49" s="53" t="s">
        <v>41</v>
      </c>
      <c r="E49" s="55">
        <v>2163.66</v>
      </c>
      <c r="F49" s="56">
        <f>SUM(E49*2/1000)</f>
        <v>4.3273199999999994</v>
      </c>
      <c r="G49" s="137">
        <v>1243.43</v>
      </c>
      <c r="H49" s="57">
        <f t="shared" si="6"/>
        <v>5.3807195075999994</v>
      </c>
      <c r="I49" s="12">
        <f>F49/2*G49</f>
        <v>2690.3597537999999</v>
      </c>
    </row>
    <row r="50" spans="1:9" hidden="1">
      <c r="A50" s="26">
        <v>21</v>
      </c>
      <c r="B50" s="53" t="s">
        <v>55</v>
      </c>
      <c r="C50" s="54" t="s">
        <v>100</v>
      </c>
      <c r="D50" s="53" t="s">
        <v>131</v>
      </c>
      <c r="E50" s="55">
        <v>1015.4</v>
      </c>
      <c r="F50" s="56">
        <f>SUM(E50*5/1000)</f>
        <v>5.077</v>
      </c>
      <c r="G50" s="137">
        <v>1083.69</v>
      </c>
      <c r="H50" s="57">
        <f t="shared" si="6"/>
        <v>5.5018941300000002</v>
      </c>
      <c r="I50" s="12">
        <f>3.945*G50</f>
        <v>4275.1570499999998</v>
      </c>
    </row>
    <row r="51" spans="1:9" ht="45" hidden="1">
      <c r="A51" s="26"/>
      <c r="B51" s="53" t="s">
        <v>105</v>
      </c>
      <c r="C51" s="54" t="s">
        <v>100</v>
      </c>
      <c r="D51" s="53" t="s">
        <v>41</v>
      </c>
      <c r="E51" s="55">
        <v>1015.4</v>
      </c>
      <c r="F51" s="56">
        <f>SUM(E51*2/1000)</f>
        <v>2.0308000000000002</v>
      </c>
      <c r="G51" s="12">
        <v>1297.28</v>
      </c>
      <c r="H51" s="57">
        <f t="shared" si="6"/>
        <v>2.634516224</v>
      </c>
      <c r="I51" s="12">
        <v>0</v>
      </c>
    </row>
    <row r="52" spans="1:9" ht="30" hidden="1">
      <c r="A52" s="26"/>
      <c r="B52" s="53" t="s">
        <v>106</v>
      </c>
      <c r="C52" s="54" t="s">
        <v>37</v>
      </c>
      <c r="D52" s="53" t="s">
        <v>41</v>
      </c>
      <c r="E52" s="55">
        <v>30</v>
      </c>
      <c r="F52" s="56">
        <f>SUM(E52*2/100)</f>
        <v>0.6</v>
      </c>
      <c r="G52" s="12">
        <v>2918.89</v>
      </c>
      <c r="H52" s="57">
        <f t="shared" si="6"/>
        <v>1.7513339999999997</v>
      </c>
      <c r="I52" s="12">
        <v>0</v>
      </c>
    </row>
    <row r="53" spans="1:9" hidden="1">
      <c r="A53" s="26"/>
      <c r="B53" s="53" t="s">
        <v>38</v>
      </c>
      <c r="C53" s="54" t="s">
        <v>39</v>
      </c>
      <c r="D53" s="53" t="s">
        <v>41</v>
      </c>
      <c r="E53" s="55">
        <v>1</v>
      </c>
      <c r="F53" s="56">
        <v>0.02</v>
      </c>
      <c r="G53" s="12">
        <v>6042.13</v>
      </c>
      <c r="H53" s="57">
        <f t="shared" si="6"/>
        <v>0.12084260000000001</v>
      </c>
      <c r="I53" s="12">
        <v>0</v>
      </c>
    </row>
    <row r="54" spans="1:9" hidden="1">
      <c r="A54" s="26">
        <v>22</v>
      </c>
      <c r="B54" s="53" t="s">
        <v>120</v>
      </c>
      <c r="C54" s="54" t="s">
        <v>86</v>
      </c>
      <c r="D54" s="53" t="s">
        <v>69</v>
      </c>
      <c r="E54" s="55">
        <v>90</v>
      </c>
      <c r="F54" s="56">
        <f>E54*4</f>
        <v>360</v>
      </c>
      <c r="G54" s="137">
        <v>185.08</v>
      </c>
      <c r="H54" s="57">
        <f>F54*G54/1000</f>
        <v>66.628799999999998</v>
      </c>
      <c r="I54" s="12">
        <f>G54*E54</f>
        <v>16657.2</v>
      </c>
    </row>
    <row r="55" spans="1:9" hidden="1">
      <c r="A55" s="26">
        <v>23</v>
      </c>
      <c r="B55" s="53" t="s">
        <v>40</v>
      </c>
      <c r="C55" s="54" t="s">
        <v>86</v>
      </c>
      <c r="D55" s="53" t="s">
        <v>69</v>
      </c>
      <c r="E55" s="55">
        <v>180</v>
      </c>
      <c r="F55" s="56">
        <f>SUM(E55)*3</f>
        <v>540</v>
      </c>
      <c r="G55" s="141">
        <v>86.15</v>
      </c>
      <c r="H55" s="57">
        <f t="shared" si="6"/>
        <v>46.521000000000001</v>
      </c>
      <c r="I55" s="12">
        <f>G55*E55</f>
        <v>15507.000000000002</v>
      </c>
    </row>
    <row r="56" spans="1:9">
      <c r="A56" s="202" t="s">
        <v>165</v>
      </c>
      <c r="B56" s="203"/>
      <c r="C56" s="203"/>
      <c r="D56" s="203"/>
      <c r="E56" s="203"/>
      <c r="F56" s="203"/>
      <c r="G56" s="203"/>
      <c r="H56" s="203"/>
      <c r="I56" s="204"/>
    </row>
    <row r="57" spans="1:9" hidden="1">
      <c r="A57" s="26"/>
      <c r="B57" s="75" t="s">
        <v>42</v>
      </c>
      <c r="C57" s="54"/>
      <c r="D57" s="53"/>
      <c r="E57" s="55"/>
      <c r="F57" s="56"/>
      <c r="G57" s="56"/>
      <c r="H57" s="57"/>
      <c r="I57" s="12"/>
    </row>
    <row r="58" spans="1:9" ht="45" hidden="1">
      <c r="A58" s="26">
        <v>16</v>
      </c>
      <c r="B58" s="53" t="s">
        <v>194</v>
      </c>
      <c r="C58" s="54" t="s">
        <v>90</v>
      </c>
      <c r="D58" s="53" t="s">
        <v>107</v>
      </c>
      <c r="E58" s="55">
        <v>148.04</v>
      </c>
      <c r="F58" s="56">
        <f>SUM(E58*6/100)</f>
        <v>8.8824000000000005</v>
      </c>
      <c r="G58" s="12">
        <v>1654.04</v>
      </c>
      <c r="H58" s="57">
        <f>SUM(F58*G58/1000)</f>
        <v>14.691844896000001</v>
      </c>
      <c r="I58" s="12">
        <f>F58/6*G58</f>
        <v>2448.6408160000001</v>
      </c>
    </row>
    <row r="59" spans="1:9" ht="30" hidden="1">
      <c r="A59" s="26">
        <v>17</v>
      </c>
      <c r="B59" s="53" t="s">
        <v>84</v>
      </c>
      <c r="C59" s="54" t="s">
        <v>90</v>
      </c>
      <c r="D59" s="53" t="s">
        <v>85</v>
      </c>
      <c r="E59" s="55">
        <v>39.700000000000003</v>
      </c>
      <c r="F59" s="56">
        <f>SUM(E59*12/100)</f>
        <v>4.7640000000000002</v>
      </c>
      <c r="G59" s="12">
        <v>1654.04</v>
      </c>
      <c r="H59" s="57">
        <f>SUM(F59*G59/1000)</f>
        <v>7.8798465599999998</v>
      </c>
      <c r="I59" s="12">
        <f>F59/6*G59</f>
        <v>1313.3077600000001</v>
      </c>
    </row>
    <row r="60" spans="1:9" hidden="1">
      <c r="A60" s="26">
        <v>18</v>
      </c>
      <c r="B60" s="62" t="s">
        <v>122</v>
      </c>
      <c r="C60" s="63" t="s">
        <v>123</v>
      </c>
      <c r="D60" s="62" t="s">
        <v>41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idden="1">
      <c r="A61" s="26">
        <v>19</v>
      </c>
      <c r="B61" s="53" t="s">
        <v>124</v>
      </c>
      <c r="C61" s="54" t="s">
        <v>90</v>
      </c>
      <c r="D61" s="53" t="s">
        <v>107</v>
      </c>
      <c r="E61" s="55">
        <v>41.73</v>
      </c>
      <c r="F61" s="56">
        <f>SUM(E61*6/100)</f>
        <v>2.5038</v>
      </c>
      <c r="G61" s="12">
        <v>1654.04</v>
      </c>
      <c r="H61" s="57">
        <f>SUM(F61*G61/1000)</f>
        <v>4.1413853520000004</v>
      </c>
      <c r="I61" s="12">
        <f>F61/6*G61</f>
        <v>690.23089200000004</v>
      </c>
    </row>
    <row r="62" spans="1:9" ht="17.25" customHeight="1">
      <c r="A62" s="26"/>
      <c r="B62" s="76" t="s">
        <v>43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195</v>
      </c>
      <c r="C63" s="63" t="s">
        <v>51</v>
      </c>
      <c r="D63" s="62" t="s">
        <v>52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8" customHeight="1">
      <c r="A64" s="26">
        <v>10</v>
      </c>
      <c r="B64" s="62" t="s">
        <v>87</v>
      </c>
      <c r="C64" s="63" t="s">
        <v>25</v>
      </c>
      <c r="D64" s="62" t="s">
        <v>30</v>
      </c>
      <c r="E64" s="64">
        <v>203.1</v>
      </c>
      <c r="F64" s="67">
        <f>E64*12</f>
        <v>2437.1999999999998</v>
      </c>
      <c r="G64" s="48">
        <v>1.2</v>
      </c>
      <c r="H64" s="65">
        <f>F64*G64/1000</f>
        <v>2.9246399999999997</v>
      </c>
      <c r="I64" s="12">
        <f>2400/12*G64</f>
        <v>240</v>
      </c>
    </row>
    <row r="65" spans="1:9" hidden="1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</row>
    <row r="66" spans="1:9" hidden="1">
      <c r="A66" s="26">
        <v>19</v>
      </c>
      <c r="B66" s="13" t="s">
        <v>45</v>
      </c>
      <c r="C66" s="15" t="s">
        <v>86</v>
      </c>
      <c r="D66" s="13" t="s">
        <v>66</v>
      </c>
      <c r="E66" s="17">
        <v>10</v>
      </c>
      <c r="F66" s="56">
        <v>10</v>
      </c>
      <c r="G66" s="12">
        <v>237.75</v>
      </c>
      <c r="H66" s="68">
        <f t="shared" ref="H66:H79" si="8">SUM(F66*G66/1000)</f>
        <v>2.3774999999999999</v>
      </c>
      <c r="I66" s="12">
        <f>G66</f>
        <v>237.75</v>
      </c>
    </row>
    <row r="67" spans="1:9" hidden="1">
      <c r="A67" s="26"/>
      <c r="B67" s="13" t="s">
        <v>46</v>
      </c>
      <c r="C67" s="15" t="s">
        <v>86</v>
      </c>
      <c r="D67" s="13" t="s">
        <v>66</v>
      </c>
      <c r="E67" s="17">
        <v>5</v>
      </c>
      <c r="F67" s="56">
        <v>5</v>
      </c>
      <c r="G67" s="12">
        <v>81.510000000000005</v>
      </c>
      <c r="H67" s="68">
        <f t="shared" si="8"/>
        <v>0.40755000000000002</v>
      </c>
      <c r="I67" s="12">
        <v>0</v>
      </c>
    </row>
    <row r="68" spans="1:9" hidden="1">
      <c r="A68" s="26">
        <v>25</v>
      </c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37">
        <v>278.24</v>
      </c>
      <c r="H68" s="68">
        <f t="shared" si="8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48</v>
      </c>
      <c r="C69" s="15" t="s">
        <v>110</v>
      </c>
      <c r="D69" s="13" t="s">
        <v>52</v>
      </c>
      <c r="E69" s="55">
        <v>14205</v>
      </c>
      <c r="F69" s="12">
        <f>SUM(E69/1000)</f>
        <v>14.205</v>
      </c>
      <c r="G69" s="137">
        <v>216.68</v>
      </c>
      <c r="H69" s="68">
        <f t="shared" si="8"/>
        <v>3.0779394</v>
      </c>
      <c r="I69" s="12">
        <f t="shared" ref="I69:I70" si="9">F69*G69</f>
        <v>3077.9394000000002</v>
      </c>
    </row>
    <row r="70" spans="1:9" hidden="1">
      <c r="A70" s="26">
        <v>27</v>
      </c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37">
        <v>2720.94</v>
      </c>
      <c r="H70" s="68">
        <f t="shared" si="8"/>
        <v>57.983231399999994</v>
      </c>
      <c r="I70" s="12">
        <f t="shared" si="9"/>
        <v>57983.231399999997</v>
      </c>
    </row>
    <row r="71" spans="1:9" hidden="1">
      <c r="A71" s="26">
        <v>28</v>
      </c>
      <c r="B71" s="69" t="s">
        <v>111</v>
      </c>
      <c r="C71" s="15" t="s">
        <v>33</v>
      </c>
      <c r="D71" s="13" t="s">
        <v>52</v>
      </c>
      <c r="E71" s="55">
        <v>12.48</v>
      </c>
      <c r="F71" s="12">
        <f>SUM(E71)</f>
        <v>12.48</v>
      </c>
      <c r="G71" s="137">
        <v>44.31</v>
      </c>
      <c r="H71" s="68">
        <f t="shared" si="8"/>
        <v>0.55298880000000006</v>
      </c>
      <c r="I71" s="12">
        <f>7*G71</f>
        <v>310.17</v>
      </c>
    </row>
    <row r="72" spans="1:9" hidden="1">
      <c r="A72" s="26">
        <v>29</v>
      </c>
      <c r="B72" s="69" t="s">
        <v>112</v>
      </c>
      <c r="C72" s="15" t="s">
        <v>33</v>
      </c>
      <c r="D72" s="13" t="s">
        <v>52</v>
      </c>
      <c r="E72" s="55">
        <v>12.48</v>
      </c>
      <c r="F72" s="12">
        <f>SUM(E72)</f>
        <v>12.48</v>
      </c>
      <c r="G72" s="137">
        <v>47.79</v>
      </c>
      <c r="H72" s="68">
        <f t="shared" si="8"/>
        <v>0.59641920000000004</v>
      </c>
      <c r="I72" s="12">
        <f>7*G72</f>
        <v>334.53</v>
      </c>
    </row>
    <row r="73" spans="1:9" hidden="1">
      <c r="A73" s="26"/>
      <c r="B73" s="13" t="s">
        <v>56</v>
      </c>
      <c r="C73" s="15" t="s">
        <v>57</v>
      </c>
      <c r="D73" s="13" t="s">
        <v>52</v>
      </c>
      <c r="E73" s="17">
        <v>5</v>
      </c>
      <c r="F73" s="56">
        <v>5</v>
      </c>
      <c r="G73" s="12">
        <v>53.32</v>
      </c>
      <c r="H73" s="68">
        <f t="shared" si="8"/>
        <v>0.2666</v>
      </c>
      <c r="I73" s="12">
        <v>0</v>
      </c>
    </row>
    <row r="74" spans="1:9" hidden="1">
      <c r="A74" s="26"/>
      <c r="B74" s="151" t="s">
        <v>70</v>
      </c>
      <c r="C74" s="15"/>
      <c r="D74" s="13"/>
      <c r="E74" s="17"/>
      <c r="F74" s="12"/>
      <c r="G74" s="12"/>
      <c r="H74" s="68" t="s">
        <v>125</v>
      </c>
      <c r="I74" s="12"/>
    </row>
    <row r="75" spans="1:9" hidden="1">
      <c r="A75" s="26">
        <v>21</v>
      </c>
      <c r="B75" s="13" t="s">
        <v>71</v>
      </c>
      <c r="C75" s="15" t="s">
        <v>73</v>
      </c>
      <c r="D75" s="13" t="s">
        <v>66</v>
      </c>
      <c r="E75" s="17">
        <v>2</v>
      </c>
      <c r="F75" s="12">
        <v>0.2</v>
      </c>
      <c r="G75" s="12">
        <v>536.23</v>
      </c>
      <c r="H75" s="68">
        <f t="shared" si="8"/>
        <v>0.10724600000000001</v>
      </c>
      <c r="I75" s="12">
        <f>G75*0.1</f>
        <v>53.623000000000005</v>
      </c>
    </row>
    <row r="76" spans="1:9" hidden="1">
      <c r="A76" s="26"/>
      <c r="B76" s="13" t="s">
        <v>72</v>
      </c>
      <c r="C76" s="15" t="s">
        <v>31</v>
      </c>
      <c r="D76" s="13" t="s">
        <v>66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idden="1">
      <c r="A77" s="26"/>
      <c r="B77" s="13" t="s">
        <v>196</v>
      </c>
      <c r="C77" s="15" t="s">
        <v>31</v>
      </c>
      <c r="D77" s="13" t="s">
        <v>66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74</v>
      </c>
      <c r="C78" s="15"/>
      <c r="D78" s="13"/>
      <c r="E78" s="17"/>
      <c r="F78" s="12"/>
      <c r="G78" s="12" t="s">
        <v>125</v>
      </c>
      <c r="H78" s="68" t="s">
        <v>125</v>
      </c>
      <c r="I78" s="12"/>
    </row>
    <row r="79" spans="1:9" hidden="1">
      <c r="A79" s="26">
        <v>22</v>
      </c>
      <c r="B79" s="39" t="s">
        <v>115</v>
      </c>
      <c r="C79" s="15" t="s">
        <v>75</v>
      </c>
      <c r="D79" s="13"/>
      <c r="E79" s="17"/>
      <c r="F79" s="12">
        <v>0.9</v>
      </c>
      <c r="G79" s="12">
        <v>2757.42</v>
      </c>
      <c r="H79" s="68">
        <f t="shared" si="8"/>
        <v>2.4816780000000005</v>
      </c>
      <c r="I79" s="12">
        <f>G79*F79</f>
        <v>2481.6780000000003</v>
      </c>
    </row>
    <row r="80" spans="1:9" ht="28.5" hidden="1">
      <c r="A80" s="26"/>
      <c r="B80" s="151" t="s">
        <v>113</v>
      </c>
      <c r="C80" s="70"/>
      <c r="D80" s="28"/>
      <c r="E80" s="29"/>
      <c r="F80" s="59"/>
      <c r="G80" s="59"/>
      <c r="H80" s="71">
        <f>SUM(H58:H79)</f>
        <v>150.01431058800003</v>
      </c>
      <c r="I80" s="59"/>
    </row>
    <row r="81" spans="1:9" hidden="1">
      <c r="A81" s="126">
        <v>23</v>
      </c>
      <c r="B81" s="62" t="s">
        <v>114</v>
      </c>
      <c r="C81" s="127"/>
      <c r="D81" s="128"/>
      <c r="E81" s="49"/>
      <c r="F81" s="74">
        <v>1</v>
      </c>
      <c r="G81" s="74">
        <v>27901.200000000001</v>
      </c>
      <c r="H81" s="129">
        <f>G81*F81/1000</f>
        <v>27.901199999999999</v>
      </c>
      <c r="I81" s="74">
        <f>G81</f>
        <v>27901.200000000001</v>
      </c>
    </row>
    <row r="82" spans="1:9" ht="15.75" customHeight="1">
      <c r="A82" s="26"/>
      <c r="B82" s="150" t="s">
        <v>148</v>
      </c>
      <c r="C82" s="140"/>
      <c r="D82" s="13"/>
      <c r="E82" s="17"/>
      <c r="F82" s="12"/>
      <c r="G82" s="12"/>
      <c r="H82" s="12"/>
      <c r="I82" s="12"/>
    </row>
    <row r="83" spans="1:9" ht="34.5" customHeight="1">
      <c r="A83" s="26">
        <v>11</v>
      </c>
      <c r="B83" s="106" t="s">
        <v>149</v>
      </c>
      <c r="C83" s="32" t="s">
        <v>150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28.5" customHeight="1">
      <c r="A84" s="26">
        <v>12</v>
      </c>
      <c r="B84" s="111" t="s">
        <v>151</v>
      </c>
      <c r="C84" s="112" t="s">
        <v>86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 ht="16.5" customHeight="1">
      <c r="A85" s="26"/>
      <c r="B85" s="192" t="s">
        <v>274</v>
      </c>
      <c r="C85" s="112"/>
      <c r="D85" s="13"/>
      <c r="E85" s="17"/>
      <c r="F85" s="12"/>
      <c r="G85" s="107"/>
      <c r="H85" s="12"/>
      <c r="I85" s="12"/>
    </row>
    <row r="86" spans="1:9" ht="18" customHeight="1">
      <c r="A86" s="26">
        <v>13</v>
      </c>
      <c r="B86" s="193" t="s">
        <v>156</v>
      </c>
      <c r="C86" s="112" t="s">
        <v>275</v>
      </c>
      <c r="D86" s="13"/>
      <c r="E86" s="17"/>
      <c r="F86" s="12"/>
      <c r="G86" s="107">
        <v>44100</v>
      </c>
      <c r="H86" s="12"/>
      <c r="I86" s="12">
        <f>G86*1</f>
        <v>44100</v>
      </c>
    </row>
    <row r="87" spans="1:9">
      <c r="A87" s="210" t="s">
        <v>166</v>
      </c>
      <c r="B87" s="211"/>
      <c r="C87" s="211"/>
      <c r="D87" s="211"/>
      <c r="E87" s="211"/>
      <c r="F87" s="211"/>
      <c r="G87" s="211"/>
      <c r="H87" s="211"/>
      <c r="I87" s="212"/>
    </row>
    <row r="88" spans="1:9" ht="18" customHeight="1">
      <c r="A88" s="77">
        <v>14</v>
      </c>
      <c r="B88" s="130" t="s">
        <v>116</v>
      </c>
      <c r="C88" s="131" t="s">
        <v>53</v>
      </c>
      <c r="D88" s="132" t="s">
        <v>54</v>
      </c>
      <c r="E88" s="133">
        <v>3945</v>
      </c>
      <c r="F88" s="133">
        <f>SUM(E88*12)</f>
        <v>47340</v>
      </c>
      <c r="G88" s="138">
        <v>3.1</v>
      </c>
      <c r="H88" s="134">
        <f>SUM(F88*G88/1000)</f>
        <v>146.75399999999999</v>
      </c>
      <c r="I88" s="133">
        <f>F88/12*G88</f>
        <v>12229.5</v>
      </c>
    </row>
    <row r="89" spans="1:9" ht="30.75" customHeight="1">
      <c r="A89" s="26">
        <v>15</v>
      </c>
      <c r="B89" s="13" t="s">
        <v>76</v>
      </c>
      <c r="C89" s="15"/>
      <c r="D89" s="132" t="s">
        <v>54</v>
      </c>
      <c r="E89" s="55">
        <f>E88</f>
        <v>3945</v>
      </c>
      <c r="F89" s="12">
        <f>E89*12</f>
        <v>47340</v>
      </c>
      <c r="G89" s="137">
        <v>3.5</v>
      </c>
      <c r="H89" s="68">
        <f>F89*G89/1000</f>
        <v>165.69</v>
      </c>
      <c r="I89" s="12">
        <f>F89/12*G89</f>
        <v>13807.5</v>
      </c>
    </row>
    <row r="90" spans="1:9">
      <c r="A90" s="26"/>
      <c r="B90" s="31" t="s">
        <v>79</v>
      </c>
      <c r="C90" s="32"/>
      <c r="D90" s="14"/>
      <c r="E90" s="14"/>
      <c r="F90" s="17"/>
      <c r="G90" s="135"/>
      <c r="H90" s="71">
        <f>H89</f>
        <v>165.69</v>
      </c>
      <c r="I90" s="29">
        <f>I89+I88+I84+I83+I64+I33+I32+I30+I29+I26+I25+I18+I17+I16+I86</f>
        <v>113176.41415577778</v>
      </c>
    </row>
    <row r="91" spans="1:9">
      <c r="A91" s="207" t="s">
        <v>59</v>
      </c>
      <c r="B91" s="208"/>
      <c r="C91" s="208"/>
      <c r="D91" s="208"/>
      <c r="E91" s="208"/>
      <c r="F91" s="208"/>
      <c r="G91" s="208"/>
      <c r="H91" s="208"/>
      <c r="I91" s="209"/>
    </row>
    <row r="92" spans="1:9" ht="30">
      <c r="A92" s="26">
        <v>16</v>
      </c>
      <c r="B92" s="111" t="s">
        <v>220</v>
      </c>
      <c r="C92" s="112" t="s">
        <v>86</v>
      </c>
      <c r="D92" s="39"/>
      <c r="E92" s="12"/>
      <c r="F92" s="12">
        <v>2</v>
      </c>
      <c r="G92" s="107">
        <v>699.74</v>
      </c>
      <c r="H92" s="12">
        <f t="shared" ref="H92:H109" si="10">G92*F92/1000</f>
        <v>1.3994800000000001</v>
      </c>
      <c r="I92" s="74">
        <f t="shared" ref="I92:I99" si="11">G92*1</f>
        <v>699.74</v>
      </c>
    </row>
    <row r="93" spans="1:9">
      <c r="A93" s="26">
        <v>17</v>
      </c>
      <c r="B93" s="111" t="s">
        <v>221</v>
      </c>
      <c r="C93" s="112" t="s">
        <v>86</v>
      </c>
      <c r="D93" s="39"/>
      <c r="E93" s="12"/>
      <c r="F93" s="12"/>
      <c r="G93" s="107">
        <v>109.73</v>
      </c>
      <c r="H93" s="68"/>
      <c r="I93" s="74">
        <f t="shared" si="11"/>
        <v>109.73</v>
      </c>
    </row>
    <row r="94" spans="1:9">
      <c r="A94" s="26">
        <v>18</v>
      </c>
      <c r="B94" s="111" t="s">
        <v>222</v>
      </c>
      <c r="C94" s="112" t="s">
        <v>86</v>
      </c>
      <c r="D94" s="39"/>
      <c r="E94" s="12"/>
      <c r="F94" s="12"/>
      <c r="G94" s="107">
        <v>89.15</v>
      </c>
      <c r="H94" s="68"/>
      <c r="I94" s="74">
        <f t="shared" si="11"/>
        <v>89.15</v>
      </c>
    </row>
    <row r="95" spans="1:9">
      <c r="A95" s="26">
        <v>19</v>
      </c>
      <c r="B95" s="111" t="s">
        <v>223</v>
      </c>
      <c r="C95" s="112" t="s">
        <v>86</v>
      </c>
      <c r="D95" s="39"/>
      <c r="E95" s="12"/>
      <c r="F95" s="12"/>
      <c r="G95" s="107">
        <v>78.89</v>
      </c>
      <c r="H95" s="68"/>
      <c r="I95" s="74">
        <f t="shared" si="11"/>
        <v>78.89</v>
      </c>
    </row>
    <row r="96" spans="1:9">
      <c r="A96" s="26">
        <v>20</v>
      </c>
      <c r="B96" s="111" t="s">
        <v>224</v>
      </c>
      <c r="C96" s="112" t="s">
        <v>86</v>
      </c>
      <c r="D96" s="39"/>
      <c r="E96" s="12"/>
      <c r="F96" s="12"/>
      <c r="G96" s="107">
        <v>46.75</v>
      </c>
      <c r="H96" s="68"/>
      <c r="I96" s="74">
        <f t="shared" si="11"/>
        <v>46.75</v>
      </c>
    </row>
    <row r="97" spans="1:9">
      <c r="A97" s="26">
        <v>21</v>
      </c>
      <c r="B97" s="111" t="s">
        <v>225</v>
      </c>
      <c r="C97" s="112" t="s">
        <v>86</v>
      </c>
      <c r="D97" s="39"/>
      <c r="E97" s="12"/>
      <c r="F97" s="12"/>
      <c r="G97" s="107">
        <v>27.36</v>
      </c>
      <c r="H97" s="68"/>
      <c r="I97" s="74">
        <f t="shared" si="11"/>
        <v>27.36</v>
      </c>
    </row>
    <row r="98" spans="1:9">
      <c r="A98" s="26">
        <v>22</v>
      </c>
      <c r="B98" s="111" t="s">
        <v>226</v>
      </c>
      <c r="C98" s="112" t="s">
        <v>86</v>
      </c>
      <c r="D98" s="39"/>
      <c r="E98" s="12"/>
      <c r="F98" s="12"/>
      <c r="G98" s="107">
        <v>37.450000000000003</v>
      </c>
      <c r="H98" s="68"/>
      <c r="I98" s="74">
        <f t="shared" si="11"/>
        <v>37.450000000000003</v>
      </c>
    </row>
    <row r="99" spans="1:9">
      <c r="A99" s="26">
        <v>23</v>
      </c>
      <c r="B99" s="111" t="s">
        <v>227</v>
      </c>
      <c r="C99" s="112" t="s">
        <v>86</v>
      </c>
      <c r="D99" s="39"/>
      <c r="E99" s="12"/>
      <c r="F99" s="12"/>
      <c r="G99" s="107">
        <v>728.17</v>
      </c>
      <c r="H99" s="68"/>
      <c r="I99" s="74">
        <f t="shared" si="11"/>
        <v>728.17</v>
      </c>
    </row>
    <row r="100" spans="1:9" ht="30">
      <c r="A100" s="26">
        <v>24</v>
      </c>
      <c r="B100" s="72" t="s">
        <v>169</v>
      </c>
      <c r="C100" s="109" t="s">
        <v>170</v>
      </c>
      <c r="D100" s="39"/>
      <c r="E100" s="12"/>
      <c r="F100" s="12"/>
      <c r="G100" s="107">
        <v>1272</v>
      </c>
      <c r="H100" s="68"/>
      <c r="I100" s="74">
        <f>G100*9</f>
        <v>11448</v>
      </c>
    </row>
    <row r="101" spans="1:9">
      <c r="A101" s="26">
        <v>25</v>
      </c>
      <c r="B101" s="72" t="s">
        <v>228</v>
      </c>
      <c r="C101" s="109" t="s">
        <v>86</v>
      </c>
      <c r="D101" s="39"/>
      <c r="E101" s="12"/>
      <c r="F101" s="12"/>
      <c r="G101" s="107">
        <v>8.44</v>
      </c>
      <c r="H101" s="68"/>
      <c r="I101" s="74">
        <f>G101*1</f>
        <v>8.44</v>
      </c>
    </row>
    <row r="102" spans="1:9">
      <c r="A102" s="26">
        <v>26</v>
      </c>
      <c r="B102" s="72" t="s">
        <v>229</v>
      </c>
      <c r="C102" s="109" t="s">
        <v>86</v>
      </c>
      <c r="D102" s="39"/>
      <c r="E102" s="12"/>
      <c r="F102" s="12"/>
      <c r="G102" s="107">
        <v>65.56</v>
      </c>
      <c r="H102" s="68"/>
      <c r="I102" s="74">
        <f>G102*1</f>
        <v>65.56</v>
      </c>
    </row>
    <row r="103" spans="1:9">
      <c r="A103" s="26">
        <v>27</v>
      </c>
      <c r="B103" s="72" t="s">
        <v>230</v>
      </c>
      <c r="C103" s="109" t="s">
        <v>86</v>
      </c>
      <c r="D103" s="39"/>
      <c r="E103" s="12"/>
      <c r="F103" s="12"/>
      <c r="G103" s="107">
        <v>5.42</v>
      </c>
      <c r="H103" s="68"/>
      <c r="I103" s="74">
        <f>G103*1</f>
        <v>5.42</v>
      </c>
    </row>
    <row r="104" spans="1:9">
      <c r="A104" s="26">
        <v>28</v>
      </c>
      <c r="B104" s="72" t="s">
        <v>231</v>
      </c>
      <c r="C104" s="109" t="s">
        <v>86</v>
      </c>
      <c r="D104" s="39"/>
      <c r="E104" s="12"/>
      <c r="F104" s="12"/>
      <c r="G104" s="107">
        <v>8.44</v>
      </c>
      <c r="H104" s="68"/>
      <c r="I104" s="74">
        <f>G104*2</f>
        <v>16.88</v>
      </c>
    </row>
    <row r="105" spans="1:9">
      <c r="A105" s="26">
        <v>29</v>
      </c>
      <c r="B105" s="72" t="s">
        <v>232</v>
      </c>
      <c r="C105" s="109" t="s">
        <v>86</v>
      </c>
      <c r="D105" s="39"/>
      <c r="E105" s="12"/>
      <c r="F105" s="12"/>
      <c r="G105" s="107">
        <v>5.43</v>
      </c>
      <c r="H105" s="68"/>
      <c r="I105" s="74">
        <f>G105*1</f>
        <v>5.43</v>
      </c>
    </row>
    <row r="106" spans="1:9">
      <c r="A106" s="26">
        <v>30</v>
      </c>
      <c r="B106" s="72" t="s">
        <v>233</v>
      </c>
      <c r="C106" s="109" t="s">
        <v>86</v>
      </c>
      <c r="D106" s="39"/>
      <c r="E106" s="12"/>
      <c r="F106" s="12"/>
      <c r="G106" s="107">
        <v>196.01</v>
      </c>
      <c r="H106" s="68"/>
      <c r="I106" s="74">
        <f>G106*1</f>
        <v>196.01</v>
      </c>
    </row>
    <row r="107" spans="1:9">
      <c r="A107" s="26">
        <v>31</v>
      </c>
      <c r="B107" s="72" t="s">
        <v>234</v>
      </c>
      <c r="C107" s="109" t="s">
        <v>86</v>
      </c>
      <c r="D107" s="39"/>
      <c r="E107" s="12"/>
      <c r="F107" s="12"/>
      <c r="G107" s="107">
        <v>225.51</v>
      </c>
      <c r="H107" s="68"/>
      <c r="I107" s="74">
        <f>G107*1</f>
        <v>225.51</v>
      </c>
    </row>
    <row r="108" spans="1:9" hidden="1">
      <c r="A108" s="26"/>
      <c r="B108" s="157"/>
      <c r="C108" s="158"/>
      <c r="D108" s="39"/>
      <c r="E108" s="12"/>
      <c r="F108" s="12"/>
      <c r="G108" s="137"/>
      <c r="H108" s="68"/>
      <c r="I108" s="74"/>
    </row>
    <row r="109" spans="1:9" hidden="1">
      <c r="A109" s="26">
        <v>16</v>
      </c>
      <c r="B109" s="72"/>
      <c r="C109" s="73"/>
      <c r="D109" s="39"/>
      <c r="E109" s="12"/>
      <c r="F109" s="12">
        <v>1</v>
      </c>
      <c r="G109" s="107"/>
      <c r="H109" s="68">
        <f t="shared" si="10"/>
        <v>0</v>
      </c>
      <c r="I109" s="74"/>
    </row>
    <row r="110" spans="1:9">
      <c r="A110" s="26">
        <v>32</v>
      </c>
      <c r="B110" s="72" t="s">
        <v>243</v>
      </c>
      <c r="C110" s="109" t="s">
        <v>86</v>
      </c>
      <c r="D110" s="39"/>
      <c r="E110" s="12"/>
      <c r="F110" s="12"/>
      <c r="G110" s="107">
        <v>151.31</v>
      </c>
      <c r="H110" s="68"/>
      <c r="I110" s="74">
        <f>G110*2</f>
        <v>302.62</v>
      </c>
    </row>
    <row r="111" spans="1:9">
      <c r="A111" s="26">
        <v>33</v>
      </c>
      <c r="B111" s="72" t="s">
        <v>244</v>
      </c>
      <c r="C111" s="109" t="s">
        <v>86</v>
      </c>
      <c r="D111" s="39"/>
      <c r="E111" s="12"/>
      <c r="F111" s="12"/>
      <c r="G111" s="107">
        <v>169.24</v>
      </c>
      <c r="H111" s="68"/>
      <c r="I111" s="74">
        <f>G111*2</f>
        <v>338.48</v>
      </c>
    </row>
    <row r="112" spans="1:9" ht="15" customHeight="1">
      <c r="A112" s="26"/>
      <c r="B112" s="37" t="s">
        <v>50</v>
      </c>
      <c r="C112" s="33"/>
      <c r="D112" s="40"/>
      <c r="E112" s="33">
        <v>1</v>
      </c>
      <c r="F112" s="33"/>
      <c r="G112" s="33"/>
      <c r="H112" s="33"/>
      <c r="I112" s="29">
        <f>SUM(I92:I111)</f>
        <v>14429.59</v>
      </c>
    </row>
    <row r="113" spans="1:9">
      <c r="A113" s="26"/>
      <c r="B113" s="39" t="s">
        <v>77</v>
      </c>
      <c r="C113" s="14"/>
      <c r="D113" s="14"/>
      <c r="E113" s="34"/>
      <c r="F113" s="34"/>
      <c r="G113" s="35"/>
      <c r="H113" s="35"/>
      <c r="I113" s="16">
        <v>0</v>
      </c>
    </row>
    <row r="114" spans="1:9">
      <c r="A114" s="41"/>
      <c r="B114" s="38" t="s">
        <v>197</v>
      </c>
      <c r="C114" s="30"/>
      <c r="D114" s="30"/>
      <c r="E114" s="30"/>
      <c r="F114" s="30"/>
      <c r="G114" s="30"/>
      <c r="H114" s="30"/>
      <c r="I114" s="36">
        <f>I90+I112</f>
        <v>127606.00415577777</v>
      </c>
    </row>
    <row r="115" spans="1:9" ht="15.75">
      <c r="A115" s="206" t="s">
        <v>276</v>
      </c>
      <c r="B115" s="206"/>
      <c r="C115" s="206"/>
      <c r="D115" s="206"/>
      <c r="E115" s="206"/>
      <c r="F115" s="206"/>
      <c r="G115" s="206"/>
      <c r="H115" s="206"/>
      <c r="I115" s="206"/>
    </row>
    <row r="116" spans="1:9" ht="15.75">
      <c r="A116" s="78"/>
      <c r="B116" s="213" t="s">
        <v>277</v>
      </c>
      <c r="C116" s="213"/>
      <c r="D116" s="213"/>
      <c r="E116" s="213"/>
      <c r="F116" s="213"/>
      <c r="G116" s="213"/>
      <c r="H116" s="52"/>
      <c r="I116" s="3"/>
    </row>
    <row r="117" spans="1:9">
      <c r="A117" s="156"/>
      <c r="B117" s="214" t="s">
        <v>6</v>
      </c>
      <c r="C117" s="214"/>
      <c r="D117" s="214"/>
      <c r="E117" s="214"/>
      <c r="F117" s="214"/>
      <c r="G117" s="214"/>
      <c r="H117" s="21"/>
      <c r="I117" s="5"/>
    </row>
    <row r="118" spans="1:9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15.75">
      <c r="A119" s="215" t="s">
        <v>7</v>
      </c>
      <c r="B119" s="215"/>
      <c r="C119" s="215"/>
      <c r="D119" s="215"/>
      <c r="E119" s="215"/>
      <c r="F119" s="215"/>
      <c r="G119" s="215"/>
      <c r="H119" s="215"/>
      <c r="I119" s="215"/>
    </row>
    <row r="120" spans="1:9" ht="15.75">
      <c r="A120" s="215" t="s">
        <v>8</v>
      </c>
      <c r="B120" s="215"/>
      <c r="C120" s="215"/>
      <c r="D120" s="215"/>
      <c r="E120" s="215"/>
      <c r="F120" s="215"/>
      <c r="G120" s="215"/>
      <c r="H120" s="215"/>
      <c r="I120" s="215"/>
    </row>
    <row r="121" spans="1:9" ht="15.75">
      <c r="A121" s="216" t="s">
        <v>60</v>
      </c>
      <c r="B121" s="216"/>
      <c r="C121" s="216"/>
      <c r="D121" s="216"/>
      <c r="E121" s="216"/>
      <c r="F121" s="216"/>
      <c r="G121" s="216"/>
      <c r="H121" s="216"/>
      <c r="I121" s="216"/>
    </row>
    <row r="122" spans="1:9" ht="15.75">
      <c r="A122" s="10"/>
    </row>
    <row r="123" spans="1:9" ht="15.75">
      <c r="A123" s="200" t="s">
        <v>9</v>
      </c>
      <c r="B123" s="200"/>
      <c r="C123" s="200"/>
      <c r="D123" s="200"/>
      <c r="E123" s="200"/>
      <c r="F123" s="200"/>
      <c r="G123" s="200"/>
      <c r="H123" s="200"/>
      <c r="I123" s="200"/>
    </row>
    <row r="124" spans="1:9" ht="15.75">
      <c r="A124" s="4"/>
    </row>
    <row r="125" spans="1:9" ht="15.75">
      <c r="B125" s="154" t="s">
        <v>10</v>
      </c>
      <c r="C125" s="218" t="s">
        <v>83</v>
      </c>
      <c r="D125" s="218"/>
      <c r="E125" s="218"/>
      <c r="F125" s="50"/>
      <c r="I125" s="155"/>
    </row>
    <row r="126" spans="1:9">
      <c r="A126" s="156"/>
      <c r="C126" s="214" t="s">
        <v>11</v>
      </c>
      <c r="D126" s="214"/>
      <c r="E126" s="214"/>
      <c r="F126" s="21"/>
      <c r="I126" s="153" t="s">
        <v>12</v>
      </c>
    </row>
    <row r="127" spans="1:9" ht="15.75">
      <c r="A127" s="22"/>
      <c r="C127" s="11"/>
      <c r="D127" s="11"/>
      <c r="G127" s="11"/>
      <c r="H127" s="11"/>
    </row>
    <row r="128" spans="1:9" ht="15.75">
      <c r="B128" s="154" t="s">
        <v>13</v>
      </c>
      <c r="C128" s="219"/>
      <c r="D128" s="219"/>
      <c r="E128" s="219"/>
      <c r="F128" s="51"/>
      <c r="I128" s="155"/>
    </row>
    <row r="129" spans="1:9">
      <c r="A129" s="156"/>
      <c r="C129" s="220" t="s">
        <v>11</v>
      </c>
      <c r="D129" s="220"/>
      <c r="E129" s="220"/>
      <c r="F129" s="156"/>
      <c r="I129" s="153" t="s">
        <v>12</v>
      </c>
    </row>
    <row r="130" spans="1:9" ht="15.75">
      <c r="A130" s="4" t="s">
        <v>14</v>
      </c>
    </row>
    <row r="131" spans="1:9">
      <c r="A131" s="221" t="s">
        <v>15</v>
      </c>
      <c r="B131" s="221"/>
      <c r="C131" s="221"/>
      <c r="D131" s="221"/>
      <c r="E131" s="221"/>
      <c r="F131" s="221"/>
      <c r="G131" s="221"/>
      <c r="H131" s="221"/>
      <c r="I131" s="221"/>
    </row>
    <row r="132" spans="1:9" ht="42" customHeight="1">
      <c r="A132" s="217" t="s">
        <v>16</v>
      </c>
      <c r="B132" s="217"/>
      <c r="C132" s="217"/>
      <c r="D132" s="217"/>
      <c r="E132" s="217"/>
      <c r="F132" s="217"/>
      <c r="G132" s="217"/>
      <c r="H132" s="217"/>
      <c r="I132" s="217"/>
    </row>
    <row r="133" spans="1:9" ht="33" customHeight="1">
      <c r="A133" s="217" t="s">
        <v>17</v>
      </c>
      <c r="B133" s="217"/>
      <c r="C133" s="217"/>
      <c r="D133" s="217"/>
      <c r="E133" s="217"/>
      <c r="F133" s="217"/>
      <c r="G133" s="217"/>
      <c r="H133" s="217"/>
      <c r="I133" s="217"/>
    </row>
    <row r="134" spans="1:9" ht="30.75" customHeight="1">
      <c r="A134" s="217" t="s">
        <v>21</v>
      </c>
      <c r="B134" s="217"/>
      <c r="C134" s="217"/>
      <c r="D134" s="217"/>
      <c r="E134" s="217"/>
      <c r="F134" s="217"/>
      <c r="G134" s="217"/>
      <c r="H134" s="217"/>
      <c r="I134" s="217"/>
    </row>
    <row r="135" spans="1:9" ht="15.75">
      <c r="A135" s="217" t="s">
        <v>20</v>
      </c>
      <c r="B135" s="217"/>
      <c r="C135" s="217"/>
      <c r="D135" s="217"/>
      <c r="E135" s="217"/>
      <c r="F135" s="217"/>
      <c r="G135" s="217"/>
      <c r="H135" s="217"/>
      <c r="I135" s="217"/>
    </row>
  </sheetData>
  <mergeCells count="28">
    <mergeCell ref="A14:I14"/>
    <mergeCell ref="A3:I3"/>
    <mergeCell ref="A4:I4"/>
    <mergeCell ref="A5:I5"/>
    <mergeCell ref="A8:I8"/>
    <mergeCell ref="A10:I10"/>
    <mergeCell ref="A121:I121"/>
    <mergeCell ref="A15:I15"/>
    <mergeCell ref="A27:I27"/>
    <mergeCell ref="A45:I45"/>
    <mergeCell ref="A56:I56"/>
    <mergeCell ref="A87:I87"/>
    <mergeCell ref="A91:I91"/>
    <mergeCell ref="A115:I115"/>
    <mergeCell ref="B116:G116"/>
    <mergeCell ref="B117:G117"/>
    <mergeCell ref="A119:I119"/>
    <mergeCell ref="A120:I120"/>
    <mergeCell ref="A132:I132"/>
    <mergeCell ref="A133:I133"/>
    <mergeCell ref="A134:I134"/>
    <mergeCell ref="A135:I135"/>
    <mergeCell ref="A123:I123"/>
    <mergeCell ref="C125:E125"/>
    <mergeCell ref="C126:E126"/>
    <mergeCell ref="C128:E128"/>
    <mergeCell ref="C129:E129"/>
    <mergeCell ref="A131:I131"/>
  </mergeCells>
  <pageMargins left="0.70866141732283472" right="0.31496062992125984" top="0.35433070866141736" bottom="0.35433070866141736" header="0.31496062992125984" footer="0.31496062992125984"/>
  <pageSetup paperSize="9" scale="6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2"/>
  <sheetViews>
    <sheetView view="pageBreakPreview" topLeftCell="A91" zoomScale="60" workbookViewId="0">
      <selection sqref="A1:I133"/>
    </sheetView>
  </sheetViews>
  <sheetFormatPr defaultRowHeight="15"/>
  <cols>
    <col min="1" max="1" width="13" customWidth="1"/>
    <col min="2" max="2" width="46.28515625" customWidth="1"/>
    <col min="3" max="3" width="17" customWidth="1"/>
    <col min="4" max="4" width="16.5703125" customWidth="1"/>
    <col min="5" max="5" width="0" hidden="1" customWidth="1"/>
    <col min="6" max="6" width="12" hidden="1" customWidth="1"/>
    <col min="7" max="7" width="12.28515625" customWidth="1"/>
    <col min="8" max="8" width="0" hidden="1" customWidth="1"/>
    <col min="9" max="9" width="14.5703125" customWidth="1"/>
  </cols>
  <sheetData>
    <row r="1" spans="1:9" ht="15.75">
      <c r="A1" s="24" t="s">
        <v>207</v>
      </c>
      <c r="I1" s="23"/>
    </row>
    <row r="2" spans="1:9" ht="15.75">
      <c r="A2" s="25" t="s">
        <v>61</v>
      </c>
    </row>
    <row r="3" spans="1:9" ht="15.75">
      <c r="A3" s="195" t="s">
        <v>237</v>
      </c>
      <c r="B3" s="195"/>
      <c r="C3" s="195"/>
      <c r="D3" s="195"/>
      <c r="E3" s="195"/>
      <c r="F3" s="195"/>
      <c r="G3" s="195"/>
      <c r="H3" s="195"/>
      <c r="I3" s="195"/>
    </row>
    <row r="4" spans="1:9" ht="32.25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9" ht="15.75">
      <c r="A5" s="195" t="s">
        <v>242</v>
      </c>
      <c r="B5" s="197"/>
      <c r="C5" s="197"/>
      <c r="D5" s="197"/>
      <c r="E5" s="197"/>
      <c r="F5" s="197"/>
      <c r="G5" s="197"/>
      <c r="H5" s="197"/>
      <c r="I5" s="197"/>
    </row>
    <row r="6" spans="1:9" ht="15.75">
      <c r="A6" s="2"/>
      <c r="B6" s="160"/>
      <c r="C6" s="160"/>
      <c r="D6" s="160"/>
      <c r="E6" s="160"/>
      <c r="F6" s="160"/>
      <c r="G6" s="160"/>
      <c r="H6" s="160"/>
      <c r="I6" s="27">
        <v>43373</v>
      </c>
    </row>
    <row r="7" spans="1:9" ht="15.75">
      <c r="B7" s="162"/>
      <c r="C7" s="162"/>
      <c r="D7" s="162"/>
      <c r="E7" s="3"/>
      <c r="F7" s="3"/>
      <c r="G7" s="3"/>
      <c r="H7" s="3"/>
    </row>
    <row r="8" spans="1:9" ht="99.75" customHeight="1">
      <c r="A8" s="198" t="s">
        <v>210</v>
      </c>
      <c r="B8" s="198"/>
      <c r="C8" s="198"/>
      <c r="D8" s="198"/>
      <c r="E8" s="198"/>
      <c r="F8" s="198"/>
      <c r="G8" s="198"/>
      <c r="H8" s="198"/>
      <c r="I8" s="198"/>
    </row>
    <row r="9" spans="1:9" ht="15.75">
      <c r="A9" s="4"/>
    </row>
    <row r="10" spans="1:9" ht="72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</row>
    <row r="11" spans="1:9" ht="15.75">
      <c r="A11" s="4"/>
    </row>
    <row r="12" spans="1:9" ht="75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</row>
    <row r="15" spans="1:9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</row>
    <row r="16" spans="1:9" ht="15.7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142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33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142">
        <v>230</v>
      </c>
      <c r="H17" s="57">
        <f t="shared" si="0"/>
        <v>90.934271999999993</v>
      </c>
      <c r="I17" s="12">
        <f>F17/12*G17</f>
        <v>7577.8560000000007</v>
      </c>
    </row>
    <row r="18" spans="1:9" ht="14.2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142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91</v>
      </c>
      <c r="C19" s="54" t="s">
        <v>92</v>
      </c>
      <c r="D19" s="53" t="s">
        <v>93</v>
      </c>
      <c r="E19" s="55">
        <v>93.4</v>
      </c>
      <c r="F19" s="56">
        <f>SUM(E19/10)</f>
        <v>9.34</v>
      </c>
      <c r="G19" s="142">
        <v>223.17</v>
      </c>
      <c r="H19" s="57">
        <f t="shared" si="0"/>
        <v>2.0844078000000001</v>
      </c>
      <c r="I19" s="12">
        <f>5.76*G19</f>
        <v>1285.4591999999998</v>
      </c>
    </row>
    <row r="20" spans="1:9" ht="17.25" customHeight="1">
      <c r="A20" s="26">
        <v>4</v>
      </c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142">
        <v>285.76</v>
      </c>
      <c r="H20" s="57">
        <f t="shared" si="0"/>
        <v>0.24689664000000003</v>
      </c>
      <c r="I20" s="12">
        <f t="shared" ref="I20:I21" si="1">F20/2*G20</f>
        <v>123.44832000000001</v>
      </c>
    </row>
    <row r="21" spans="1:9" ht="15" customHeight="1">
      <c r="A21" s="26">
        <v>5</v>
      </c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142">
        <v>283.44</v>
      </c>
      <c r="H21" s="57">
        <f t="shared" si="0"/>
        <v>5.7141503999999996E-2</v>
      </c>
      <c r="I21" s="12">
        <f t="shared" si="1"/>
        <v>28.570751999999999</v>
      </c>
    </row>
    <row r="22" spans="1:9" hidden="1">
      <c r="A22" s="26">
        <v>7</v>
      </c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142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142">
        <v>58.08</v>
      </c>
      <c r="H23" s="57">
        <f t="shared" si="0"/>
        <v>2.0490623999999999E-2</v>
      </c>
      <c r="I23" s="12">
        <f t="shared" ref="I23:I24" si="2">F23*G23</f>
        <v>20.490624</v>
      </c>
    </row>
    <row r="24" spans="1:9" hidden="1">
      <c r="A24" s="26">
        <v>9</v>
      </c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142">
        <v>683.05</v>
      </c>
      <c r="H24" s="57">
        <f t="shared" si="0"/>
        <v>0.19671840000000002</v>
      </c>
      <c r="I24" s="12">
        <f t="shared" si="2"/>
        <v>196.7184</v>
      </c>
    </row>
    <row r="25" spans="1:9" ht="17.25" customHeight="1">
      <c r="A25" s="26">
        <v>6</v>
      </c>
      <c r="B25" s="53" t="s">
        <v>63</v>
      </c>
      <c r="C25" s="54" t="s">
        <v>33</v>
      </c>
      <c r="D25" s="53" t="s">
        <v>184</v>
      </c>
      <c r="E25" s="55">
        <v>0.1</v>
      </c>
      <c r="F25" s="56">
        <f>SUM(E25*365)</f>
        <v>36.5</v>
      </c>
      <c r="G25" s="142">
        <v>264.85000000000002</v>
      </c>
      <c r="H25" s="57">
        <f>SUM(F25*G25/1000)</f>
        <v>9.6670250000000006</v>
      </c>
      <c r="I25" s="12">
        <f>15.5/12*G25</f>
        <v>342.09791666666672</v>
      </c>
    </row>
    <row r="26" spans="1:9" ht="17.25" customHeight="1">
      <c r="A26" s="26">
        <v>7</v>
      </c>
      <c r="B26" s="61" t="s">
        <v>23</v>
      </c>
      <c r="C26" s="54" t="s">
        <v>24</v>
      </c>
      <c r="D26" s="53" t="s">
        <v>184</v>
      </c>
      <c r="E26" s="55">
        <v>3945</v>
      </c>
      <c r="F26" s="56">
        <f>SUM(E26*12)</f>
        <v>47340</v>
      </c>
      <c r="G26" s="142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02" t="s">
        <v>185</v>
      </c>
      <c r="B27" s="203"/>
      <c r="C27" s="203"/>
      <c r="D27" s="203"/>
      <c r="E27" s="203"/>
      <c r="F27" s="203"/>
      <c r="G27" s="203"/>
      <c r="H27" s="203"/>
      <c r="I27" s="204"/>
    </row>
    <row r="28" spans="1:9" ht="17.25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t="14.25" customHeight="1">
      <c r="A29" s="26">
        <v>8</v>
      </c>
      <c r="B29" s="53" t="s">
        <v>99</v>
      </c>
      <c r="C29" s="54" t="s">
        <v>186</v>
      </c>
      <c r="D29" s="53" t="s">
        <v>138</v>
      </c>
      <c r="E29" s="56">
        <v>1044.6500000000001</v>
      </c>
      <c r="F29" s="56">
        <f>SUM(E29*52/1000)</f>
        <v>54.321800000000003</v>
      </c>
      <c r="G29" s="142">
        <v>204.44</v>
      </c>
      <c r="H29" s="57">
        <f t="shared" ref="H29:H35" si="3">SUM(F29*G29/1000)</f>
        <v>11.105548792000002</v>
      </c>
      <c r="I29" s="12">
        <f>17.064/6*G29</f>
        <v>581.42736000000002</v>
      </c>
    </row>
    <row r="30" spans="1:9" ht="44.25" customHeight="1">
      <c r="A30" s="26">
        <v>9</v>
      </c>
      <c r="B30" s="53" t="s">
        <v>127</v>
      </c>
      <c r="C30" s="54" t="s">
        <v>100</v>
      </c>
      <c r="D30" s="53" t="s">
        <v>139</v>
      </c>
      <c r="E30" s="56">
        <v>116.93</v>
      </c>
      <c r="F30" s="56">
        <f>SUM(E30*78/1000)</f>
        <v>9.1205400000000001</v>
      </c>
      <c r="G30" s="142">
        <v>339.21</v>
      </c>
      <c r="H30" s="57">
        <f t="shared" si="3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100</v>
      </c>
      <c r="D31" s="53" t="s">
        <v>52</v>
      </c>
      <c r="E31" s="56">
        <v>1044.6500000000001</v>
      </c>
      <c r="F31" s="56">
        <f>SUM(E31/1000)</f>
        <v>1.0446500000000001</v>
      </c>
      <c r="G31" s="142">
        <v>3961.23</v>
      </c>
      <c r="H31" s="57">
        <f t="shared" si="3"/>
        <v>4.1380989195</v>
      </c>
      <c r="I31" s="12">
        <f>0.3555*G31</f>
        <v>1408.217265</v>
      </c>
    </row>
    <row r="32" spans="1:9" ht="15" customHeight="1">
      <c r="A32" s="26">
        <v>10</v>
      </c>
      <c r="B32" s="53" t="s">
        <v>118</v>
      </c>
      <c r="C32" s="54" t="s">
        <v>39</v>
      </c>
      <c r="D32" s="53" t="s">
        <v>140</v>
      </c>
      <c r="E32" s="56">
        <v>6</v>
      </c>
      <c r="F32" s="56">
        <v>9.3000000000000007</v>
      </c>
      <c r="G32" s="142">
        <v>1707.63</v>
      </c>
      <c r="H32" s="57">
        <f>G32*F32/1000</f>
        <v>15.880959000000002</v>
      </c>
      <c r="I32" s="12">
        <f>2.88/6*G32</f>
        <v>819.66240000000005</v>
      </c>
    </row>
    <row r="33" spans="1:9" ht="14.25" customHeight="1">
      <c r="A33" s="26">
        <v>11</v>
      </c>
      <c r="B33" s="53" t="s">
        <v>101</v>
      </c>
      <c r="C33" s="54" t="s">
        <v>31</v>
      </c>
      <c r="D33" s="53" t="s">
        <v>62</v>
      </c>
      <c r="E33" s="60">
        <v>0.33333333333333331</v>
      </c>
      <c r="F33" s="56">
        <f>155/3</f>
        <v>51.666666666666664</v>
      </c>
      <c r="G33" s="142">
        <v>74.349999999999994</v>
      </c>
      <c r="H33" s="57">
        <f>SUM(G33*155/3/1000)</f>
        <v>3.8414166666666665</v>
      </c>
      <c r="I33" s="12">
        <f t="shared" ref="I33" si="4">F33/6*G33</f>
        <v>640.23611111111109</v>
      </c>
    </row>
    <row r="34" spans="1:9" ht="30" hidden="1">
      <c r="A34" s="26"/>
      <c r="B34" s="53" t="s">
        <v>64</v>
      </c>
      <c r="C34" s="54" t="s">
        <v>33</v>
      </c>
      <c r="D34" s="53" t="s">
        <v>66</v>
      </c>
      <c r="E34" s="55"/>
      <c r="F34" s="56">
        <v>3</v>
      </c>
      <c r="G34" s="56">
        <v>204.52</v>
      </c>
      <c r="H34" s="57">
        <f t="shared" si="3"/>
        <v>0.61356000000000011</v>
      </c>
      <c r="I34" s="12">
        <v>0</v>
      </c>
    </row>
    <row r="35" spans="1:9" ht="30" hidden="1">
      <c r="A35" s="26"/>
      <c r="B35" s="53" t="s">
        <v>65</v>
      </c>
      <c r="C35" s="54" t="s">
        <v>32</v>
      </c>
      <c r="D35" s="53" t="s">
        <v>66</v>
      </c>
      <c r="E35" s="55"/>
      <c r="F35" s="56">
        <v>2</v>
      </c>
      <c r="G35" s="56">
        <v>1136.33</v>
      </c>
      <c r="H35" s="57">
        <f t="shared" si="3"/>
        <v>2.2726599999999997</v>
      </c>
      <c r="I35" s="12">
        <v>0</v>
      </c>
    </row>
    <row r="36" spans="1:9" hidden="1">
      <c r="A36" s="26"/>
      <c r="B36" s="75" t="s">
        <v>5</v>
      </c>
      <c r="C36" s="54"/>
      <c r="D36" s="53"/>
      <c r="E36" s="55"/>
      <c r="F36" s="56"/>
      <c r="G36" s="56"/>
      <c r="H36" s="57" t="s">
        <v>125</v>
      </c>
      <c r="I36" s="12"/>
    </row>
    <row r="37" spans="1:9" hidden="1">
      <c r="A37" s="26">
        <v>6</v>
      </c>
      <c r="B37" s="53" t="s">
        <v>26</v>
      </c>
      <c r="C37" s="54" t="s">
        <v>32</v>
      </c>
      <c r="D37" s="53"/>
      <c r="E37" s="55"/>
      <c r="F37" s="56">
        <v>8</v>
      </c>
      <c r="G37" s="56">
        <v>1632.6</v>
      </c>
      <c r="H37" s="57">
        <f t="shared" ref="H37:H44" si="5">SUM(F37*G37/1000)</f>
        <v>13.060799999999999</v>
      </c>
      <c r="I37" s="12">
        <f>F37/6*G37</f>
        <v>2176.7999999999997</v>
      </c>
    </row>
    <row r="38" spans="1:9" hidden="1">
      <c r="A38" s="26">
        <v>7</v>
      </c>
      <c r="B38" s="53" t="s">
        <v>187</v>
      </c>
      <c r="C38" s="54" t="s">
        <v>29</v>
      </c>
      <c r="D38" s="53" t="s">
        <v>188</v>
      </c>
      <c r="E38" s="55">
        <v>477.19</v>
      </c>
      <c r="F38" s="56">
        <f>E38*12/1000</f>
        <v>5.72628</v>
      </c>
      <c r="G38" s="56">
        <v>2247.8000000000002</v>
      </c>
      <c r="H38" s="57">
        <f>G38*F38/1000</f>
        <v>12.871532184000001</v>
      </c>
      <c r="I38" s="12">
        <f>F38/6*G38</f>
        <v>2145.2553640000001</v>
      </c>
    </row>
    <row r="39" spans="1:9" ht="30" hidden="1">
      <c r="A39" s="26">
        <v>8</v>
      </c>
      <c r="B39" s="53" t="s">
        <v>189</v>
      </c>
      <c r="C39" s="54" t="s">
        <v>29</v>
      </c>
      <c r="D39" s="53" t="s">
        <v>102</v>
      </c>
      <c r="E39" s="55">
        <v>116.93</v>
      </c>
      <c r="F39" s="56">
        <f>E39*30/1000</f>
        <v>3.5079000000000002</v>
      </c>
      <c r="G39" s="56">
        <v>2247.8000000000002</v>
      </c>
      <c r="H39" s="57">
        <f>G39*F39/1000</f>
        <v>7.8850576200000013</v>
      </c>
      <c r="I39" s="12">
        <f>F39/6*G39</f>
        <v>1314.1762700000002</v>
      </c>
    </row>
    <row r="40" spans="1:9" ht="30" hidden="1">
      <c r="A40" s="26"/>
      <c r="B40" s="53" t="s">
        <v>190</v>
      </c>
      <c r="C40" s="54" t="s">
        <v>191</v>
      </c>
      <c r="D40" s="53" t="s">
        <v>66</v>
      </c>
      <c r="E40" s="55"/>
      <c r="F40" s="56">
        <v>135</v>
      </c>
      <c r="G40" s="56">
        <v>213.2</v>
      </c>
      <c r="H40" s="57">
        <f>G40*F40/1000</f>
        <v>28.782</v>
      </c>
      <c r="I40" s="12">
        <v>0</v>
      </c>
    </row>
    <row r="41" spans="1:9" ht="30" hidden="1">
      <c r="A41" s="26">
        <v>9</v>
      </c>
      <c r="B41" s="53" t="s">
        <v>67</v>
      </c>
      <c r="C41" s="54" t="s">
        <v>29</v>
      </c>
      <c r="D41" s="53" t="s">
        <v>103</v>
      </c>
      <c r="E41" s="56">
        <v>116.93</v>
      </c>
      <c r="F41" s="56">
        <f>SUM(E41*155/1000)</f>
        <v>18.12415</v>
      </c>
      <c r="G41" s="56">
        <v>374.95</v>
      </c>
      <c r="H41" s="57">
        <f t="shared" si="5"/>
        <v>6.7956500424999993</v>
      </c>
      <c r="I41" s="12">
        <f>F41/6*G41</f>
        <v>1132.6083404166666</v>
      </c>
    </row>
    <row r="42" spans="1:9" ht="60" hidden="1">
      <c r="A42" s="26">
        <v>10</v>
      </c>
      <c r="B42" s="53" t="s">
        <v>80</v>
      </c>
      <c r="C42" s="54" t="s">
        <v>100</v>
      </c>
      <c r="D42" s="53" t="s">
        <v>119</v>
      </c>
      <c r="E42" s="56">
        <v>116.93</v>
      </c>
      <c r="F42" s="56">
        <f>SUM(E42*24/1000)</f>
        <v>2.8063200000000004</v>
      </c>
      <c r="G42" s="56">
        <v>6203.71</v>
      </c>
      <c r="H42" s="57">
        <f t="shared" si="5"/>
        <v>17.409595447200001</v>
      </c>
      <c r="I42" s="12">
        <f>F42/6*G42</f>
        <v>2901.5992412000005</v>
      </c>
    </row>
    <row r="43" spans="1:9" hidden="1">
      <c r="A43" s="26">
        <v>11</v>
      </c>
      <c r="B43" s="53" t="s">
        <v>104</v>
      </c>
      <c r="C43" s="54" t="s">
        <v>100</v>
      </c>
      <c r="D43" s="53" t="s">
        <v>192</v>
      </c>
      <c r="E43" s="56">
        <v>116.93</v>
      </c>
      <c r="F43" s="56">
        <f>SUM(E43*45/1000)</f>
        <v>5.2618500000000008</v>
      </c>
      <c r="G43" s="56">
        <v>458.28</v>
      </c>
      <c r="H43" s="57">
        <f t="shared" si="5"/>
        <v>2.4114006180000001</v>
      </c>
      <c r="I43" s="12">
        <f>F43/6*G43</f>
        <v>401.90010300000006</v>
      </c>
    </row>
    <row r="44" spans="1:9" hidden="1">
      <c r="A44" s="26">
        <v>12</v>
      </c>
      <c r="B44" s="53" t="s">
        <v>68</v>
      </c>
      <c r="C44" s="54" t="s">
        <v>33</v>
      </c>
      <c r="D44" s="53"/>
      <c r="E44" s="55"/>
      <c r="F44" s="56">
        <v>0.9</v>
      </c>
      <c r="G44" s="56">
        <v>798</v>
      </c>
      <c r="H44" s="57">
        <f t="shared" si="5"/>
        <v>0.71820000000000006</v>
      </c>
      <c r="I44" s="12">
        <f>F44/6*G44</f>
        <v>119.69999999999999</v>
      </c>
    </row>
    <row r="45" spans="1:9">
      <c r="A45" s="202" t="s">
        <v>193</v>
      </c>
      <c r="B45" s="203"/>
      <c r="C45" s="203"/>
      <c r="D45" s="203"/>
      <c r="E45" s="203"/>
      <c r="F45" s="203"/>
      <c r="G45" s="203"/>
      <c r="H45" s="203"/>
      <c r="I45" s="204"/>
    </row>
    <row r="46" spans="1:9" ht="18" customHeight="1">
      <c r="A46" s="26">
        <v>12</v>
      </c>
      <c r="B46" s="53" t="s">
        <v>121</v>
      </c>
      <c r="C46" s="54" t="s">
        <v>100</v>
      </c>
      <c r="D46" s="53" t="s">
        <v>41</v>
      </c>
      <c r="E46" s="55">
        <v>1030.4000000000001</v>
      </c>
      <c r="F46" s="56">
        <f>SUM(E46*2/1000)</f>
        <v>2.0608</v>
      </c>
      <c r="G46" s="137">
        <v>1114.1300000000001</v>
      </c>
      <c r="H46" s="57">
        <f t="shared" ref="H46:H55" si="6">SUM(F46*G46/1000)</f>
        <v>2.2959991039999998</v>
      </c>
      <c r="I46" s="12">
        <f t="shared" ref="I46:I48" si="7">F46/2*G46</f>
        <v>1147.999552</v>
      </c>
    </row>
    <row r="47" spans="1:9" ht="15.75" customHeight="1">
      <c r="A47" s="26">
        <v>13</v>
      </c>
      <c r="B47" s="53" t="s">
        <v>34</v>
      </c>
      <c r="C47" s="54" t="s">
        <v>100</v>
      </c>
      <c r="D47" s="53" t="s">
        <v>41</v>
      </c>
      <c r="E47" s="55">
        <v>132</v>
      </c>
      <c r="F47" s="56">
        <f>E47*2/1000</f>
        <v>0.26400000000000001</v>
      </c>
      <c r="G47" s="137">
        <v>4419.05</v>
      </c>
      <c r="H47" s="57">
        <f t="shared" si="6"/>
        <v>1.1666292</v>
      </c>
      <c r="I47" s="12">
        <f t="shared" si="7"/>
        <v>583.31460000000004</v>
      </c>
    </row>
    <row r="48" spans="1:9" ht="15.75" customHeight="1">
      <c r="A48" s="26">
        <v>14</v>
      </c>
      <c r="B48" s="53" t="s">
        <v>35</v>
      </c>
      <c r="C48" s="54" t="s">
        <v>100</v>
      </c>
      <c r="D48" s="53" t="s">
        <v>41</v>
      </c>
      <c r="E48" s="55">
        <v>4248.22</v>
      </c>
      <c r="F48" s="56">
        <f>SUM(E48*2/1000)</f>
        <v>8.4964399999999998</v>
      </c>
      <c r="G48" s="137">
        <v>1803.69</v>
      </c>
      <c r="H48" s="57">
        <f t="shared" si="6"/>
        <v>15.3249438636</v>
      </c>
      <c r="I48" s="12">
        <f t="shared" si="7"/>
        <v>7662.4719317999998</v>
      </c>
    </row>
    <row r="49" spans="1:9" ht="15.75" customHeight="1">
      <c r="A49" s="26">
        <v>15</v>
      </c>
      <c r="B49" s="53" t="s">
        <v>36</v>
      </c>
      <c r="C49" s="54" t="s">
        <v>100</v>
      </c>
      <c r="D49" s="53" t="s">
        <v>41</v>
      </c>
      <c r="E49" s="55">
        <v>2163.66</v>
      </c>
      <c r="F49" s="56">
        <f>SUM(E49*2/1000)</f>
        <v>4.3273199999999994</v>
      </c>
      <c r="G49" s="137">
        <v>1243.43</v>
      </c>
      <c r="H49" s="57">
        <f t="shared" si="6"/>
        <v>5.3807195075999994</v>
      </c>
      <c r="I49" s="12">
        <f>F49/2*G49</f>
        <v>2690.3597537999999</v>
      </c>
    </row>
    <row r="50" spans="1:9" ht="20.25" customHeight="1">
      <c r="A50" s="26">
        <v>16</v>
      </c>
      <c r="B50" s="53" t="s">
        <v>55</v>
      </c>
      <c r="C50" s="54" t="s">
        <v>100</v>
      </c>
      <c r="D50" s="53" t="s">
        <v>131</v>
      </c>
      <c r="E50" s="55">
        <v>1015.4</v>
      </c>
      <c r="F50" s="56">
        <f>SUM(E50*5/1000)</f>
        <v>5.077</v>
      </c>
      <c r="G50" s="137">
        <v>1083.69</v>
      </c>
      <c r="H50" s="57">
        <f t="shared" si="6"/>
        <v>5.5018941300000002</v>
      </c>
      <c r="I50" s="12">
        <f>3.945*G50</f>
        <v>4275.1570499999998</v>
      </c>
    </row>
    <row r="51" spans="1:9" ht="45" hidden="1">
      <c r="A51" s="26"/>
      <c r="B51" s="53" t="s">
        <v>105</v>
      </c>
      <c r="C51" s="54" t="s">
        <v>100</v>
      </c>
      <c r="D51" s="53" t="s">
        <v>41</v>
      </c>
      <c r="E51" s="55">
        <v>1015.4</v>
      </c>
      <c r="F51" s="56">
        <f>SUM(E51*2/1000)</f>
        <v>2.0308000000000002</v>
      </c>
      <c r="G51" s="12">
        <v>1297.28</v>
      </c>
      <c r="H51" s="57">
        <f t="shared" si="6"/>
        <v>2.634516224</v>
      </c>
      <c r="I51" s="12">
        <v>0</v>
      </c>
    </row>
    <row r="52" spans="1:9" ht="30" hidden="1">
      <c r="A52" s="26"/>
      <c r="B52" s="53" t="s">
        <v>106</v>
      </c>
      <c r="C52" s="54" t="s">
        <v>37</v>
      </c>
      <c r="D52" s="53" t="s">
        <v>41</v>
      </c>
      <c r="E52" s="55">
        <v>30</v>
      </c>
      <c r="F52" s="56">
        <f>SUM(E52*2/100)</f>
        <v>0.6</v>
      </c>
      <c r="G52" s="12">
        <v>2918.89</v>
      </c>
      <c r="H52" s="57">
        <f t="shared" si="6"/>
        <v>1.7513339999999997</v>
      </c>
      <c r="I52" s="12">
        <v>0</v>
      </c>
    </row>
    <row r="53" spans="1:9" hidden="1">
      <c r="A53" s="26"/>
      <c r="B53" s="53" t="s">
        <v>38</v>
      </c>
      <c r="C53" s="54" t="s">
        <v>39</v>
      </c>
      <c r="D53" s="53" t="s">
        <v>41</v>
      </c>
      <c r="E53" s="55">
        <v>1</v>
      </c>
      <c r="F53" s="56">
        <v>0.02</v>
      </c>
      <c r="G53" s="12">
        <v>6042.13</v>
      </c>
      <c r="H53" s="57">
        <f t="shared" si="6"/>
        <v>0.12084260000000001</v>
      </c>
      <c r="I53" s="12">
        <v>0</v>
      </c>
    </row>
    <row r="54" spans="1:9" ht="16.5" customHeight="1">
      <c r="A54" s="26">
        <v>17</v>
      </c>
      <c r="B54" s="53" t="s">
        <v>120</v>
      </c>
      <c r="C54" s="54" t="s">
        <v>86</v>
      </c>
      <c r="D54" s="53" t="s">
        <v>69</v>
      </c>
      <c r="E54" s="55">
        <v>90</v>
      </c>
      <c r="F54" s="56">
        <f>E54*4</f>
        <v>360</v>
      </c>
      <c r="G54" s="137">
        <v>185.08</v>
      </c>
      <c r="H54" s="57">
        <f>F54*G54/1000</f>
        <v>66.628799999999998</v>
      </c>
      <c r="I54" s="12">
        <f>G54*E54</f>
        <v>16657.2</v>
      </c>
    </row>
    <row r="55" spans="1:9" ht="16.5" customHeight="1">
      <c r="A55" s="26">
        <v>18</v>
      </c>
      <c r="B55" s="53" t="s">
        <v>40</v>
      </c>
      <c r="C55" s="54" t="s">
        <v>86</v>
      </c>
      <c r="D55" s="53" t="s">
        <v>69</v>
      </c>
      <c r="E55" s="55">
        <v>180</v>
      </c>
      <c r="F55" s="56">
        <f>SUM(E55)*3</f>
        <v>540</v>
      </c>
      <c r="G55" s="141">
        <v>86.15</v>
      </c>
      <c r="H55" s="57">
        <f t="shared" si="6"/>
        <v>46.521000000000001</v>
      </c>
      <c r="I55" s="12">
        <f>G55*E55</f>
        <v>15507.000000000002</v>
      </c>
    </row>
    <row r="56" spans="1:9">
      <c r="A56" s="202" t="s">
        <v>165</v>
      </c>
      <c r="B56" s="203"/>
      <c r="C56" s="203"/>
      <c r="D56" s="203"/>
      <c r="E56" s="203"/>
      <c r="F56" s="203"/>
      <c r="G56" s="203"/>
      <c r="H56" s="203"/>
      <c r="I56" s="204"/>
    </row>
    <row r="57" spans="1:9" hidden="1">
      <c r="A57" s="26"/>
      <c r="B57" s="75" t="s">
        <v>42</v>
      </c>
      <c r="C57" s="54"/>
      <c r="D57" s="53"/>
      <c r="E57" s="55"/>
      <c r="F57" s="56"/>
      <c r="G57" s="56"/>
      <c r="H57" s="57"/>
      <c r="I57" s="12"/>
    </row>
    <row r="58" spans="1:9" ht="45" hidden="1">
      <c r="A58" s="26">
        <v>16</v>
      </c>
      <c r="B58" s="53" t="s">
        <v>194</v>
      </c>
      <c r="C58" s="54" t="s">
        <v>90</v>
      </c>
      <c r="D58" s="53" t="s">
        <v>107</v>
      </c>
      <c r="E58" s="55">
        <v>148.04</v>
      </c>
      <c r="F58" s="56">
        <f>SUM(E58*6/100)</f>
        <v>8.8824000000000005</v>
      </c>
      <c r="G58" s="12">
        <v>1654.04</v>
      </c>
      <c r="H58" s="57">
        <f>SUM(F58*G58/1000)</f>
        <v>14.691844896000001</v>
      </c>
      <c r="I58" s="12">
        <f>F58/6*G58</f>
        <v>2448.6408160000001</v>
      </c>
    </row>
    <row r="59" spans="1:9" ht="30" hidden="1">
      <c r="A59" s="26">
        <v>17</v>
      </c>
      <c r="B59" s="53" t="s">
        <v>84</v>
      </c>
      <c r="C59" s="54" t="s">
        <v>90</v>
      </c>
      <c r="D59" s="53" t="s">
        <v>85</v>
      </c>
      <c r="E59" s="55">
        <v>39.700000000000003</v>
      </c>
      <c r="F59" s="56">
        <f>SUM(E59*12/100)</f>
        <v>4.7640000000000002</v>
      </c>
      <c r="G59" s="12">
        <v>1654.04</v>
      </c>
      <c r="H59" s="57">
        <f>SUM(F59*G59/1000)</f>
        <v>7.8798465599999998</v>
      </c>
      <c r="I59" s="12">
        <f>F59/6*G59</f>
        <v>1313.3077600000001</v>
      </c>
    </row>
    <row r="60" spans="1:9" hidden="1">
      <c r="A60" s="26">
        <v>18</v>
      </c>
      <c r="B60" s="62" t="s">
        <v>122</v>
      </c>
      <c r="C60" s="63" t="s">
        <v>123</v>
      </c>
      <c r="D60" s="62" t="s">
        <v>41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idden="1">
      <c r="A61" s="26">
        <v>19</v>
      </c>
      <c r="B61" s="53" t="s">
        <v>124</v>
      </c>
      <c r="C61" s="54" t="s">
        <v>90</v>
      </c>
      <c r="D61" s="53" t="s">
        <v>107</v>
      </c>
      <c r="E61" s="55">
        <v>41.73</v>
      </c>
      <c r="F61" s="56">
        <f>SUM(E61*6/100)</f>
        <v>2.5038</v>
      </c>
      <c r="G61" s="12">
        <v>1654.04</v>
      </c>
      <c r="H61" s="57">
        <f>SUM(F61*G61/1000)</f>
        <v>4.1413853520000004</v>
      </c>
      <c r="I61" s="12">
        <f>F61/6*G61</f>
        <v>690.23089200000004</v>
      </c>
    </row>
    <row r="62" spans="1:9" ht="13.5" customHeight="1">
      <c r="A62" s="26"/>
      <c r="B62" s="76" t="s">
        <v>43</v>
      </c>
      <c r="C62" s="63"/>
      <c r="D62" s="62"/>
      <c r="E62" s="64"/>
      <c r="F62" s="65"/>
      <c r="G62" s="12"/>
      <c r="H62" s="66"/>
      <c r="I62" s="12"/>
    </row>
    <row r="63" spans="1:9" ht="14.25" hidden="1" customHeight="1">
      <c r="A63" s="26"/>
      <c r="B63" s="62" t="s">
        <v>195</v>
      </c>
      <c r="C63" s="63" t="s">
        <v>51</v>
      </c>
      <c r="D63" s="62" t="s">
        <v>52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5.75" customHeight="1">
      <c r="A64" s="26">
        <v>19</v>
      </c>
      <c r="B64" s="62" t="s">
        <v>87</v>
      </c>
      <c r="C64" s="63" t="s">
        <v>25</v>
      </c>
      <c r="D64" s="62" t="s">
        <v>30</v>
      </c>
      <c r="E64" s="64">
        <v>203.1</v>
      </c>
      <c r="F64" s="67">
        <f>E64*12</f>
        <v>2437.1999999999998</v>
      </c>
      <c r="G64" s="48">
        <v>1.2</v>
      </c>
      <c r="H64" s="65">
        <f>F64*G64/1000</f>
        <v>2.9246399999999997</v>
      </c>
      <c r="I64" s="12">
        <f>2400/12*G64</f>
        <v>240</v>
      </c>
    </row>
    <row r="65" spans="1:9" ht="15.75" customHeight="1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</row>
    <row r="66" spans="1:9" ht="19.5" customHeight="1">
      <c r="A66" s="26">
        <v>20</v>
      </c>
      <c r="B66" s="13" t="s">
        <v>45</v>
      </c>
      <c r="C66" s="15" t="s">
        <v>86</v>
      </c>
      <c r="D66" s="13"/>
      <c r="E66" s="17">
        <v>10</v>
      </c>
      <c r="F66" s="56">
        <v>10</v>
      </c>
      <c r="G66" s="137">
        <v>291.68</v>
      </c>
      <c r="H66" s="68">
        <f t="shared" ref="H66:H79" si="8">SUM(F66*G66/1000)</f>
        <v>2.9168000000000003</v>
      </c>
      <c r="I66" s="12">
        <f>G66*7</f>
        <v>2041.76</v>
      </c>
    </row>
    <row r="67" spans="1:9" ht="18" hidden="1" customHeight="1">
      <c r="A67" s="26"/>
      <c r="B67" s="13" t="s">
        <v>46</v>
      </c>
      <c r="C67" s="15" t="s">
        <v>86</v>
      </c>
      <c r="D67" s="13" t="s">
        <v>66</v>
      </c>
      <c r="E67" s="17">
        <v>5</v>
      </c>
      <c r="F67" s="56">
        <v>5</v>
      </c>
      <c r="G67" s="12">
        <v>81.510000000000005</v>
      </c>
      <c r="H67" s="68">
        <f t="shared" si="8"/>
        <v>0.40755000000000002</v>
      </c>
      <c r="I67" s="12">
        <v>0</v>
      </c>
    </row>
    <row r="68" spans="1:9" ht="19.5" hidden="1" customHeight="1">
      <c r="A68" s="26">
        <v>25</v>
      </c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37">
        <v>278.24</v>
      </c>
      <c r="H68" s="68">
        <f t="shared" si="8"/>
        <v>39.523992000000007</v>
      </c>
      <c r="I68" s="12">
        <f>F68*G68</f>
        <v>39523.992000000006</v>
      </c>
    </row>
    <row r="69" spans="1:9" ht="21.75" hidden="1" customHeight="1">
      <c r="A69" s="26">
        <v>26</v>
      </c>
      <c r="B69" s="13" t="s">
        <v>48</v>
      </c>
      <c r="C69" s="15" t="s">
        <v>110</v>
      </c>
      <c r="D69" s="13" t="s">
        <v>52</v>
      </c>
      <c r="E69" s="55">
        <v>14205</v>
      </c>
      <c r="F69" s="12">
        <f>SUM(E69/1000)</f>
        <v>14.205</v>
      </c>
      <c r="G69" s="137">
        <v>216.68</v>
      </c>
      <c r="H69" s="68">
        <f t="shared" si="8"/>
        <v>3.0779394</v>
      </c>
      <c r="I69" s="12">
        <f t="shared" ref="I69:I70" si="9">F69*G69</f>
        <v>3077.9394000000002</v>
      </c>
    </row>
    <row r="70" spans="1:9" ht="21.75" hidden="1" customHeight="1">
      <c r="A70" s="26">
        <v>27</v>
      </c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37">
        <v>2720.94</v>
      </c>
      <c r="H70" s="68">
        <f t="shared" si="8"/>
        <v>57.983231399999994</v>
      </c>
      <c r="I70" s="12">
        <f t="shared" si="9"/>
        <v>57983.231399999997</v>
      </c>
    </row>
    <row r="71" spans="1:9" ht="21" hidden="1" customHeight="1">
      <c r="A71" s="26">
        <v>28</v>
      </c>
      <c r="B71" s="69" t="s">
        <v>111</v>
      </c>
      <c r="C71" s="15" t="s">
        <v>33</v>
      </c>
      <c r="D71" s="13" t="s">
        <v>52</v>
      </c>
      <c r="E71" s="55">
        <v>12.48</v>
      </c>
      <c r="F71" s="12">
        <f>SUM(E71)</f>
        <v>12.48</v>
      </c>
      <c r="G71" s="137">
        <v>44.31</v>
      </c>
      <c r="H71" s="68">
        <f t="shared" si="8"/>
        <v>0.55298880000000006</v>
      </c>
      <c r="I71" s="12">
        <f>7*G71</f>
        <v>310.17</v>
      </c>
    </row>
    <row r="72" spans="1:9" ht="18.75" hidden="1" customHeight="1">
      <c r="A72" s="26">
        <v>29</v>
      </c>
      <c r="B72" s="69" t="s">
        <v>112</v>
      </c>
      <c r="C72" s="15" t="s">
        <v>33</v>
      </c>
      <c r="D72" s="13" t="s">
        <v>52</v>
      </c>
      <c r="E72" s="55">
        <v>12.48</v>
      </c>
      <c r="F72" s="12">
        <f>SUM(E72)</f>
        <v>12.48</v>
      </c>
      <c r="G72" s="137">
        <v>47.79</v>
      </c>
      <c r="H72" s="68">
        <f t="shared" si="8"/>
        <v>0.59641920000000004</v>
      </c>
      <c r="I72" s="12">
        <f>7*G72</f>
        <v>334.53</v>
      </c>
    </row>
    <row r="73" spans="1:9" ht="17.25" customHeight="1">
      <c r="A73" s="26">
        <v>21</v>
      </c>
      <c r="B73" s="13" t="s">
        <v>56</v>
      </c>
      <c r="C73" s="15" t="s">
        <v>57</v>
      </c>
      <c r="D73" s="13" t="s">
        <v>52</v>
      </c>
      <c r="E73" s="17">
        <v>5</v>
      </c>
      <c r="F73" s="56">
        <v>6</v>
      </c>
      <c r="G73" s="12">
        <v>65.42</v>
      </c>
      <c r="H73" s="68">
        <f t="shared" si="8"/>
        <v>0.39251999999999998</v>
      </c>
      <c r="I73" s="12">
        <f>F73/1*G73</f>
        <v>392.52</v>
      </c>
    </row>
    <row r="74" spans="1:9" ht="17.25" hidden="1" customHeight="1">
      <c r="A74" s="26"/>
      <c r="B74" s="159" t="s">
        <v>70</v>
      </c>
      <c r="C74" s="15"/>
      <c r="D74" s="13"/>
      <c r="E74" s="17"/>
      <c r="F74" s="12"/>
      <c r="G74" s="12"/>
      <c r="H74" s="68" t="s">
        <v>125</v>
      </c>
      <c r="I74" s="12"/>
    </row>
    <row r="75" spans="1:9" ht="30" hidden="1">
      <c r="A75" s="26">
        <v>21</v>
      </c>
      <c r="B75" s="13" t="s">
        <v>71</v>
      </c>
      <c r="C75" s="15" t="s">
        <v>73</v>
      </c>
      <c r="D75" s="13" t="s">
        <v>66</v>
      </c>
      <c r="E75" s="17">
        <v>2</v>
      </c>
      <c r="F75" s="12">
        <v>0.2</v>
      </c>
      <c r="G75" s="12">
        <v>536.23</v>
      </c>
      <c r="H75" s="68">
        <f t="shared" si="8"/>
        <v>0.10724600000000001</v>
      </c>
      <c r="I75" s="12">
        <f>G75*0.1</f>
        <v>53.623000000000005</v>
      </c>
    </row>
    <row r="76" spans="1:9" ht="30" hidden="1">
      <c r="A76" s="26"/>
      <c r="B76" s="13" t="s">
        <v>72</v>
      </c>
      <c r="C76" s="15" t="s">
        <v>31</v>
      </c>
      <c r="D76" s="13" t="s">
        <v>66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t="30" hidden="1">
      <c r="A77" s="26"/>
      <c r="B77" s="13" t="s">
        <v>196</v>
      </c>
      <c r="C77" s="15" t="s">
        <v>31</v>
      </c>
      <c r="D77" s="13" t="s">
        <v>66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74</v>
      </c>
      <c r="C78" s="15"/>
      <c r="D78" s="13"/>
      <c r="E78" s="17"/>
      <c r="F78" s="12"/>
      <c r="G78" s="12" t="s">
        <v>125</v>
      </c>
      <c r="H78" s="68" t="s">
        <v>125</v>
      </c>
      <c r="I78" s="12"/>
    </row>
    <row r="79" spans="1:9" hidden="1">
      <c r="A79" s="26">
        <v>22</v>
      </c>
      <c r="B79" s="39" t="s">
        <v>115</v>
      </c>
      <c r="C79" s="15" t="s">
        <v>75</v>
      </c>
      <c r="D79" s="13"/>
      <c r="E79" s="17"/>
      <c r="F79" s="12">
        <v>0.9</v>
      </c>
      <c r="G79" s="12">
        <v>2757.42</v>
      </c>
      <c r="H79" s="68">
        <f t="shared" si="8"/>
        <v>2.4816780000000005</v>
      </c>
      <c r="I79" s="12">
        <f>G79*F79</f>
        <v>2481.6780000000003</v>
      </c>
    </row>
    <row r="80" spans="1:9" ht="28.5" hidden="1">
      <c r="A80" s="26"/>
      <c r="B80" s="159" t="s">
        <v>113</v>
      </c>
      <c r="C80" s="70"/>
      <c r="D80" s="28"/>
      <c r="E80" s="29"/>
      <c r="F80" s="59"/>
      <c r="G80" s="59"/>
      <c r="H80" s="71">
        <f>SUM(H58:H79)</f>
        <v>150.67953058799998</v>
      </c>
      <c r="I80" s="59"/>
    </row>
    <row r="81" spans="1:9" hidden="1">
      <c r="A81" s="126">
        <v>23</v>
      </c>
      <c r="B81" s="62" t="s">
        <v>114</v>
      </c>
      <c r="C81" s="127"/>
      <c r="D81" s="128"/>
      <c r="E81" s="49"/>
      <c r="F81" s="74">
        <v>1</v>
      </c>
      <c r="G81" s="74">
        <v>27901.200000000001</v>
      </c>
      <c r="H81" s="129">
        <f>G81*F81/1000</f>
        <v>27.901199999999999</v>
      </c>
      <c r="I81" s="74">
        <f>G81</f>
        <v>27901.200000000001</v>
      </c>
    </row>
    <row r="82" spans="1:9" ht="16.5" customHeight="1">
      <c r="A82" s="26"/>
      <c r="B82" s="150" t="s">
        <v>148</v>
      </c>
      <c r="C82" s="140"/>
      <c r="D82" s="13"/>
      <c r="E82" s="17"/>
      <c r="F82" s="12"/>
      <c r="G82" s="12"/>
      <c r="H82" s="12"/>
      <c r="I82" s="12"/>
    </row>
    <row r="83" spans="1:9" ht="30.75" customHeight="1">
      <c r="A83" s="26">
        <v>22</v>
      </c>
      <c r="B83" s="106" t="s">
        <v>149</v>
      </c>
      <c r="C83" s="32" t="s">
        <v>150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33" customHeight="1">
      <c r="A84" s="26">
        <v>23</v>
      </c>
      <c r="B84" s="111" t="s">
        <v>151</v>
      </c>
      <c r="C84" s="112" t="s">
        <v>86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10" t="s">
        <v>166</v>
      </c>
      <c r="B85" s="211"/>
      <c r="C85" s="211"/>
      <c r="D85" s="211"/>
      <c r="E85" s="211"/>
      <c r="F85" s="211"/>
      <c r="G85" s="211"/>
      <c r="H85" s="211"/>
      <c r="I85" s="212"/>
    </row>
    <row r="86" spans="1:9" ht="20.25" customHeight="1">
      <c r="A86" s="77">
        <v>24</v>
      </c>
      <c r="B86" s="130" t="s">
        <v>116</v>
      </c>
      <c r="C86" s="131" t="s">
        <v>53</v>
      </c>
      <c r="D86" s="132" t="s">
        <v>54</v>
      </c>
      <c r="E86" s="133">
        <v>3945</v>
      </c>
      <c r="F86" s="133">
        <f>SUM(E86*12)</f>
        <v>47340</v>
      </c>
      <c r="G86" s="138">
        <v>3.1</v>
      </c>
      <c r="H86" s="134">
        <f>SUM(F86*G86/1000)</f>
        <v>146.75399999999999</v>
      </c>
      <c r="I86" s="133">
        <f>F86/12*G86</f>
        <v>12229.5</v>
      </c>
    </row>
    <row r="87" spans="1:9" ht="31.5" customHeight="1">
      <c r="A87" s="26">
        <v>25</v>
      </c>
      <c r="B87" s="13" t="s">
        <v>76</v>
      </c>
      <c r="C87" s="15"/>
      <c r="D87" s="132" t="s">
        <v>54</v>
      </c>
      <c r="E87" s="55">
        <f>E86</f>
        <v>3945</v>
      </c>
      <c r="F87" s="12">
        <f>E87*12</f>
        <v>47340</v>
      </c>
      <c r="G87" s="137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79</v>
      </c>
      <c r="C88" s="32"/>
      <c r="D88" s="14"/>
      <c r="E88" s="14"/>
      <c r="F88" s="17"/>
      <c r="G88" s="135"/>
      <c r="H88" s="71">
        <f>H87</f>
        <v>165.69</v>
      </c>
      <c r="I88" s="29">
        <f>I87+I86+I84+I83+I73+I66+I64+I55+I54+I50+I49+I48+I47+I46+I33+I32+I30+I29+I26+I25+I21+I20+I18+I17+I16</f>
        <v>120186.21611537776</v>
      </c>
    </row>
    <row r="89" spans="1:9">
      <c r="A89" s="207" t="s">
        <v>59</v>
      </c>
      <c r="B89" s="208"/>
      <c r="C89" s="208"/>
      <c r="D89" s="208"/>
      <c r="E89" s="208"/>
      <c r="F89" s="208"/>
      <c r="G89" s="208"/>
      <c r="H89" s="208"/>
      <c r="I89" s="209"/>
    </row>
    <row r="90" spans="1:9" ht="30">
      <c r="A90" s="26">
        <v>26</v>
      </c>
      <c r="B90" s="72" t="s">
        <v>161</v>
      </c>
      <c r="C90" s="73" t="s">
        <v>37</v>
      </c>
      <c r="D90" s="39"/>
      <c r="E90" s="12"/>
      <c r="F90" s="12">
        <v>2</v>
      </c>
      <c r="G90" s="107">
        <v>3724.37</v>
      </c>
      <c r="H90" s="12">
        <f t="shared" ref="H90:H108" si="10">G90*F90/1000</f>
        <v>7.4487399999999999</v>
      </c>
      <c r="I90" s="74">
        <f>G90*0.01</f>
        <v>37.243699999999997</v>
      </c>
    </row>
    <row r="91" spans="1:9">
      <c r="A91" s="26">
        <v>27</v>
      </c>
      <c r="B91" s="72" t="s">
        <v>241</v>
      </c>
      <c r="C91" s="158" t="s">
        <v>86</v>
      </c>
      <c r="D91" s="39"/>
      <c r="E91" s="12"/>
      <c r="F91" s="12"/>
      <c r="G91" s="137">
        <v>38.67</v>
      </c>
      <c r="H91" s="68"/>
      <c r="I91" s="74">
        <f>G91*1</f>
        <v>38.67</v>
      </c>
    </row>
    <row r="92" spans="1:9">
      <c r="A92" s="26">
        <v>28</v>
      </c>
      <c r="B92" s="111" t="s">
        <v>238</v>
      </c>
      <c r="C92" s="112" t="s">
        <v>168</v>
      </c>
      <c r="D92" s="39"/>
      <c r="E92" s="12"/>
      <c r="F92" s="12"/>
      <c r="G92" s="107">
        <v>440.48</v>
      </c>
      <c r="H92" s="68"/>
      <c r="I92" s="74">
        <f>G92*1</f>
        <v>440.48</v>
      </c>
    </row>
    <row r="93" spans="1:9">
      <c r="A93" s="26">
        <v>29</v>
      </c>
      <c r="B93" s="111" t="s">
        <v>239</v>
      </c>
      <c r="C93" s="112" t="s">
        <v>168</v>
      </c>
      <c r="D93" s="39"/>
      <c r="E93" s="12"/>
      <c r="F93" s="12"/>
      <c r="G93" s="107">
        <v>121.79</v>
      </c>
      <c r="H93" s="68"/>
      <c r="I93" s="74">
        <f>G93*1</f>
        <v>121.79</v>
      </c>
    </row>
    <row r="94" spans="1:9" ht="13.5" customHeight="1">
      <c r="A94" s="26">
        <v>30</v>
      </c>
      <c r="B94" s="111" t="s">
        <v>240</v>
      </c>
      <c r="C94" s="112" t="s">
        <v>86</v>
      </c>
      <c r="D94" s="39"/>
      <c r="E94" s="12"/>
      <c r="F94" s="12"/>
      <c r="G94" s="107">
        <v>197.48</v>
      </c>
      <c r="H94" s="68"/>
      <c r="I94" s="74">
        <f>G94*1</f>
        <v>197.48</v>
      </c>
    </row>
    <row r="95" spans="1:9" hidden="1">
      <c r="A95" s="26">
        <v>19</v>
      </c>
      <c r="B95" s="111"/>
      <c r="C95" s="112"/>
      <c r="D95" s="39"/>
      <c r="E95" s="12"/>
      <c r="F95" s="12"/>
      <c r="G95" s="107"/>
      <c r="H95" s="68"/>
      <c r="I95" s="74"/>
    </row>
    <row r="96" spans="1:9" hidden="1">
      <c r="A96" s="26">
        <v>20</v>
      </c>
      <c r="B96" s="111"/>
      <c r="C96" s="112"/>
      <c r="D96" s="39"/>
      <c r="E96" s="12"/>
      <c r="F96" s="12"/>
      <c r="G96" s="107"/>
      <c r="H96" s="68"/>
      <c r="I96" s="74"/>
    </row>
    <row r="97" spans="1:9" hidden="1">
      <c r="A97" s="26">
        <v>21</v>
      </c>
      <c r="B97" s="111"/>
      <c r="C97" s="112"/>
      <c r="D97" s="39"/>
      <c r="E97" s="12"/>
      <c r="F97" s="12"/>
      <c r="G97" s="107"/>
      <c r="H97" s="68"/>
      <c r="I97" s="74"/>
    </row>
    <row r="98" spans="1:9" hidden="1">
      <c r="A98" s="26">
        <v>22</v>
      </c>
      <c r="B98" s="111"/>
      <c r="C98" s="112"/>
      <c r="D98" s="39"/>
      <c r="E98" s="12"/>
      <c r="F98" s="12"/>
      <c r="G98" s="107"/>
      <c r="H98" s="68"/>
      <c r="I98" s="74"/>
    </row>
    <row r="99" spans="1:9" hidden="1">
      <c r="A99" s="26">
        <v>23</v>
      </c>
      <c r="B99" s="72"/>
      <c r="C99" s="109"/>
      <c r="D99" s="39"/>
      <c r="E99" s="12"/>
      <c r="F99" s="12"/>
      <c r="G99" s="107"/>
      <c r="H99" s="68"/>
      <c r="I99" s="74"/>
    </row>
    <row r="100" spans="1:9" hidden="1">
      <c r="A100" s="26">
        <v>24</v>
      </c>
      <c r="B100" s="72"/>
      <c r="C100" s="109"/>
      <c r="D100" s="39"/>
      <c r="E100" s="12"/>
      <c r="F100" s="12"/>
      <c r="G100" s="107"/>
      <c r="H100" s="68"/>
      <c r="I100" s="74"/>
    </row>
    <row r="101" spans="1:9" hidden="1">
      <c r="A101" s="26">
        <v>25</v>
      </c>
      <c r="B101" s="72"/>
      <c r="C101" s="109"/>
      <c r="D101" s="39"/>
      <c r="E101" s="12"/>
      <c r="F101" s="12"/>
      <c r="G101" s="107"/>
      <c r="H101" s="68"/>
      <c r="I101" s="74"/>
    </row>
    <row r="102" spans="1:9" hidden="1">
      <c r="A102" s="26">
        <v>26</v>
      </c>
      <c r="B102" s="72"/>
      <c r="C102" s="109"/>
      <c r="D102" s="39"/>
      <c r="E102" s="12"/>
      <c r="F102" s="12"/>
      <c r="G102" s="107"/>
      <c r="H102" s="68"/>
      <c r="I102" s="74"/>
    </row>
    <row r="103" spans="1:9" hidden="1">
      <c r="A103" s="26">
        <v>27</v>
      </c>
      <c r="B103" s="72"/>
      <c r="C103" s="109"/>
      <c r="D103" s="39"/>
      <c r="E103" s="12"/>
      <c r="F103" s="12"/>
      <c r="G103" s="107"/>
      <c r="H103" s="68"/>
      <c r="I103" s="74"/>
    </row>
    <row r="104" spans="1:9" hidden="1">
      <c r="A104" s="26">
        <v>28</v>
      </c>
      <c r="B104" s="72"/>
      <c r="C104" s="109"/>
      <c r="D104" s="39"/>
      <c r="E104" s="12"/>
      <c r="F104" s="12"/>
      <c r="G104" s="107"/>
      <c r="H104" s="68"/>
      <c r="I104" s="74"/>
    </row>
    <row r="105" spans="1:9" hidden="1">
      <c r="A105" s="26">
        <v>29</v>
      </c>
      <c r="B105" s="72"/>
      <c r="C105" s="109"/>
      <c r="D105" s="39"/>
      <c r="E105" s="12"/>
      <c r="F105" s="12"/>
      <c r="G105" s="107"/>
      <c r="H105" s="68"/>
      <c r="I105" s="74"/>
    </row>
    <row r="106" spans="1:9" hidden="1">
      <c r="A106" s="26">
        <v>30</v>
      </c>
      <c r="B106" s="72"/>
      <c r="C106" s="109"/>
      <c r="D106" s="39"/>
      <c r="E106" s="12"/>
      <c r="F106" s="12"/>
      <c r="G106" s="107"/>
      <c r="H106" s="68"/>
      <c r="I106" s="74"/>
    </row>
    <row r="107" spans="1:9" hidden="1">
      <c r="A107" s="26"/>
      <c r="B107" s="157"/>
      <c r="C107" s="158"/>
      <c r="D107" s="39"/>
      <c r="E107" s="12"/>
      <c r="F107" s="12"/>
      <c r="G107" s="137"/>
      <c r="H107" s="68"/>
      <c r="I107" s="74"/>
    </row>
    <row r="108" spans="1:9" hidden="1">
      <c r="A108" s="26">
        <v>16</v>
      </c>
      <c r="B108" s="72"/>
      <c r="C108" s="73"/>
      <c r="D108" s="39"/>
      <c r="E108" s="12"/>
      <c r="F108" s="12">
        <v>1</v>
      </c>
      <c r="G108" s="107"/>
      <c r="H108" s="68">
        <f t="shared" si="10"/>
        <v>0</v>
      </c>
      <c r="I108" s="74"/>
    </row>
    <row r="109" spans="1:9" ht="17.25" customHeight="1">
      <c r="A109" s="26"/>
      <c r="B109" s="37" t="s">
        <v>50</v>
      </c>
      <c r="C109" s="33"/>
      <c r="D109" s="40"/>
      <c r="E109" s="33">
        <v>1</v>
      </c>
      <c r="F109" s="33"/>
      <c r="G109" s="33"/>
      <c r="H109" s="33"/>
      <c r="I109" s="29">
        <f>SUM(I90:I108)</f>
        <v>835.66370000000006</v>
      </c>
    </row>
    <row r="110" spans="1:9">
      <c r="A110" s="26"/>
      <c r="B110" s="39" t="s">
        <v>77</v>
      </c>
      <c r="C110" s="14"/>
      <c r="D110" s="14"/>
      <c r="E110" s="34"/>
      <c r="F110" s="34"/>
      <c r="G110" s="35"/>
      <c r="H110" s="35"/>
      <c r="I110" s="16">
        <v>0</v>
      </c>
    </row>
    <row r="111" spans="1:9">
      <c r="A111" s="41"/>
      <c r="B111" s="38" t="s">
        <v>197</v>
      </c>
      <c r="C111" s="30"/>
      <c r="D111" s="30"/>
      <c r="E111" s="30"/>
      <c r="F111" s="30"/>
      <c r="G111" s="30"/>
      <c r="H111" s="30"/>
      <c r="I111" s="36">
        <f>I88+I109</f>
        <v>121021.87981537776</v>
      </c>
    </row>
    <row r="112" spans="1:9" ht="15.75">
      <c r="A112" s="206" t="s">
        <v>245</v>
      </c>
      <c r="B112" s="206"/>
      <c r="C112" s="206"/>
      <c r="D112" s="206"/>
      <c r="E112" s="206"/>
      <c r="F112" s="206"/>
      <c r="G112" s="206"/>
      <c r="H112" s="206"/>
      <c r="I112" s="206"/>
    </row>
    <row r="113" spans="1:9" ht="15.75">
      <c r="A113" s="78"/>
      <c r="B113" s="213" t="s">
        <v>246</v>
      </c>
      <c r="C113" s="213"/>
      <c r="D113" s="213"/>
      <c r="E113" s="213"/>
      <c r="F113" s="213"/>
      <c r="G113" s="213"/>
      <c r="H113" s="52"/>
      <c r="I113" s="3"/>
    </row>
    <row r="114" spans="1:9">
      <c r="A114" s="164"/>
      <c r="B114" s="214" t="s">
        <v>6</v>
      </c>
      <c r="C114" s="214"/>
      <c r="D114" s="214"/>
      <c r="E114" s="214"/>
      <c r="F114" s="214"/>
      <c r="G114" s="214"/>
      <c r="H114" s="21"/>
      <c r="I114" s="5"/>
    </row>
    <row r="115" spans="1:9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5.75">
      <c r="A116" s="215" t="s">
        <v>7</v>
      </c>
      <c r="B116" s="215"/>
      <c r="C116" s="215"/>
      <c r="D116" s="215"/>
      <c r="E116" s="215"/>
      <c r="F116" s="215"/>
      <c r="G116" s="215"/>
      <c r="H116" s="215"/>
      <c r="I116" s="215"/>
    </row>
    <row r="117" spans="1:9" ht="15.75">
      <c r="A117" s="215" t="s">
        <v>8</v>
      </c>
      <c r="B117" s="215"/>
      <c r="C117" s="215"/>
      <c r="D117" s="215"/>
      <c r="E117" s="215"/>
      <c r="F117" s="215"/>
      <c r="G117" s="215"/>
      <c r="H117" s="215"/>
      <c r="I117" s="215"/>
    </row>
    <row r="118" spans="1:9" ht="15.75">
      <c r="A118" s="216" t="s">
        <v>60</v>
      </c>
      <c r="B118" s="216"/>
      <c r="C118" s="216"/>
      <c r="D118" s="216"/>
      <c r="E118" s="216"/>
      <c r="F118" s="216"/>
      <c r="G118" s="216"/>
      <c r="H118" s="216"/>
      <c r="I118" s="216"/>
    </row>
    <row r="119" spans="1:9" ht="15.75">
      <c r="A119" s="10"/>
    </row>
    <row r="120" spans="1:9" ht="15.75">
      <c r="A120" s="200" t="s">
        <v>9</v>
      </c>
      <c r="B120" s="200"/>
      <c r="C120" s="200"/>
      <c r="D120" s="200"/>
      <c r="E120" s="200"/>
      <c r="F120" s="200"/>
      <c r="G120" s="200"/>
      <c r="H120" s="200"/>
      <c r="I120" s="200"/>
    </row>
    <row r="121" spans="1:9" ht="15.75">
      <c r="A121" s="4"/>
    </row>
    <row r="122" spans="1:9" ht="15.75">
      <c r="B122" s="162" t="s">
        <v>10</v>
      </c>
      <c r="C122" s="218" t="s">
        <v>83</v>
      </c>
      <c r="D122" s="218"/>
      <c r="E122" s="218"/>
      <c r="F122" s="50"/>
      <c r="I122" s="163"/>
    </row>
    <row r="123" spans="1:9">
      <c r="A123" s="164"/>
      <c r="C123" s="214" t="s">
        <v>11</v>
      </c>
      <c r="D123" s="214"/>
      <c r="E123" s="214"/>
      <c r="F123" s="21"/>
      <c r="I123" s="161" t="s">
        <v>12</v>
      </c>
    </row>
    <row r="124" spans="1:9" ht="15.75">
      <c r="A124" s="22"/>
      <c r="C124" s="11"/>
      <c r="D124" s="11"/>
      <c r="G124" s="11"/>
      <c r="H124" s="11"/>
    </row>
    <row r="125" spans="1:9" ht="15.75">
      <c r="B125" s="162" t="s">
        <v>13</v>
      </c>
      <c r="C125" s="219"/>
      <c r="D125" s="219"/>
      <c r="E125" s="219"/>
      <c r="F125" s="51"/>
      <c r="I125" s="163"/>
    </row>
    <row r="126" spans="1:9">
      <c r="A126" s="164"/>
      <c r="C126" s="220" t="s">
        <v>11</v>
      </c>
      <c r="D126" s="220"/>
      <c r="E126" s="220"/>
      <c r="F126" s="164"/>
      <c r="I126" s="161" t="s">
        <v>12</v>
      </c>
    </row>
    <row r="127" spans="1:9" ht="15.75">
      <c r="A127" s="4" t="s">
        <v>14</v>
      </c>
    </row>
    <row r="128" spans="1:9">
      <c r="A128" s="221" t="s">
        <v>15</v>
      </c>
      <c r="B128" s="221"/>
      <c r="C128" s="221"/>
      <c r="D128" s="221"/>
      <c r="E128" s="221"/>
      <c r="F128" s="221"/>
      <c r="G128" s="221"/>
      <c r="H128" s="221"/>
      <c r="I128" s="221"/>
    </row>
    <row r="129" spans="1:9" ht="53.25" customHeight="1">
      <c r="A129" s="217" t="s">
        <v>16</v>
      </c>
      <c r="B129" s="217"/>
      <c r="C129" s="217"/>
      <c r="D129" s="217"/>
      <c r="E129" s="217"/>
      <c r="F129" s="217"/>
      <c r="G129" s="217"/>
      <c r="H129" s="217"/>
      <c r="I129" s="217"/>
    </row>
    <row r="130" spans="1:9" ht="36" customHeight="1">
      <c r="A130" s="217" t="s">
        <v>17</v>
      </c>
      <c r="B130" s="217"/>
      <c r="C130" s="217"/>
      <c r="D130" s="217"/>
      <c r="E130" s="217"/>
      <c r="F130" s="217"/>
      <c r="G130" s="217"/>
      <c r="H130" s="217"/>
      <c r="I130" s="217"/>
    </row>
    <row r="131" spans="1:9" ht="36.75" customHeight="1">
      <c r="A131" s="217" t="s">
        <v>21</v>
      </c>
      <c r="B131" s="217"/>
      <c r="C131" s="217"/>
      <c r="D131" s="217"/>
      <c r="E131" s="217"/>
      <c r="F131" s="217"/>
      <c r="G131" s="217"/>
      <c r="H131" s="217"/>
      <c r="I131" s="217"/>
    </row>
    <row r="132" spans="1:9" ht="15.75">
      <c r="A132" s="217" t="s">
        <v>20</v>
      </c>
      <c r="B132" s="217"/>
      <c r="C132" s="217"/>
      <c r="D132" s="217"/>
      <c r="E132" s="217"/>
      <c r="F132" s="217"/>
      <c r="G132" s="217"/>
      <c r="H132" s="217"/>
      <c r="I132" s="217"/>
    </row>
  </sheetData>
  <mergeCells count="28">
    <mergeCell ref="A14:I14"/>
    <mergeCell ref="A3:I3"/>
    <mergeCell ref="A4:I4"/>
    <mergeCell ref="A5:I5"/>
    <mergeCell ref="A8:I8"/>
    <mergeCell ref="A10:I10"/>
    <mergeCell ref="A118:I118"/>
    <mergeCell ref="A15:I15"/>
    <mergeCell ref="A27:I27"/>
    <mergeCell ref="A45:I45"/>
    <mergeCell ref="A56:I56"/>
    <mergeCell ref="A85:I85"/>
    <mergeCell ref="A89:I89"/>
    <mergeCell ref="A112:I112"/>
    <mergeCell ref="B113:G113"/>
    <mergeCell ref="B114:G114"/>
    <mergeCell ref="A116:I116"/>
    <mergeCell ref="A117:I117"/>
    <mergeCell ref="A129:I129"/>
    <mergeCell ref="A130:I130"/>
    <mergeCell ref="A131:I131"/>
    <mergeCell ref="A132:I132"/>
    <mergeCell ref="A120:I120"/>
    <mergeCell ref="C122:E122"/>
    <mergeCell ref="C123:E123"/>
    <mergeCell ref="C125:E125"/>
    <mergeCell ref="C126:E126"/>
    <mergeCell ref="A128:I128"/>
  </mergeCells>
  <pageMargins left="0.70866141732283472" right="0.31496062992125984" top="0.15748031496062992" bottom="0.15748031496062992" header="0.31496062992125984" footer="0.31496062992125984"/>
  <pageSetup paperSize="9" scale="7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2"/>
  <sheetViews>
    <sheetView view="pageBreakPreview" topLeftCell="A109" zoomScale="60" workbookViewId="0">
      <selection activeCell="A118" sqref="A118:I118"/>
    </sheetView>
  </sheetViews>
  <sheetFormatPr defaultRowHeight="15"/>
  <cols>
    <col min="1" max="1" width="12.7109375" customWidth="1"/>
    <col min="2" max="2" width="53.85546875" customWidth="1"/>
    <col min="3" max="3" width="16.5703125" customWidth="1"/>
    <col min="4" max="4" width="17.7109375" customWidth="1"/>
    <col min="5" max="6" width="11.140625" hidden="1" customWidth="1"/>
    <col min="7" max="7" width="15.42578125" customWidth="1"/>
    <col min="8" max="8" width="0" hidden="1" customWidth="1"/>
    <col min="9" max="9" width="17.7109375" customWidth="1"/>
  </cols>
  <sheetData>
    <row r="1" spans="1:9" ht="15.75">
      <c r="A1" s="24" t="s">
        <v>207</v>
      </c>
      <c r="I1" s="23"/>
    </row>
    <row r="2" spans="1:9" ht="15.75">
      <c r="A2" s="25" t="s">
        <v>61</v>
      </c>
    </row>
    <row r="3" spans="1:9" ht="15.75">
      <c r="A3" s="195" t="s">
        <v>254</v>
      </c>
      <c r="B3" s="195"/>
      <c r="C3" s="195"/>
      <c r="D3" s="195"/>
      <c r="E3" s="195"/>
      <c r="F3" s="195"/>
      <c r="G3" s="195"/>
      <c r="H3" s="195"/>
      <c r="I3" s="195"/>
    </row>
    <row r="4" spans="1:9" ht="32.25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9" ht="15.75">
      <c r="A5" s="195" t="s">
        <v>253</v>
      </c>
      <c r="B5" s="197"/>
      <c r="C5" s="197"/>
      <c r="D5" s="197"/>
      <c r="E5" s="197"/>
      <c r="F5" s="197"/>
      <c r="G5" s="197"/>
      <c r="H5" s="197"/>
      <c r="I5" s="197"/>
    </row>
    <row r="6" spans="1:9" ht="15.75">
      <c r="A6" s="2"/>
      <c r="B6" s="166"/>
      <c r="C6" s="166"/>
      <c r="D6" s="166"/>
      <c r="E6" s="166"/>
      <c r="F6" s="166"/>
      <c r="G6" s="166"/>
      <c r="H6" s="166"/>
      <c r="I6" s="27">
        <v>43404</v>
      </c>
    </row>
    <row r="7" spans="1:9" ht="15.75">
      <c r="B7" s="168"/>
      <c r="C7" s="168"/>
      <c r="D7" s="168"/>
      <c r="E7" s="3"/>
      <c r="F7" s="3"/>
      <c r="G7" s="3"/>
      <c r="H7" s="3"/>
    </row>
    <row r="8" spans="1:9" ht="81.75" customHeight="1">
      <c r="A8" s="198" t="s">
        <v>210</v>
      </c>
      <c r="B8" s="198"/>
      <c r="C8" s="198"/>
      <c r="D8" s="198"/>
      <c r="E8" s="198"/>
      <c r="F8" s="198"/>
      <c r="G8" s="198"/>
      <c r="H8" s="198"/>
      <c r="I8" s="198"/>
    </row>
    <row r="9" spans="1:9" ht="15.75">
      <c r="A9" s="4"/>
    </row>
    <row r="10" spans="1:9" ht="72.75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</row>
    <row r="11" spans="1:9" ht="15.75">
      <c r="A11" s="4"/>
    </row>
    <row r="12" spans="1:9" ht="76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</row>
    <row r="15" spans="1:9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</row>
    <row r="16" spans="1:9" ht="17.2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142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8.75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142">
        <v>230</v>
      </c>
      <c r="H17" s="57">
        <f t="shared" si="0"/>
        <v>90.934271999999993</v>
      </c>
      <c r="I17" s="12">
        <f>F17/12*G17</f>
        <v>7577.8560000000007</v>
      </c>
    </row>
    <row r="18" spans="1:9" ht="17.2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142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91</v>
      </c>
      <c r="C19" s="54" t="s">
        <v>92</v>
      </c>
      <c r="D19" s="53" t="s">
        <v>93</v>
      </c>
      <c r="E19" s="55">
        <v>93.4</v>
      </c>
      <c r="F19" s="56">
        <f>SUM(E19/10)</f>
        <v>9.34</v>
      </c>
      <c r="G19" s="142">
        <v>223.17</v>
      </c>
      <c r="H19" s="57">
        <f t="shared" si="0"/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142">
        <v>285.76</v>
      </c>
      <c r="H20" s="57">
        <f t="shared" si="0"/>
        <v>0.24689664000000003</v>
      </c>
      <c r="I20" s="12">
        <f t="shared" ref="I20:I21" si="1">F20/2*G20</f>
        <v>123.44832000000001</v>
      </c>
    </row>
    <row r="21" spans="1:9" hidden="1">
      <c r="A21" s="26">
        <v>5</v>
      </c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142">
        <v>283.44</v>
      </c>
      <c r="H21" s="57">
        <f t="shared" si="0"/>
        <v>5.7141503999999996E-2</v>
      </c>
      <c r="I21" s="12">
        <f t="shared" si="1"/>
        <v>28.570751999999999</v>
      </c>
    </row>
    <row r="22" spans="1:9" hidden="1">
      <c r="A22" s="26">
        <v>7</v>
      </c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142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142">
        <v>58.08</v>
      </c>
      <c r="H23" s="57">
        <f t="shared" si="0"/>
        <v>2.0490623999999999E-2</v>
      </c>
      <c r="I23" s="12">
        <f t="shared" ref="I23:I24" si="2">F23*G23</f>
        <v>20.490624</v>
      </c>
    </row>
    <row r="24" spans="1:9" hidden="1">
      <c r="A24" s="26">
        <v>9</v>
      </c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142">
        <v>683.05</v>
      </c>
      <c r="H24" s="57">
        <f t="shared" si="0"/>
        <v>0.19671840000000002</v>
      </c>
      <c r="I24" s="12">
        <f t="shared" si="2"/>
        <v>196.7184</v>
      </c>
    </row>
    <row r="25" spans="1:9" ht="16.5" customHeight="1">
      <c r="A25" s="26">
        <v>4</v>
      </c>
      <c r="B25" s="53" t="s">
        <v>63</v>
      </c>
      <c r="C25" s="54" t="s">
        <v>33</v>
      </c>
      <c r="D25" s="53" t="s">
        <v>184</v>
      </c>
      <c r="E25" s="55">
        <v>0.1</v>
      </c>
      <c r="F25" s="56">
        <f>SUM(E25*365)</f>
        <v>36.5</v>
      </c>
      <c r="G25" s="142">
        <v>264.85000000000002</v>
      </c>
      <c r="H25" s="57">
        <f>SUM(F25*G25/1000)</f>
        <v>9.6670250000000006</v>
      </c>
      <c r="I25" s="12">
        <f>15.5/12*G25</f>
        <v>342.09791666666672</v>
      </c>
    </row>
    <row r="26" spans="1:9" ht="17.25" customHeight="1">
      <c r="A26" s="26">
        <v>5</v>
      </c>
      <c r="B26" s="61" t="s">
        <v>23</v>
      </c>
      <c r="C26" s="54" t="s">
        <v>24</v>
      </c>
      <c r="D26" s="53" t="s">
        <v>184</v>
      </c>
      <c r="E26" s="55">
        <v>3945</v>
      </c>
      <c r="F26" s="56">
        <f>SUM(E26*12)</f>
        <v>47340</v>
      </c>
      <c r="G26" s="142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02" t="s">
        <v>185</v>
      </c>
      <c r="B27" s="203"/>
      <c r="C27" s="203"/>
      <c r="D27" s="203"/>
      <c r="E27" s="203"/>
      <c r="F27" s="203"/>
      <c r="G27" s="203"/>
      <c r="H27" s="203"/>
      <c r="I27" s="204"/>
    </row>
    <row r="28" spans="1:9" ht="19.5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t="17.25" customHeight="1">
      <c r="A29" s="26">
        <v>6</v>
      </c>
      <c r="B29" s="53" t="s">
        <v>99</v>
      </c>
      <c r="C29" s="54" t="s">
        <v>186</v>
      </c>
      <c r="D29" s="53" t="s">
        <v>138</v>
      </c>
      <c r="E29" s="56">
        <v>1044.6500000000001</v>
      </c>
      <c r="F29" s="56">
        <f>SUM(E29*52/1000)</f>
        <v>54.321800000000003</v>
      </c>
      <c r="G29" s="142">
        <v>204.44</v>
      </c>
      <c r="H29" s="57">
        <f t="shared" ref="H29:H35" si="3">SUM(F29*G29/1000)</f>
        <v>11.105548792000002</v>
      </c>
      <c r="I29" s="12">
        <f>17.064/6*G29</f>
        <v>581.42736000000002</v>
      </c>
    </row>
    <row r="30" spans="1:9" ht="32.25" customHeight="1">
      <c r="A30" s="26">
        <v>7</v>
      </c>
      <c r="B30" s="53" t="s">
        <v>127</v>
      </c>
      <c r="C30" s="54" t="s">
        <v>100</v>
      </c>
      <c r="D30" s="53" t="s">
        <v>139</v>
      </c>
      <c r="E30" s="56">
        <v>116.93</v>
      </c>
      <c r="F30" s="56">
        <f>SUM(E30*78/1000)</f>
        <v>9.1205400000000001</v>
      </c>
      <c r="G30" s="142">
        <v>339.21</v>
      </c>
      <c r="H30" s="57">
        <f t="shared" si="3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100</v>
      </c>
      <c r="D31" s="53" t="s">
        <v>52</v>
      </c>
      <c r="E31" s="56">
        <v>1044.6500000000001</v>
      </c>
      <c r="F31" s="56">
        <f>SUM(E31/1000)</f>
        <v>1.0446500000000001</v>
      </c>
      <c r="G31" s="142">
        <v>3961.23</v>
      </c>
      <c r="H31" s="57">
        <f t="shared" si="3"/>
        <v>4.1380989195</v>
      </c>
      <c r="I31" s="12">
        <f>0.3555*G31</f>
        <v>1408.217265</v>
      </c>
    </row>
    <row r="32" spans="1:9" ht="17.25" customHeight="1">
      <c r="A32" s="26">
        <v>8</v>
      </c>
      <c r="B32" s="53" t="s">
        <v>118</v>
      </c>
      <c r="C32" s="54" t="s">
        <v>39</v>
      </c>
      <c r="D32" s="53" t="s">
        <v>140</v>
      </c>
      <c r="E32" s="56">
        <v>6</v>
      </c>
      <c r="F32" s="56">
        <v>9.3000000000000007</v>
      </c>
      <c r="G32" s="142">
        <v>1707.63</v>
      </c>
      <c r="H32" s="57">
        <f>G32*F32/1000</f>
        <v>15.880959000000002</v>
      </c>
      <c r="I32" s="12">
        <f>2.88/6*G32</f>
        <v>819.66240000000005</v>
      </c>
    </row>
    <row r="33" spans="1:9" ht="17.25" customHeight="1">
      <c r="A33" s="26">
        <v>9</v>
      </c>
      <c r="B33" s="53" t="s">
        <v>101</v>
      </c>
      <c r="C33" s="54" t="s">
        <v>31</v>
      </c>
      <c r="D33" s="53" t="s">
        <v>62</v>
      </c>
      <c r="E33" s="60">
        <v>0.33333333333333331</v>
      </c>
      <c r="F33" s="56">
        <f>155/3</f>
        <v>51.666666666666664</v>
      </c>
      <c r="G33" s="142">
        <v>74.349999999999994</v>
      </c>
      <c r="H33" s="57">
        <f>SUM(G33*155/3/1000)</f>
        <v>3.8414166666666665</v>
      </c>
      <c r="I33" s="12">
        <f t="shared" ref="I33" si="4">F33/6*G33</f>
        <v>640.23611111111109</v>
      </c>
    </row>
    <row r="34" spans="1:9" hidden="1">
      <c r="A34" s="26"/>
      <c r="B34" s="53" t="s">
        <v>64</v>
      </c>
      <c r="C34" s="54" t="s">
        <v>33</v>
      </c>
      <c r="D34" s="53" t="s">
        <v>66</v>
      </c>
      <c r="E34" s="55"/>
      <c r="F34" s="56">
        <v>3</v>
      </c>
      <c r="G34" s="56">
        <v>204.52</v>
      </c>
      <c r="H34" s="57">
        <f t="shared" si="3"/>
        <v>0.61356000000000011</v>
      </c>
      <c r="I34" s="12">
        <v>0</v>
      </c>
    </row>
    <row r="35" spans="1:9" hidden="1">
      <c r="A35" s="26"/>
      <c r="B35" s="53" t="s">
        <v>65</v>
      </c>
      <c r="C35" s="54" t="s">
        <v>32</v>
      </c>
      <c r="D35" s="53" t="s">
        <v>66</v>
      </c>
      <c r="E35" s="55"/>
      <c r="F35" s="56">
        <v>2</v>
      </c>
      <c r="G35" s="56">
        <v>1136.33</v>
      </c>
      <c r="H35" s="57">
        <f t="shared" si="3"/>
        <v>2.2726599999999997</v>
      </c>
      <c r="I35" s="12">
        <v>0</v>
      </c>
    </row>
    <row r="36" spans="1:9" hidden="1">
      <c r="A36" s="26"/>
      <c r="B36" s="75" t="s">
        <v>5</v>
      </c>
      <c r="C36" s="54"/>
      <c r="D36" s="53"/>
      <c r="E36" s="55"/>
      <c r="F36" s="56"/>
      <c r="G36" s="56"/>
      <c r="H36" s="57" t="s">
        <v>125</v>
      </c>
      <c r="I36" s="12"/>
    </row>
    <row r="37" spans="1:9" hidden="1">
      <c r="A37" s="26">
        <v>6</v>
      </c>
      <c r="B37" s="53" t="s">
        <v>26</v>
      </c>
      <c r="C37" s="54" t="s">
        <v>32</v>
      </c>
      <c r="D37" s="53"/>
      <c r="E37" s="55"/>
      <c r="F37" s="56">
        <v>8</v>
      </c>
      <c r="G37" s="56">
        <v>1632.6</v>
      </c>
      <c r="H37" s="57">
        <f t="shared" ref="H37:H44" si="5">SUM(F37*G37/1000)</f>
        <v>13.060799999999999</v>
      </c>
      <c r="I37" s="12">
        <f>F37/6*G37</f>
        <v>2176.7999999999997</v>
      </c>
    </row>
    <row r="38" spans="1:9" hidden="1">
      <c r="A38" s="26">
        <v>7</v>
      </c>
      <c r="B38" s="53" t="s">
        <v>187</v>
      </c>
      <c r="C38" s="54" t="s">
        <v>29</v>
      </c>
      <c r="D38" s="53" t="s">
        <v>188</v>
      </c>
      <c r="E38" s="55">
        <v>477.19</v>
      </c>
      <c r="F38" s="56">
        <f>E38*12/1000</f>
        <v>5.72628</v>
      </c>
      <c r="G38" s="56">
        <v>2247.8000000000002</v>
      </c>
      <c r="H38" s="57">
        <f>G38*F38/1000</f>
        <v>12.871532184000001</v>
      </c>
      <c r="I38" s="12">
        <f>F38/6*G38</f>
        <v>2145.2553640000001</v>
      </c>
    </row>
    <row r="39" spans="1:9" hidden="1">
      <c r="A39" s="26">
        <v>8</v>
      </c>
      <c r="B39" s="53" t="s">
        <v>189</v>
      </c>
      <c r="C39" s="54" t="s">
        <v>29</v>
      </c>
      <c r="D39" s="53" t="s">
        <v>102</v>
      </c>
      <c r="E39" s="55">
        <v>116.93</v>
      </c>
      <c r="F39" s="56">
        <f>E39*30/1000</f>
        <v>3.5079000000000002</v>
      </c>
      <c r="G39" s="56">
        <v>2247.8000000000002</v>
      </c>
      <c r="H39" s="57">
        <f>G39*F39/1000</f>
        <v>7.8850576200000013</v>
      </c>
      <c r="I39" s="12">
        <f>F39/6*G39</f>
        <v>1314.1762700000002</v>
      </c>
    </row>
    <row r="40" spans="1:9" hidden="1">
      <c r="A40" s="26"/>
      <c r="B40" s="53" t="s">
        <v>190</v>
      </c>
      <c r="C40" s="54" t="s">
        <v>191</v>
      </c>
      <c r="D40" s="53" t="s">
        <v>66</v>
      </c>
      <c r="E40" s="55"/>
      <c r="F40" s="56">
        <v>135</v>
      </c>
      <c r="G40" s="56">
        <v>213.2</v>
      </c>
      <c r="H40" s="57">
        <f>G40*F40/1000</f>
        <v>28.782</v>
      </c>
      <c r="I40" s="12">
        <v>0</v>
      </c>
    </row>
    <row r="41" spans="1:9" hidden="1">
      <c r="A41" s="26">
        <v>9</v>
      </c>
      <c r="B41" s="53" t="s">
        <v>67</v>
      </c>
      <c r="C41" s="54" t="s">
        <v>29</v>
      </c>
      <c r="D41" s="53" t="s">
        <v>103</v>
      </c>
      <c r="E41" s="56">
        <v>116.93</v>
      </c>
      <c r="F41" s="56">
        <f>SUM(E41*155/1000)</f>
        <v>18.12415</v>
      </c>
      <c r="G41" s="56">
        <v>374.95</v>
      </c>
      <c r="H41" s="57">
        <f t="shared" si="5"/>
        <v>6.7956500424999993</v>
      </c>
      <c r="I41" s="12">
        <f>F41/6*G41</f>
        <v>1132.6083404166666</v>
      </c>
    </row>
    <row r="42" spans="1:9" ht="45" hidden="1">
      <c r="A42" s="26">
        <v>10</v>
      </c>
      <c r="B42" s="53" t="s">
        <v>80</v>
      </c>
      <c r="C42" s="54" t="s">
        <v>100</v>
      </c>
      <c r="D42" s="53" t="s">
        <v>119</v>
      </c>
      <c r="E42" s="56">
        <v>116.93</v>
      </c>
      <c r="F42" s="56">
        <f>SUM(E42*24/1000)</f>
        <v>2.8063200000000004</v>
      </c>
      <c r="G42" s="56">
        <v>6203.71</v>
      </c>
      <c r="H42" s="57">
        <f t="shared" si="5"/>
        <v>17.409595447200001</v>
      </c>
      <c r="I42" s="12">
        <f>F42/6*G42</f>
        <v>2901.5992412000005</v>
      </c>
    </row>
    <row r="43" spans="1:9" hidden="1">
      <c r="A43" s="26">
        <v>11</v>
      </c>
      <c r="B43" s="53" t="s">
        <v>104</v>
      </c>
      <c r="C43" s="54" t="s">
        <v>100</v>
      </c>
      <c r="D43" s="53" t="s">
        <v>192</v>
      </c>
      <c r="E43" s="56">
        <v>116.93</v>
      </c>
      <c r="F43" s="56">
        <f>SUM(E43*45/1000)</f>
        <v>5.2618500000000008</v>
      </c>
      <c r="G43" s="56">
        <v>458.28</v>
      </c>
      <c r="H43" s="57">
        <f t="shared" si="5"/>
        <v>2.4114006180000001</v>
      </c>
      <c r="I43" s="12">
        <f>F43/6*G43</f>
        <v>401.90010300000006</v>
      </c>
    </row>
    <row r="44" spans="1:9" hidden="1">
      <c r="A44" s="26">
        <v>12</v>
      </c>
      <c r="B44" s="53" t="s">
        <v>68</v>
      </c>
      <c r="C44" s="54" t="s">
        <v>33</v>
      </c>
      <c r="D44" s="53"/>
      <c r="E44" s="55"/>
      <c r="F44" s="56">
        <v>0.9</v>
      </c>
      <c r="G44" s="56">
        <v>798</v>
      </c>
      <c r="H44" s="57">
        <f t="shared" si="5"/>
        <v>0.71820000000000006</v>
      </c>
      <c r="I44" s="12">
        <f>F44/6*G44</f>
        <v>119.69999999999999</v>
      </c>
    </row>
    <row r="45" spans="1:9">
      <c r="A45" s="202" t="s">
        <v>193</v>
      </c>
      <c r="B45" s="203"/>
      <c r="C45" s="203"/>
      <c r="D45" s="203"/>
      <c r="E45" s="203"/>
      <c r="F45" s="203"/>
      <c r="G45" s="203"/>
      <c r="H45" s="203"/>
      <c r="I45" s="204"/>
    </row>
    <row r="46" spans="1:9" hidden="1">
      <c r="A46" s="26">
        <v>12</v>
      </c>
      <c r="B46" s="53" t="s">
        <v>121</v>
      </c>
      <c r="C46" s="54" t="s">
        <v>100</v>
      </c>
      <c r="D46" s="53" t="s">
        <v>41</v>
      </c>
      <c r="E46" s="55">
        <v>1030.4000000000001</v>
      </c>
      <c r="F46" s="56">
        <f>SUM(E46*2/1000)</f>
        <v>2.0608</v>
      </c>
      <c r="G46" s="137">
        <v>1114.1300000000001</v>
      </c>
      <c r="H46" s="57">
        <f t="shared" ref="H46:H55" si="6">SUM(F46*G46/1000)</f>
        <v>2.2959991039999998</v>
      </c>
      <c r="I46" s="12">
        <f t="shared" ref="I46:I48" si="7">F46/2*G46</f>
        <v>1147.999552</v>
      </c>
    </row>
    <row r="47" spans="1:9" hidden="1">
      <c r="A47" s="26">
        <v>13</v>
      </c>
      <c r="B47" s="53" t="s">
        <v>34</v>
      </c>
      <c r="C47" s="54" t="s">
        <v>100</v>
      </c>
      <c r="D47" s="53" t="s">
        <v>41</v>
      </c>
      <c r="E47" s="55">
        <v>132</v>
      </c>
      <c r="F47" s="56">
        <f>E47*2/1000</f>
        <v>0.26400000000000001</v>
      </c>
      <c r="G47" s="137">
        <v>4419.05</v>
      </c>
      <c r="H47" s="57">
        <f t="shared" si="6"/>
        <v>1.1666292</v>
      </c>
      <c r="I47" s="12">
        <f t="shared" si="7"/>
        <v>583.31460000000004</v>
      </c>
    </row>
    <row r="48" spans="1:9" hidden="1">
      <c r="A48" s="26">
        <v>14</v>
      </c>
      <c r="B48" s="53" t="s">
        <v>35</v>
      </c>
      <c r="C48" s="54" t="s">
        <v>100</v>
      </c>
      <c r="D48" s="53" t="s">
        <v>41</v>
      </c>
      <c r="E48" s="55">
        <v>4248.22</v>
      </c>
      <c r="F48" s="56">
        <f>SUM(E48*2/1000)</f>
        <v>8.4964399999999998</v>
      </c>
      <c r="G48" s="137">
        <v>1803.69</v>
      </c>
      <c r="H48" s="57">
        <f t="shared" si="6"/>
        <v>15.3249438636</v>
      </c>
      <c r="I48" s="12">
        <f t="shared" si="7"/>
        <v>7662.4719317999998</v>
      </c>
    </row>
    <row r="49" spans="1:9" hidden="1">
      <c r="A49" s="26">
        <v>15</v>
      </c>
      <c r="B49" s="53" t="s">
        <v>36</v>
      </c>
      <c r="C49" s="54" t="s">
        <v>100</v>
      </c>
      <c r="D49" s="53" t="s">
        <v>41</v>
      </c>
      <c r="E49" s="55">
        <v>2163.66</v>
      </c>
      <c r="F49" s="56">
        <f>SUM(E49*2/1000)</f>
        <v>4.3273199999999994</v>
      </c>
      <c r="G49" s="137">
        <v>1243.43</v>
      </c>
      <c r="H49" s="57">
        <f t="shared" si="6"/>
        <v>5.3807195075999994</v>
      </c>
      <c r="I49" s="12">
        <f>F49/2*G49</f>
        <v>2690.3597537999999</v>
      </c>
    </row>
    <row r="50" spans="1:9" hidden="1">
      <c r="A50" s="26">
        <v>16</v>
      </c>
      <c r="B50" s="53" t="s">
        <v>55</v>
      </c>
      <c r="C50" s="54" t="s">
        <v>100</v>
      </c>
      <c r="D50" s="53" t="s">
        <v>131</v>
      </c>
      <c r="E50" s="55">
        <v>1015.4</v>
      </c>
      <c r="F50" s="56">
        <f>SUM(E50*5/1000)</f>
        <v>5.077</v>
      </c>
      <c r="G50" s="137">
        <v>1083.69</v>
      </c>
      <c r="H50" s="57">
        <f t="shared" si="6"/>
        <v>5.5018941300000002</v>
      </c>
      <c r="I50" s="12">
        <f>3.945*G50</f>
        <v>4275.1570499999998</v>
      </c>
    </row>
    <row r="51" spans="1:9" ht="34.5" customHeight="1">
      <c r="A51" s="26">
        <v>10</v>
      </c>
      <c r="B51" s="53" t="s">
        <v>105</v>
      </c>
      <c r="C51" s="54" t="s">
        <v>100</v>
      </c>
      <c r="D51" s="53" t="s">
        <v>41</v>
      </c>
      <c r="E51" s="177">
        <v>3945</v>
      </c>
      <c r="F51" s="142">
        <f>SUM(E51*2/1000)</f>
        <v>7.89</v>
      </c>
      <c r="G51" s="137">
        <v>1591.6</v>
      </c>
      <c r="H51" s="57">
        <f t="shared" si="6"/>
        <v>12.557723999999999</v>
      </c>
      <c r="I51" s="12">
        <f>G51*F51/2</f>
        <v>6278.8619999999992</v>
      </c>
    </row>
    <row r="52" spans="1:9" ht="28.5" customHeight="1">
      <c r="A52" s="26">
        <v>11</v>
      </c>
      <c r="B52" s="53" t="s">
        <v>106</v>
      </c>
      <c r="C52" s="54" t="s">
        <v>37</v>
      </c>
      <c r="D52" s="53" t="s">
        <v>41</v>
      </c>
      <c r="E52" s="177">
        <v>30</v>
      </c>
      <c r="F52" s="142">
        <f>SUM(E52*2/100)</f>
        <v>0.6</v>
      </c>
      <c r="G52" s="137">
        <v>4058.32</v>
      </c>
      <c r="H52" s="57">
        <f t="shared" si="6"/>
        <v>2.4349920000000003</v>
      </c>
      <c r="I52" s="12">
        <f>G52*F52/2</f>
        <v>1217.4960000000001</v>
      </c>
    </row>
    <row r="53" spans="1:9" ht="15" customHeight="1">
      <c r="A53" s="26">
        <v>12</v>
      </c>
      <c r="B53" s="53" t="s">
        <v>38</v>
      </c>
      <c r="C53" s="54" t="s">
        <v>39</v>
      </c>
      <c r="D53" s="53" t="s">
        <v>41</v>
      </c>
      <c r="E53" s="177">
        <v>1</v>
      </c>
      <c r="F53" s="142">
        <v>0.02</v>
      </c>
      <c r="G53" s="137">
        <v>7412.92</v>
      </c>
      <c r="H53" s="57">
        <f t="shared" si="6"/>
        <v>0.14825839999999998</v>
      </c>
      <c r="I53" s="12">
        <f>G53*F53/2</f>
        <v>74.129199999999997</v>
      </c>
    </row>
    <row r="54" spans="1:9" hidden="1">
      <c r="A54" s="26">
        <v>17</v>
      </c>
      <c r="B54" s="53" t="s">
        <v>120</v>
      </c>
      <c r="C54" s="54" t="s">
        <v>86</v>
      </c>
      <c r="D54" s="53" t="s">
        <v>69</v>
      </c>
      <c r="E54" s="55">
        <v>90</v>
      </c>
      <c r="F54" s="56">
        <f>E54*4</f>
        <v>360</v>
      </c>
      <c r="G54" s="137">
        <v>185.08</v>
      </c>
      <c r="H54" s="57">
        <f>F54*G54/1000</f>
        <v>66.628799999999998</v>
      </c>
      <c r="I54" s="12">
        <f>G54*E54</f>
        <v>16657.2</v>
      </c>
    </row>
    <row r="55" spans="1:9" hidden="1">
      <c r="A55" s="26">
        <v>18</v>
      </c>
      <c r="B55" s="53" t="s">
        <v>40</v>
      </c>
      <c r="C55" s="54" t="s">
        <v>86</v>
      </c>
      <c r="D55" s="53" t="s">
        <v>69</v>
      </c>
      <c r="E55" s="55">
        <v>180</v>
      </c>
      <c r="F55" s="56">
        <f>SUM(E55)*3</f>
        <v>540</v>
      </c>
      <c r="G55" s="141">
        <v>86.15</v>
      </c>
      <c r="H55" s="57">
        <f t="shared" si="6"/>
        <v>46.521000000000001</v>
      </c>
      <c r="I55" s="12">
        <f>G55*E55</f>
        <v>15507.000000000002</v>
      </c>
    </row>
    <row r="56" spans="1:9">
      <c r="A56" s="202" t="s">
        <v>128</v>
      </c>
      <c r="B56" s="203"/>
      <c r="C56" s="203"/>
      <c r="D56" s="203"/>
      <c r="E56" s="203"/>
      <c r="F56" s="203"/>
      <c r="G56" s="203"/>
      <c r="H56" s="203"/>
      <c r="I56" s="204"/>
    </row>
    <row r="57" spans="1:9" hidden="1">
      <c r="A57" s="26"/>
      <c r="B57" s="75" t="s">
        <v>42</v>
      </c>
      <c r="C57" s="54"/>
      <c r="D57" s="53"/>
      <c r="E57" s="55"/>
      <c r="F57" s="56"/>
      <c r="G57" s="56"/>
      <c r="H57" s="57"/>
      <c r="I57" s="12"/>
    </row>
    <row r="58" spans="1:9" ht="30" hidden="1">
      <c r="A58" s="26">
        <v>16</v>
      </c>
      <c r="B58" s="53" t="s">
        <v>194</v>
      </c>
      <c r="C58" s="54" t="s">
        <v>90</v>
      </c>
      <c r="D58" s="53" t="s">
        <v>107</v>
      </c>
      <c r="E58" s="55">
        <v>148.04</v>
      </c>
      <c r="F58" s="56">
        <f>SUM(E58*6/100)</f>
        <v>8.8824000000000005</v>
      </c>
      <c r="G58" s="12">
        <v>1654.04</v>
      </c>
      <c r="H58" s="57">
        <f>SUM(F58*G58/1000)</f>
        <v>14.691844896000001</v>
      </c>
      <c r="I58" s="12">
        <f>F58/6*G58</f>
        <v>2448.6408160000001</v>
      </c>
    </row>
    <row r="59" spans="1:9" ht="30" hidden="1">
      <c r="A59" s="26">
        <v>17</v>
      </c>
      <c r="B59" s="53" t="s">
        <v>84</v>
      </c>
      <c r="C59" s="54" t="s">
        <v>90</v>
      </c>
      <c r="D59" s="53" t="s">
        <v>85</v>
      </c>
      <c r="E59" s="55">
        <v>39.700000000000003</v>
      </c>
      <c r="F59" s="56">
        <f>SUM(E59*12/100)</f>
        <v>4.7640000000000002</v>
      </c>
      <c r="G59" s="12">
        <v>1654.04</v>
      </c>
      <c r="H59" s="57">
        <f>SUM(F59*G59/1000)</f>
        <v>7.8798465599999998</v>
      </c>
      <c r="I59" s="12">
        <f>F59/6*G59</f>
        <v>1313.3077600000001</v>
      </c>
    </row>
    <row r="60" spans="1:9" hidden="1">
      <c r="A60" s="26">
        <v>18</v>
      </c>
      <c r="B60" s="62" t="s">
        <v>122</v>
      </c>
      <c r="C60" s="63" t="s">
        <v>123</v>
      </c>
      <c r="D60" s="62" t="s">
        <v>41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idden="1">
      <c r="A61" s="26">
        <v>19</v>
      </c>
      <c r="B61" s="53" t="s">
        <v>124</v>
      </c>
      <c r="C61" s="54" t="s">
        <v>90</v>
      </c>
      <c r="D61" s="53" t="s">
        <v>107</v>
      </c>
      <c r="E61" s="55">
        <v>41.73</v>
      </c>
      <c r="F61" s="56">
        <f>SUM(E61*6/100)</f>
        <v>2.5038</v>
      </c>
      <c r="G61" s="12">
        <v>1654.04</v>
      </c>
      <c r="H61" s="57">
        <f>SUM(F61*G61/1000)</f>
        <v>4.1413853520000004</v>
      </c>
      <c r="I61" s="12">
        <f>F61/6*G61</f>
        <v>690.23089200000004</v>
      </c>
    </row>
    <row r="62" spans="1:9" ht="18.75" customHeight="1">
      <c r="A62" s="26"/>
      <c r="B62" s="76" t="s">
        <v>43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195</v>
      </c>
      <c r="C63" s="63" t="s">
        <v>51</v>
      </c>
      <c r="D63" s="62" t="s">
        <v>52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8" customHeight="1">
      <c r="A64" s="26">
        <v>13</v>
      </c>
      <c r="B64" s="62" t="s">
        <v>87</v>
      </c>
      <c r="C64" s="63" t="s">
        <v>25</v>
      </c>
      <c r="D64" s="62" t="s">
        <v>30</v>
      </c>
      <c r="E64" s="64">
        <v>203.1</v>
      </c>
      <c r="F64" s="67">
        <f>E64*12</f>
        <v>2437.1999999999998</v>
      </c>
      <c r="G64" s="48">
        <v>1.2</v>
      </c>
      <c r="H64" s="65">
        <f>F64*G64/1000</f>
        <v>2.9246399999999997</v>
      </c>
      <c r="I64" s="12">
        <f>2400/12*G64</f>
        <v>240</v>
      </c>
    </row>
    <row r="65" spans="1:9" ht="16.5" customHeight="1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</row>
    <row r="66" spans="1:9" ht="15" customHeight="1">
      <c r="A66" s="26">
        <v>14</v>
      </c>
      <c r="B66" s="13" t="s">
        <v>45</v>
      </c>
      <c r="C66" s="15" t="s">
        <v>86</v>
      </c>
      <c r="D66" s="13"/>
      <c r="E66" s="17">
        <v>10</v>
      </c>
      <c r="F66" s="56">
        <v>10</v>
      </c>
      <c r="G66" s="137">
        <v>291.68</v>
      </c>
      <c r="H66" s="68">
        <f t="shared" ref="H66:H79" si="8">SUM(F66*G66/1000)</f>
        <v>2.9168000000000003</v>
      </c>
      <c r="I66" s="12">
        <f>G66*2</f>
        <v>583.36</v>
      </c>
    </row>
    <row r="67" spans="1:9" hidden="1">
      <c r="A67" s="26"/>
      <c r="B67" s="13" t="s">
        <v>46</v>
      </c>
      <c r="C67" s="15" t="s">
        <v>86</v>
      </c>
      <c r="D67" s="13" t="s">
        <v>66</v>
      </c>
      <c r="E67" s="17">
        <v>5</v>
      </c>
      <c r="F67" s="56">
        <v>5</v>
      </c>
      <c r="G67" s="12">
        <v>81.510000000000005</v>
      </c>
      <c r="H67" s="68">
        <f t="shared" si="8"/>
        <v>0.40755000000000002</v>
      </c>
      <c r="I67" s="12">
        <v>0</v>
      </c>
    </row>
    <row r="68" spans="1:9" hidden="1">
      <c r="A68" s="26">
        <v>25</v>
      </c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37">
        <v>278.24</v>
      </c>
      <c r="H68" s="68">
        <f t="shared" si="8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48</v>
      </c>
      <c r="C69" s="15" t="s">
        <v>110</v>
      </c>
      <c r="D69" s="13" t="s">
        <v>52</v>
      </c>
      <c r="E69" s="55">
        <v>14205</v>
      </c>
      <c r="F69" s="12">
        <f>SUM(E69/1000)</f>
        <v>14.205</v>
      </c>
      <c r="G69" s="137">
        <v>216.68</v>
      </c>
      <c r="H69" s="68">
        <f t="shared" si="8"/>
        <v>3.0779394</v>
      </c>
      <c r="I69" s="12">
        <f t="shared" ref="I69:I70" si="9">F69*G69</f>
        <v>3077.9394000000002</v>
      </c>
    </row>
    <row r="70" spans="1:9" hidden="1">
      <c r="A70" s="26">
        <v>27</v>
      </c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37">
        <v>2720.94</v>
      </c>
      <c r="H70" s="68">
        <f t="shared" si="8"/>
        <v>57.983231399999994</v>
      </c>
      <c r="I70" s="12">
        <f t="shared" si="9"/>
        <v>57983.231399999997</v>
      </c>
    </row>
    <row r="71" spans="1:9" hidden="1">
      <c r="A71" s="26">
        <v>28</v>
      </c>
      <c r="B71" s="69" t="s">
        <v>111</v>
      </c>
      <c r="C71" s="15" t="s">
        <v>33</v>
      </c>
      <c r="D71" s="13" t="s">
        <v>52</v>
      </c>
      <c r="E71" s="55">
        <v>12.48</v>
      </c>
      <c r="F71" s="12">
        <f>SUM(E71)</f>
        <v>12.48</v>
      </c>
      <c r="G71" s="137">
        <v>44.31</v>
      </c>
      <c r="H71" s="68">
        <f t="shared" si="8"/>
        <v>0.55298880000000006</v>
      </c>
      <c r="I71" s="12">
        <f>7*G71</f>
        <v>310.17</v>
      </c>
    </row>
    <row r="72" spans="1:9" hidden="1">
      <c r="A72" s="26">
        <v>29</v>
      </c>
      <c r="B72" s="69" t="s">
        <v>112</v>
      </c>
      <c r="C72" s="15" t="s">
        <v>33</v>
      </c>
      <c r="D72" s="13" t="s">
        <v>52</v>
      </c>
      <c r="E72" s="55">
        <v>12.48</v>
      </c>
      <c r="F72" s="12">
        <f>SUM(E72)</f>
        <v>12.48</v>
      </c>
      <c r="G72" s="137">
        <v>47.79</v>
      </c>
      <c r="H72" s="68">
        <f t="shared" si="8"/>
        <v>0.59641920000000004</v>
      </c>
      <c r="I72" s="12">
        <f>7*G72</f>
        <v>334.53</v>
      </c>
    </row>
    <row r="73" spans="1:9" hidden="1">
      <c r="A73" s="26">
        <v>21</v>
      </c>
      <c r="B73" s="13" t="s">
        <v>56</v>
      </c>
      <c r="C73" s="15" t="s">
        <v>57</v>
      </c>
      <c r="D73" s="13" t="s">
        <v>52</v>
      </c>
      <c r="E73" s="17">
        <v>5</v>
      </c>
      <c r="F73" s="56">
        <v>6</v>
      </c>
      <c r="G73" s="12">
        <v>65.42</v>
      </c>
      <c r="H73" s="68">
        <f t="shared" si="8"/>
        <v>0.39251999999999998</v>
      </c>
      <c r="I73" s="12">
        <f>F73/1*G73</f>
        <v>392.52</v>
      </c>
    </row>
    <row r="74" spans="1:9" hidden="1">
      <c r="A74" s="26"/>
      <c r="B74" s="165" t="s">
        <v>70</v>
      </c>
      <c r="C74" s="15"/>
      <c r="D74" s="13"/>
      <c r="E74" s="17"/>
      <c r="F74" s="12"/>
      <c r="G74" s="12"/>
      <c r="H74" s="68" t="s">
        <v>125</v>
      </c>
      <c r="I74" s="12"/>
    </row>
    <row r="75" spans="1:9" hidden="1">
      <c r="A75" s="26">
        <v>21</v>
      </c>
      <c r="B75" s="13" t="s">
        <v>71</v>
      </c>
      <c r="C75" s="15" t="s">
        <v>73</v>
      </c>
      <c r="D75" s="13" t="s">
        <v>66</v>
      </c>
      <c r="E75" s="17">
        <v>2</v>
      </c>
      <c r="F75" s="12">
        <v>0.2</v>
      </c>
      <c r="G75" s="12">
        <v>536.23</v>
      </c>
      <c r="H75" s="68">
        <f t="shared" si="8"/>
        <v>0.10724600000000001</v>
      </c>
      <c r="I75" s="12">
        <f>G75*0.1</f>
        <v>53.623000000000005</v>
      </c>
    </row>
    <row r="76" spans="1:9" hidden="1">
      <c r="A76" s="26"/>
      <c r="B76" s="13" t="s">
        <v>72</v>
      </c>
      <c r="C76" s="15" t="s">
        <v>31</v>
      </c>
      <c r="D76" s="13" t="s">
        <v>66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idden="1">
      <c r="A77" s="26"/>
      <c r="B77" s="13" t="s">
        <v>196</v>
      </c>
      <c r="C77" s="15" t="s">
        <v>31</v>
      </c>
      <c r="D77" s="13" t="s">
        <v>66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74</v>
      </c>
      <c r="C78" s="15"/>
      <c r="D78" s="13"/>
      <c r="E78" s="17"/>
      <c r="F78" s="12"/>
      <c r="G78" s="12" t="s">
        <v>125</v>
      </c>
      <c r="H78" s="68" t="s">
        <v>125</v>
      </c>
      <c r="I78" s="12"/>
    </row>
    <row r="79" spans="1:9" hidden="1">
      <c r="A79" s="26">
        <v>22</v>
      </c>
      <c r="B79" s="39" t="s">
        <v>115</v>
      </c>
      <c r="C79" s="15" t="s">
        <v>75</v>
      </c>
      <c r="D79" s="13"/>
      <c r="E79" s="17"/>
      <c r="F79" s="12">
        <v>0.9</v>
      </c>
      <c r="G79" s="12">
        <v>2757.42</v>
      </c>
      <c r="H79" s="68">
        <f t="shared" si="8"/>
        <v>2.4816780000000005</v>
      </c>
      <c r="I79" s="12">
        <f>G79*F79</f>
        <v>2481.6780000000003</v>
      </c>
    </row>
    <row r="80" spans="1:9" ht="16.5" hidden="1" customHeight="1">
      <c r="A80" s="26"/>
      <c r="B80" s="165" t="s">
        <v>113</v>
      </c>
      <c r="C80" s="70"/>
      <c r="D80" s="28"/>
      <c r="E80" s="29"/>
      <c r="F80" s="59"/>
      <c r="G80" s="59"/>
      <c r="H80" s="71">
        <f>SUM(H58:H79)</f>
        <v>150.67953058799998</v>
      </c>
      <c r="I80" s="59"/>
    </row>
    <row r="81" spans="1:9" hidden="1">
      <c r="A81" s="126">
        <v>23</v>
      </c>
      <c r="B81" s="62" t="s">
        <v>114</v>
      </c>
      <c r="C81" s="127"/>
      <c r="D81" s="128"/>
      <c r="E81" s="49"/>
      <c r="F81" s="74">
        <v>1</v>
      </c>
      <c r="G81" s="74">
        <v>27901.200000000001</v>
      </c>
      <c r="H81" s="129">
        <f>G81*F81/1000</f>
        <v>27.901199999999999</v>
      </c>
      <c r="I81" s="74">
        <f>G81</f>
        <v>27901.200000000001</v>
      </c>
    </row>
    <row r="82" spans="1:9" ht="17.25" customHeight="1">
      <c r="A82" s="26"/>
      <c r="B82" s="150" t="s">
        <v>148</v>
      </c>
      <c r="C82" s="140"/>
      <c r="D82" s="13"/>
      <c r="E82" s="17"/>
      <c r="F82" s="12"/>
      <c r="G82" s="12"/>
      <c r="H82" s="12"/>
      <c r="I82" s="12"/>
    </row>
    <row r="83" spans="1:9" ht="35.25" customHeight="1">
      <c r="A83" s="26">
        <v>15</v>
      </c>
      <c r="B83" s="106" t="s">
        <v>149</v>
      </c>
      <c r="C83" s="32" t="s">
        <v>150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29.25" customHeight="1">
      <c r="A84" s="26">
        <v>16</v>
      </c>
      <c r="B84" s="111" t="s">
        <v>151</v>
      </c>
      <c r="C84" s="112" t="s">
        <v>86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10" t="s">
        <v>166</v>
      </c>
      <c r="B85" s="211"/>
      <c r="C85" s="211"/>
      <c r="D85" s="211"/>
      <c r="E85" s="211"/>
      <c r="F85" s="211"/>
      <c r="G85" s="211"/>
      <c r="H85" s="211"/>
      <c r="I85" s="212"/>
    </row>
    <row r="86" spans="1:9" ht="17.25" customHeight="1">
      <c r="A86" s="77">
        <v>17</v>
      </c>
      <c r="B86" s="130" t="s">
        <v>116</v>
      </c>
      <c r="C86" s="131" t="s">
        <v>53</v>
      </c>
      <c r="D86" s="132" t="s">
        <v>54</v>
      </c>
      <c r="E86" s="133">
        <v>3945</v>
      </c>
      <c r="F86" s="133">
        <f>SUM(E86*12)</f>
        <v>47340</v>
      </c>
      <c r="G86" s="138">
        <v>3.1</v>
      </c>
      <c r="H86" s="134">
        <f>SUM(F86*G86/1000)</f>
        <v>146.75399999999999</v>
      </c>
      <c r="I86" s="133">
        <f>F86/12*G86</f>
        <v>12229.5</v>
      </c>
    </row>
    <row r="87" spans="1:9" ht="30.75" customHeight="1">
      <c r="A87" s="26">
        <v>18</v>
      </c>
      <c r="B87" s="13" t="s">
        <v>76</v>
      </c>
      <c r="C87" s="15"/>
      <c r="D87" s="132" t="s">
        <v>54</v>
      </c>
      <c r="E87" s="55">
        <f>E86</f>
        <v>3945</v>
      </c>
      <c r="F87" s="12">
        <f>E87*12</f>
        <v>47340</v>
      </c>
      <c r="G87" s="137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79</v>
      </c>
      <c r="C88" s="32"/>
      <c r="D88" s="14"/>
      <c r="E88" s="14"/>
      <c r="F88" s="17"/>
      <c r="G88" s="135"/>
      <c r="H88" s="71">
        <f>H87</f>
        <v>165.69</v>
      </c>
      <c r="I88" s="29">
        <f>I87+I86+I84+I83+I66+I64+I53+I52+I51+I33+I32+I30+I29+I26+I25+I18+I17+I16</f>
        <v>77230.26135577778</v>
      </c>
    </row>
    <row r="89" spans="1:9">
      <c r="A89" s="207" t="s">
        <v>59</v>
      </c>
      <c r="B89" s="208"/>
      <c r="C89" s="208"/>
      <c r="D89" s="208"/>
      <c r="E89" s="208"/>
      <c r="F89" s="208"/>
      <c r="G89" s="208"/>
      <c r="H89" s="208"/>
      <c r="I89" s="209"/>
    </row>
    <row r="90" spans="1:9" ht="30">
      <c r="A90" s="26">
        <v>19</v>
      </c>
      <c r="B90" s="111" t="s">
        <v>247</v>
      </c>
      <c r="C90" s="112" t="s">
        <v>86</v>
      </c>
      <c r="D90" s="39"/>
      <c r="E90" s="12"/>
      <c r="F90" s="12">
        <v>2</v>
      </c>
      <c r="G90" s="107">
        <v>864.9</v>
      </c>
      <c r="H90" s="12">
        <f t="shared" ref="H90:H108" si="10">G90*F90/1000</f>
        <v>1.7298</v>
      </c>
      <c r="I90" s="74">
        <f>G90*1</f>
        <v>864.9</v>
      </c>
    </row>
    <row r="91" spans="1:9">
      <c r="A91" s="26">
        <v>20</v>
      </c>
      <c r="B91" s="111" t="s">
        <v>248</v>
      </c>
      <c r="C91" s="112" t="s">
        <v>86</v>
      </c>
      <c r="D91" s="39"/>
      <c r="E91" s="12"/>
      <c r="F91" s="12"/>
      <c r="G91" s="107">
        <v>53.17</v>
      </c>
      <c r="H91" s="68"/>
      <c r="I91" s="74">
        <f>G91*1</f>
        <v>53.17</v>
      </c>
    </row>
    <row r="92" spans="1:9">
      <c r="A92" s="26">
        <v>21</v>
      </c>
      <c r="B92" s="111" t="s">
        <v>221</v>
      </c>
      <c r="C92" s="112" t="s">
        <v>86</v>
      </c>
      <c r="D92" s="39"/>
      <c r="E92" s="12"/>
      <c r="F92" s="12"/>
      <c r="G92" s="107">
        <v>109.73</v>
      </c>
      <c r="H92" s="68"/>
      <c r="I92" s="74">
        <f>G92*2</f>
        <v>219.46</v>
      </c>
    </row>
    <row r="93" spans="1:9">
      <c r="A93" s="26">
        <v>22</v>
      </c>
      <c r="B93" s="111" t="s">
        <v>222</v>
      </c>
      <c r="C93" s="112" t="s">
        <v>86</v>
      </c>
      <c r="D93" s="39"/>
      <c r="E93" s="12"/>
      <c r="F93" s="12"/>
      <c r="G93" s="107">
        <v>89.15</v>
      </c>
      <c r="H93" s="68"/>
      <c r="I93" s="74">
        <f>G93*1</f>
        <v>89.15</v>
      </c>
    </row>
    <row r="94" spans="1:9">
      <c r="A94" s="26">
        <v>23</v>
      </c>
      <c r="B94" s="111" t="s">
        <v>223</v>
      </c>
      <c r="C94" s="112" t="s">
        <v>86</v>
      </c>
      <c r="D94" s="39"/>
      <c r="E94" s="12"/>
      <c r="F94" s="12"/>
      <c r="G94" s="107">
        <v>78.89</v>
      </c>
      <c r="H94" s="68"/>
      <c r="I94" s="74">
        <f>G94*1</f>
        <v>78.89</v>
      </c>
    </row>
    <row r="95" spans="1:9" ht="16.5" customHeight="1">
      <c r="A95" s="26">
        <v>24</v>
      </c>
      <c r="B95" s="111" t="s">
        <v>249</v>
      </c>
      <c r="C95" s="112" t="s">
        <v>250</v>
      </c>
      <c r="D95" s="39"/>
      <c r="E95" s="12"/>
      <c r="F95" s="12"/>
      <c r="G95" s="107">
        <v>24829.08</v>
      </c>
      <c r="H95" s="68"/>
      <c r="I95" s="74">
        <f>G95*0.02</f>
        <v>496.58160000000004</v>
      </c>
    </row>
    <row r="96" spans="1:9" hidden="1">
      <c r="A96" s="26">
        <v>20</v>
      </c>
      <c r="B96" s="111"/>
      <c r="C96" s="112"/>
      <c r="D96" s="39"/>
      <c r="E96" s="12"/>
      <c r="F96" s="12"/>
      <c r="G96" s="107"/>
      <c r="H96" s="68"/>
      <c r="I96" s="74"/>
    </row>
    <row r="97" spans="1:9" hidden="1">
      <c r="A97" s="26">
        <v>21</v>
      </c>
      <c r="B97" s="111"/>
      <c r="C97" s="112"/>
      <c r="D97" s="39"/>
      <c r="E97" s="12"/>
      <c r="F97" s="12"/>
      <c r="G97" s="107"/>
      <c r="H97" s="68"/>
      <c r="I97" s="74"/>
    </row>
    <row r="98" spans="1:9" hidden="1">
      <c r="A98" s="26">
        <v>22</v>
      </c>
      <c r="B98" s="111"/>
      <c r="C98" s="112"/>
      <c r="D98" s="39"/>
      <c r="E98" s="12"/>
      <c r="F98" s="12"/>
      <c r="G98" s="107"/>
      <c r="H98" s="68"/>
      <c r="I98" s="74"/>
    </row>
    <row r="99" spans="1:9" hidden="1">
      <c r="A99" s="26">
        <v>23</v>
      </c>
      <c r="B99" s="72"/>
      <c r="C99" s="109"/>
      <c r="D99" s="39"/>
      <c r="E99" s="12"/>
      <c r="F99" s="12"/>
      <c r="G99" s="107"/>
      <c r="H99" s="68"/>
      <c r="I99" s="74"/>
    </row>
    <row r="100" spans="1:9" hidden="1">
      <c r="A100" s="26">
        <v>24</v>
      </c>
      <c r="B100" s="72"/>
      <c r="C100" s="109"/>
      <c r="D100" s="39"/>
      <c r="E100" s="12"/>
      <c r="F100" s="12"/>
      <c r="G100" s="107"/>
      <c r="H100" s="68"/>
      <c r="I100" s="74"/>
    </row>
    <row r="101" spans="1:9" hidden="1">
      <c r="A101" s="26">
        <v>25</v>
      </c>
      <c r="B101" s="72"/>
      <c r="C101" s="109"/>
      <c r="D101" s="39"/>
      <c r="E101" s="12"/>
      <c r="F101" s="12"/>
      <c r="G101" s="107"/>
      <c r="H101" s="68"/>
      <c r="I101" s="74"/>
    </row>
    <row r="102" spans="1:9" hidden="1">
      <c r="A102" s="26">
        <v>26</v>
      </c>
      <c r="B102" s="72"/>
      <c r="C102" s="109"/>
      <c r="D102" s="39"/>
      <c r="E102" s="12"/>
      <c r="F102" s="12"/>
      <c r="G102" s="107"/>
      <c r="H102" s="68"/>
      <c r="I102" s="74"/>
    </row>
    <row r="103" spans="1:9" hidden="1">
      <c r="A103" s="26">
        <v>27</v>
      </c>
      <c r="B103" s="72"/>
      <c r="C103" s="109"/>
      <c r="D103" s="39"/>
      <c r="E103" s="12"/>
      <c r="F103" s="12"/>
      <c r="G103" s="107"/>
      <c r="H103" s="68"/>
      <c r="I103" s="74"/>
    </row>
    <row r="104" spans="1:9" hidden="1">
      <c r="A104" s="26">
        <v>28</v>
      </c>
      <c r="B104" s="72"/>
      <c r="C104" s="109"/>
      <c r="D104" s="39"/>
      <c r="E104" s="12"/>
      <c r="F104" s="12"/>
      <c r="G104" s="107"/>
      <c r="H104" s="68"/>
      <c r="I104" s="74"/>
    </row>
    <row r="105" spans="1:9" hidden="1">
      <c r="A105" s="26">
        <v>29</v>
      </c>
      <c r="B105" s="72"/>
      <c r="C105" s="109"/>
      <c r="D105" s="39"/>
      <c r="E105" s="12"/>
      <c r="F105" s="12"/>
      <c r="G105" s="107"/>
      <c r="H105" s="68"/>
      <c r="I105" s="74"/>
    </row>
    <row r="106" spans="1:9" hidden="1">
      <c r="A106" s="26">
        <v>30</v>
      </c>
      <c r="B106" s="72"/>
      <c r="C106" s="109"/>
      <c r="D106" s="39"/>
      <c r="E106" s="12"/>
      <c r="F106" s="12"/>
      <c r="G106" s="107"/>
      <c r="H106" s="68"/>
      <c r="I106" s="74"/>
    </row>
    <row r="107" spans="1:9" hidden="1">
      <c r="A107" s="26"/>
      <c r="B107" s="157"/>
      <c r="C107" s="158"/>
      <c r="D107" s="39"/>
      <c r="E107" s="12"/>
      <c r="F107" s="12"/>
      <c r="G107" s="137"/>
      <c r="H107" s="68"/>
      <c r="I107" s="74"/>
    </row>
    <row r="108" spans="1:9" hidden="1">
      <c r="A108" s="26">
        <v>16</v>
      </c>
      <c r="B108" s="72"/>
      <c r="C108" s="73"/>
      <c r="D108" s="39"/>
      <c r="E108" s="12"/>
      <c r="F108" s="12">
        <v>1</v>
      </c>
      <c r="G108" s="107"/>
      <c r="H108" s="68">
        <f t="shared" si="10"/>
        <v>0</v>
      </c>
      <c r="I108" s="74"/>
    </row>
    <row r="109" spans="1:9" ht="16.5" customHeight="1">
      <c r="A109" s="26"/>
      <c r="B109" s="37" t="s">
        <v>50</v>
      </c>
      <c r="C109" s="33"/>
      <c r="D109" s="40"/>
      <c r="E109" s="33">
        <v>1</v>
      </c>
      <c r="F109" s="33"/>
      <c r="G109" s="33"/>
      <c r="H109" s="33"/>
      <c r="I109" s="29">
        <f>SUM(I90:I108)</f>
        <v>1802.1516000000001</v>
      </c>
    </row>
    <row r="110" spans="1:9">
      <c r="A110" s="26"/>
      <c r="B110" s="39" t="s">
        <v>77</v>
      </c>
      <c r="C110" s="14"/>
      <c r="D110" s="14"/>
      <c r="E110" s="34"/>
      <c r="F110" s="34"/>
      <c r="G110" s="35"/>
      <c r="H110" s="35"/>
      <c r="I110" s="16">
        <v>0</v>
      </c>
    </row>
    <row r="111" spans="1:9">
      <c r="A111" s="41"/>
      <c r="B111" s="38" t="s">
        <v>197</v>
      </c>
      <c r="C111" s="30"/>
      <c r="D111" s="30"/>
      <c r="E111" s="30"/>
      <c r="F111" s="30"/>
      <c r="G111" s="30"/>
      <c r="H111" s="30"/>
      <c r="I111" s="36">
        <f>I88+I109</f>
        <v>79032.412955777778</v>
      </c>
    </row>
    <row r="112" spans="1:9" ht="15.75">
      <c r="A112" s="206" t="s">
        <v>251</v>
      </c>
      <c r="B112" s="206"/>
      <c r="C112" s="206"/>
      <c r="D112" s="206"/>
      <c r="E112" s="206"/>
      <c r="F112" s="206"/>
      <c r="G112" s="206"/>
      <c r="H112" s="206"/>
      <c r="I112" s="206"/>
    </row>
    <row r="113" spans="1:9" ht="15.75">
      <c r="A113" s="78"/>
      <c r="B113" s="213" t="s">
        <v>252</v>
      </c>
      <c r="C113" s="213"/>
      <c r="D113" s="213"/>
      <c r="E113" s="213"/>
      <c r="F113" s="213"/>
      <c r="G113" s="213"/>
      <c r="H113" s="52"/>
      <c r="I113" s="3"/>
    </row>
    <row r="114" spans="1:9">
      <c r="A114" s="170"/>
      <c r="B114" s="214" t="s">
        <v>6</v>
      </c>
      <c r="C114" s="214"/>
      <c r="D114" s="214"/>
      <c r="E114" s="214"/>
      <c r="F114" s="214"/>
      <c r="G114" s="214"/>
      <c r="H114" s="21"/>
      <c r="I114" s="5"/>
    </row>
    <row r="115" spans="1:9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5.75">
      <c r="A116" s="215" t="s">
        <v>7</v>
      </c>
      <c r="B116" s="215"/>
      <c r="C116" s="215"/>
      <c r="D116" s="215"/>
      <c r="E116" s="215"/>
      <c r="F116" s="215"/>
      <c r="G116" s="215"/>
      <c r="H116" s="215"/>
      <c r="I116" s="215"/>
    </row>
    <row r="117" spans="1:9" ht="15.75">
      <c r="A117" s="215" t="s">
        <v>8</v>
      </c>
      <c r="B117" s="215"/>
      <c r="C117" s="215"/>
      <c r="D117" s="215"/>
      <c r="E117" s="215"/>
      <c r="F117" s="215"/>
      <c r="G117" s="215"/>
      <c r="H117" s="215"/>
      <c r="I117" s="215"/>
    </row>
    <row r="118" spans="1:9" ht="15.75">
      <c r="A118" s="216" t="s">
        <v>60</v>
      </c>
      <c r="B118" s="216"/>
      <c r="C118" s="216"/>
      <c r="D118" s="216"/>
      <c r="E118" s="216"/>
      <c r="F118" s="216"/>
      <c r="G118" s="216"/>
      <c r="H118" s="216"/>
      <c r="I118" s="216"/>
    </row>
    <row r="119" spans="1:9" ht="15.75">
      <c r="A119" s="10"/>
    </row>
    <row r="120" spans="1:9" ht="15.75">
      <c r="A120" s="200" t="s">
        <v>9</v>
      </c>
      <c r="B120" s="200"/>
      <c r="C120" s="200"/>
      <c r="D120" s="200"/>
      <c r="E120" s="200"/>
      <c r="F120" s="200"/>
      <c r="G120" s="200"/>
      <c r="H120" s="200"/>
      <c r="I120" s="200"/>
    </row>
    <row r="121" spans="1:9" ht="15.75">
      <c r="A121" s="4"/>
    </row>
    <row r="122" spans="1:9" ht="15.75">
      <c r="B122" s="168" t="s">
        <v>10</v>
      </c>
      <c r="C122" s="218" t="s">
        <v>83</v>
      </c>
      <c r="D122" s="218"/>
      <c r="E122" s="218"/>
      <c r="F122" s="50"/>
      <c r="I122" s="169"/>
    </row>
    <row r="123" spans="1:9">
      <c r="A123" s="170"/>
      <c r="C123" s="214" t="s">
        <v>11</v>
      </c>
      <c r="D123" s="214"/>
      <c r="E123" s="214"/>
      <c r="F123" s="21"/>
      <c r="I123" s="167" t="s">
        <v>12</v>
      </c>
    </row>
    <row r="124" spans="1:9" ht="15.75">
      <c r="A124" s="22"/>
      <c r="C124" s="11"/>
      <c r="D124" s="11"/>
      <c r="G124" s="11"/>
      <c r="H124" s="11"/>
    </row>
    <row r="125" spans="1:9" ht="15.75">
      <c r="B125" s="168" t="s">
        <v>13</v>
      </c>
      <c r="C125" s="219"/>
      <c r="D125" s="219"/>
      <c r="E125" s="219"/>
      <c r="F125" s="51"/>
      <c r="I125" s="169"/>
    </row>
    <row r="126" spans="1:9">
      <c r="A126" s="170"/>
      <c r="C126" s="220" t="s">
        <v>11</v>
      </c>
      <c r="D126" s="220"/>
      <c r="E126" s="220"/>
      <c r="F126" s="170"/>
      <c r="I126" s="167" t="s">
        <v>12</v>
      </c>
    </row>
    <row r="127" spans="1:9" ht="15.75">
      <c r="A127" s="4" t="s">
        <v>14</v>
      </c>
    </row>
    <row r="128" spans="1:9">
      <c r="A128" s="221" t="s">
        <v>15</v>
      </c>
      <c r="B128" s="221"/>
      <c r="C128" s="221"/>
      <c r="D128" s="221"/>
      <c r="E128" s="221"/>
      <c r="F128" s="221"/>
      <c r="G128" s="221"/>
      <c r="H128" s="221"/>
      <c r="I128" s="221"/>
    </row>
    <row r="129" spans="1:9" ht="42.75" customHeight="1">
      <c r="A129" s="217" t="s">
        <v>16</v>
      </c>
      <c r="B129" s="217"/>
      <c r="C129" s="217"/>
      <c r="D129" s="217"/>
      <c r="E129" s="217"/>
      <c r="F129" s="217"/>
      <c r="G129" s="217"/>
      <c r="H129" s="217"/>
      <c r="I129" s="217"/>
    </row>
    <row r="130" spans="1:9" ht="37.5" customHeight="1">
      <c r="A130" s="217" t="s">
        <v>17</v>
      </c>
      <c r="B130" s="217"/>
      <c r="C130" s="217"/>
      <c r="D130" s="217"/>
      <c r="E130" s="217"/>
      <c r="F130" s="217"/>
      <c r="G130" s="217"/>
      <c r="H130" s="217"/>
      <c r="I130" s="217"/>
    </row>
    <row r="131" spans="1:9" ht="39.75" customHeight="1">
      <c r="A131" s="217" t="s">
        <v>21</v>
      </c>
      <c r="B131" s="217"/>
      <c r="C131" s="217"/>
      <c r="D131" s="217"/>
      <c r="E131" s="217"/>
      <c r="F131" s="217"/>
      <c r="G131" s="217"/>
      <c r="H131" s="217"/>
      <c r="I131" s="217"/>
    </row>
    <row r="132" spans="1:9" ht="15.75">
      <c r="A132" s="217" t="s">
        <v>20</v>
      </c>
      <c r="B132" s="217"/>
      <c r="C132" s="217"/>
      <c r="D132" s="217"/>
      <c r="E132" s="217"/>
      <c r="F132" s="217"/>
      <c r="G132" s="217"/>
      <c r="H132" s="217"/>
      <c r="I132" s="217"/>
    </row>
  </sheetData>
  <mergeCells count="28">
    <mergeCell ref="A14:I14"/>
    <mergeCell ref="A3:I3"/>
    <mergeCell ref="A4:I4"/>
    <mergeCell ref="A5:I5"/>
    <mergeCell ref="A8:I8"/>
    <mergeCell ref="A10:I10"/>
    <mergeCell ref="A118:I118"/>
    <mergeCell ref="A15:I15"/>
    <mergeCell ref="A27:I27"/>
    <mergeCell ref="A45:I45"/>
    <mergeCell ref="A56:I56"/>
    <mergeCell ref="A85:I85"/>
    <mergeCell ref="A89:I89"/>
    <mergeCell ref="A112:I112"/>
    <mergeCell ref="B113:G113"/>
    <mergeCell ref="B114:G114"/>
    <mergeCell ref="A116:I116"/>
    <mergeCell ref="A117:I117"/>
    <mergeCell ref="A129:I129"/>
    <mergeCell ref="A130:I130"/>
    <mergeCell ref="A131:I131"/>
    <mergeCell ref="A132:I132"/>
    <mergeCell ref="A120:I120"/>
    <mergeCell ref="C122:E122"/>
    <mergeCell ref="C123:E123"/>
    <mergeCell ref="C125:E125"/>
    <mergeCell ref="C126:E126"/>
    <mergeCell ref="A128:I128"/>
  </mergeCells>
  <pageMargins left="0.70866141732283472" right="0.11811023622047245" top="0.35433070866141736" bottom="0.15748031496062992" header="0.31496062992125984" footer="0.31496062992125984"/>
  <pageSetup paperSize="9" scale="6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6"/>
  <sheetViews>
    <sheetView view="pageBreakPreview" topLeftCell="A95" zoomScale="60" workbookViewId="0">
      <selection activeCell="K125" sqref="K125"/>
    </sheetView>
  </sheetViews>
  <sheetFormatPr defaultRowHeight="15"/>
  <cols>
    <col min="1" max="1" width="10.5703125" customWidth="1"/>
    <col min="2" max="2" width="50.140625" customWidth="1"/>
    <col min="3" max="3" width="17.85546875" customWidth="1"/>
    <col min="4" max="4" width="17.7109375" customWidth="1"/>
    <col min="5" max="5" width="10" hidden="1" customWidth="1"/>
    <col min="6" max="6" width="13.85546875" hidden="1" customWidth="1"/>
    <col min="7" max="7" width="16.85546875" customWidth="1"/>
    <col min="8" max="8" width="0" hidden="1" customWidth="1"/>
    <col min="9" max="9" width="15.7109375" customWidth="1"/>
  </cols>
  <sheetData>
    <row r="1" spans="1:9" ht="15.75">
      <c r="A1" s="24" t="s">
        <v>207</v>
      </c>
      <c r="I1" s="23"/>
    </row>
    <row r="2" spans="1:9" ht="15.75">
      <c r="A2" s="25" t="s">
        <v>61</v>
      </c>
    </row>
    <row r="3" spans="1:9" ht="15.75">
      <c r="A3" s="195" t="s">
        <v>255</v>
      </c>
      <c r="B3" s="195"/>
      <c r="C3" s="195"/>
      <c r="D3" s="195"/>
      <c r="E3" s="195"/>
      <c r="F3" s="195"/>
      <c r="G3" s="195"/>
      <c r="H3" s="195"/>
      <c r="I3" s="195"/>
    </row>
    <row r="4" spans="1:9" ht="30.75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9" ht="15.75">
      <c r="A5" s="195" t="s">
        <v>256</v>
      </c>
      <c r="B5" s="197"/>
      <c r="C5" s="197"/>
      <c r="D5" s="197"/>
      <c r="E5" s="197"/>
      <c r="F5" s="197"/>
      <c r="G5" s="197"/>
      <c r="H5" s="197"/>
      <c r="I5" s="197"/>
    </row>
    <row r="6" spans="1:9" ht="15.75">
      <c r="A6" s="2"/>
      <c r="B6" s="176"/>
      <c r="C6" s="176"/>
      <c r="D6" s="176"/>
      <c r="E6" s="176"/>
      <c r="F6" s="176"/>
      <c r="G6" s="176"/>
      <c r="H6" s="176"/>
      <c r="I6" s="27">
        <v>43434</v>
      </c>
    </row>
    <row r="7" spans="1:9" ht="15.75">
      <c r="B7" s="174"/>
      <c r="C7" s="174"/>
      <c r="D7" s="174"/>
      <c r="E7" s="3"/>
      <c r="F7" s="3"/>
      <c r="G7" s="3"/>
      <c r="H7" s="3"/>
    </row>
    <row r="8" spans="1:9" ht="102" customHeight="1">
      <c r="A8" s="198" t="s">
        <v>210</v>
      </c>
      <c r="B8" s="198"/>
      <c r="C8" s="198"/>
      <c r="D8" s="198"/>
      <c r="E8" s="198"/>
      <c r="F8" s="198"/>
      <c r="G8" s="198"/>
      <c r="H8" s="198"/>
      <c r="I8" s="198"/>
    </row>
    <row r="9" spans="1:9" ht="15.75">
      <c r="A9" s="4"/>
    </row>
    <row r="10" spans="1:9" ht="69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</row>
    <row r="11" spans="1:9" ht="15.75">
      <c r="A11" s="4"/>
    </row>
    <row r="12" spans="1:9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</row>
    <row r="15" spans="1:9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</row>
    <row r="16" spans="1:9" ht="19.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142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7.25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142">
        <v>230</v>
      </c>
      <c r="H17" s="57">
        <f t="shared" si="0"/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142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91</v>
      </c>
      <c r="C19" s="54" t="s">
        <v>92</v>
      </c>
      <c r="D19" s="53" t="s">
        <v>93</v>
      </c>
      <c r="E19" s="55">
        <v>93.4</v>
      </c>
      <c r="F19" s="56">
        <f>SUM(E19/10)</f>
        <v>9.34</v>
      </c>
      <c r="G19" s="142">
        <v>223.17</v>
      </c>
      <c r="H19" s="57">
        <f t="shared" si="0"/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142">
        <v>285.76</v>
      </c>
      <c r="H20" s="57">
        <f t="shared" si="0"/>
        <v>0.24689664000000003</v>
      </c>
      <c r="I20" s="12">
        <f t="shared" ref="I20:I21" si="1">F20/2*G20</f>
        <v>123.44832000000001</v>
      </c>
    </row>
    <row r="21" spans="1:9" hidden="1">
      <c r="A21" s="26">
        <v>5</v>
      </c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142">
        <v>283.44</v>
      </c>
      <c r="H21" s="57">
        <f t="shared" si="0"/>
        <v>5.7141503999999996E-2</v>
      </c>
      <c r="I21" s="12">
        <f t="shared" si="1"/>
        <v>28.570751999999999</v>
      </c>
    </row>
    <row r="22" spans="1:9" hidden="1">
      <c r="A22" s="26">
        <v>7</v>
      </c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142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142">
        <v>58.08</v>
      </c>
      <c r="H23" s="57">
        <f t="shared" si="0"/>
        <v>2.0490623999999999E-2</v>
      </c>
      <c r="I23" s="12">
        <f t="shared" ref="I23:I24" si="2">F23*G23</f>
        <v>20.490624</v>
      </c>
    </row>
    <row r="24" spans="1:9" hidden="1">
      <c r="A24" s="26">
        <v>9</v>
      </c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142">
        <v>683.05</v>
      </c>
      <c r="H24" s="57">
        <f t="shared" si="0"/>
        <v>0.19671840000000002</v>
      </c>
      <c r="I24" s="12">
        <f t="shared" si="2"/>
        <v>196.7184</v>
      </c>
    </row>
    <row r="25" spans="1:9" ht="18.75" customHeight="1">
      <c r="A25" s="26">
        <v>4</v>
      </c>
      <c r="B25" s="53" t="s">
        <v>63</v>
      </c>
      <c r="C25" s="54" t="s">
        <v>33</v>
      </c>
      <c r="D25" s="53" t="s">
        <v>184</v>
      </c>
      <c r="E25" s="55">
        <v>0.1</v>
      </c>
      <c r="F25" s="56">
        <f>SUM(E25*365)</f>
        <v>36.5</v>
      </c>
      <c r="G25" s="142">
        <v>264.85000000000002</v>
      </c>
      <c r="H25" s="57">
        <f>SUM(F25*G25/1000)</f>
        <v>9.6670250000000006</v>
      </c>
      <c r="I25" s="12">
        <f>15.5/12*G25</f>
        <v>342.09791666666672</v>
      </c>
    </row>
    <row r="26" spans="1:9" hidden="1">
      <c r="A26" s="26">
        <v>5</v>
      </c>
      <c r="B26" s="61" t="s">
        <v>23</v>
      </c>
      <c r="C26" s="54" t="s">
        <v>24</v>
      </c>
      <c r="D26" s="53" t="s">
        <v>184</v>
      </c>
      <c r="E26" s="55">
        <v>3945</v>
      </c>
      <c r="F26" s="56">
        <f>SUM(E26*12)</f>
        <v>47340</v>
      </c>
      <c r="G26" s="142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02" t="s">
        <v>185</v>
      </c>
      <c r="B27" s="203"/>
      <c r="C27" s="203"/>
      <c r="D27" s="203"/>
      <c r="E27" s="203"/>
      <c r="F27" s="203"/>
      <c r="G27" s="203"/>
      <c r="H27" s="203"/>
      <c r="I27" s="204"/>
    </row>
    <row r="28" spans="1:9" hidden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idden="1">
      <c r="A29" s="26">
        <v>6</v>
      </c>
      <c r="B29" s="53" t="s">
        <v>99</v>
      </c>
      <c r="C29" s="54" t="s">
        <v>186</v>
      </c>
      <c r="D29" s="53" t="s">
        <v>138</v>
      </c>
      <c r="E29" s="56">
        <v>1044.6500000000001</v>
      </c>
      <c r="F29" s="56">
        <f>SUM(E29*52/1000)</f>
        <v>54.321800000000003</v>
      </c>
      <c r="G29" s="142">
        <v>204.44</v>
      </c>
      <c r="H29" s="57">
        <f t="shared" ref="H29:H35" si="3">SUM(F29*G29/1000)</f>
        <v>11.105548792000002</v>
      </c>
      <c r="I29" s="12">
        <f>17.064/6*G29</f>
        <v>581.42736000000002</v>
      </c>
    </row>
    <row r="30" spans="1:9" ht="45" hidden="1">
      <c r="A30" s="26">
        <v>7</v>
      </c>
      <c r="B30" s="53" t="s">
        <v>127</v>
      </c>
      <c r="C30" s="54" t="s">
        <v>100</v>
      </c>
      <c r="D30" s="53" t="s">
        <v>139</v>
      </c>
      <c r="E30" s="56">
        <v>116.93</v>
      </c>
      <c r="F30" s="56">
        <f>SUM(E30*78/1000)</f>
        <v>9.1205400000000001</v>
      </c>
      <c r="G30" s="142">
        <v>339.21</v>
      </c>
      <c r="H30" s="57">
        <f t="shared" si="3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100</v>
      </c>
      <c r="D31" s="53" t="s">
        <v>52</v>
      </c>
      <c r="E31" s="56">
        <v>1044.6500000000001</v>
      </c>
      <c r="F31" s="56">
        <f>SUM(E31/1000)</f>
        <v>1.0446500000000001</v>
      </c>
      <c r="G31" s="142">
        <v>3961.23</v>
      </c>
      <c r="H31" s="57">
        <f t="shared" si="3"/>
        <v>4.1380989195</v>
      </c>
      <c r="I31" s="12">
        <f>0.3555*G31</f>
        <v>1408.217265</v>
      </c>
    </row>
    <row r="32" spans="1:9" hidden="1">
      <c r="A32" s="26">
        <v>8</v>
      </c>
      <c r="B32" s="53" t="s">
        <v>118</v>
      </c>
      <c r="C32" s="54" t="s">
        <v>39</v>
      </c>
      <c r="D32" s="53" t="s">
        <v>140</v>
      </c>
      <c r="E32" s="56">
        <v>6</v>
      </c>
      <c r="F32" s="56">
        <v>9.3000000000000007</v>
      </c>
      <c r="G32" s="142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>
        <v>9</v>
      </c>
      <c r="B33" s="53" t="s">
        <v>101</v>
      </c>
      <c r="C33" s="54" t="s">
        <v>31</v>
      </c>
      <c r="D33" s="53" t="s">
        <v>62</v>
      </c>
      <c r="E33" s="60">
        <v>0.33333333333333331</v>
      </c>
      <c r="F33" s="56">
        <f>155/3</f>
        <v>51.666666666666664</v>
      </c>
      <c r="G33" s="142">
        <v>74.349999999999994</v>
      </c>
      <c r="H33" s="57">
        <f>SUM(G33*155/3/1000)</f>
        <v>3.8414166666666665</v>
      </c>
      <c r="I33" s="12">
        <f t="shared" ref="I33" si="4">F33/6*G33</f>
        <v>640.23611111111109</v>
      </c>
    </row>
    <row r="34" spans="1:9" hidden="1">
      <c r="A34" s="26"/>
      <c r="B34" s="53" t="s">
        <v>64</v>
      </c>
      <c r="C34" s="54" t="s">
        <v>33</v>
      </c>
      <c r="D34" s="53" t="s">
        <v>66</v>
      </c>
      <c r="E34" s="55"/>
      <c r="F34" s="56">
        <v>3</v>
      </c>
      <c r="G34" s="56">
        <v>204.52</v>
      </c>
      <c r="H34" s="57">
        <f t="shared" si="3"/>
        <v>0.61356000000000011</v>
      </c>
      <c r="I34" s="12">
        <v>0</v>
      </c>
    </row>
    <row r="35" spans="1:9" hidden="1">
      <c r="A35" s="26"/>
      <c r="B35" s="53" t="s">
        <v>65</v>
      </c>
      <c r="C35" s="54" t="s">
        <v>32</v>
      </c>
      <c r="D35" s="53" t="s">
        <v>66</v>
      </c>
      <c r="E35" s="55"/>
      <c r="F35" s="56">
        <v>2</v>
      </c>
      <c r="G35" s="56">
        <v>1136.33</v>
      </c>
      <c r="H35" s="57">
        <f t="shared" si="3"/>
        <v>2.2726599999999997</v>
      </c>
      <c r="I35" s="12">
        <v>0</v>
      </c>
    </row>
    <row r="36" spans="1:9" ht="18" customHeight="1">
      <c r="A36" s="26"/>
      <c r="B36" s="75" t="s">
        <v>5</v>
      </c>
      <c r="C36" s="54"/>
      <c r="D36" s="53"/>
      <c r="E36" s="177"/>
      <c r="F36" s="142"/>
      <c r="G36" s="142"/>
      <c r="H36" s="57" t="s">
        <v>125</v>
      </c>
      <c r="I36" s="12"/>
    </row>
    <row r="37" spans="1:9" ht="18" customHeight="1">
      <c r="A37" s="26">
        <v>5</v>
      </c>
      <c r="B37" s="53" t="s">
        <v>26</v>
      </c>
      <c r="C37" s="54" t="s">
        <v>32</v>
      </c>
      <c r="D37" s="53"/>
      <c r="E37" s="177"/>
      <c r="F37" s="142">
        <v>3</v>
      </c>
      <c r="G37" s="142">
        <v>2003</v>
      </c>
      <c r="H37" s="57">
        <f t="shared" ref="H37:H44" si="5">SUM(F37*G37/1000)</f>
        <v>6.0090000000000003</v>
      </c>
      <c r="I37" s="12">
        <f>F37/6*G37</f>
        <v>1001.5</v>
      </c>
    </row>
    <row r="38" spans="1:9" ht="16.5" customHeight="1">
      <c r="A38" s="26">
        <v>6</v>
      </c>
      <c r="B38" s="53" t="s">
        <v>143</v>
      </c>
      <c r="C38" s="54" t="s">
        <v>29</v>
      </c>
      <c r="D38" s="53" t="s">
        <v>188</v>
      </c>
      <c r="E38" s="177">
        <v>111.6</v>
      </c>
      <c r="F38" s="179">
        <f>E38*30/1000</f>
        <v>3.3479999999999999</v>
      </c>
      <c r="G38" s="142">
        <v>2757.78</v>
      </c>
      <c r="H38" s="57">
        <f>G38*F38/1000</f>
        <v>9.23304744</v>
      </c>
      <c r="I38" s="12">
        <f>F38/6*G38</f>
        <v>1538.84124</v>
      </c>
    </row>
    <row r="39" spans="1:9" ht="19.5" hidden="1" customHeight="1">
      <c r="A39" s="26">
        <v>8</v>
      </c>
      <c r="B39" s="53" t="s">
        <v>189</v>
      </c>
      <c r="C39" s="54" t="s">
        <v>29</v>
      </c>
      <c r="D39" s="53" t="s">
        <v>102</v>
      </c>
      <c r="E39" s="142">
        <v>111.6</v>
      </c>
      <c r="F39" s="179">
        <f>SUM(E39*155/1000)</f>
        <v>17.297999999999998</v>
      </c>
      <c r="G39" s="142">
        <v>460.02</v>
      </c>
      <c r="H39" s="57">
        <f>G39*F39/1000</f>
        <v>7.9574259599999984</v>
      </c>
      <c r="I39" s="12">
        <f>F39/6*G39</f>
        <v>1326.2376599999998</v>
      </c>
    </row>
    <row r="40" spans="1:9" ht="14.25" hidden="1" customHeight="1">
      <c r="A40" s="26"/>
      <c r="B40" s="53" t="s">
        <v>190</v>
      </c>
      <c r="C40" s="54" t="s">
        <v>191</v>
      </c>
      <c r="D40" s="53" t="s">
        <v>66</v>
      </c>
      <c r="E40" s="142">
        <v>111.6</v>
      </c>
      <c r="F40" s="179">
        <f>SUM(E40*30/1000)</f>
        <v>3.3479999999999999</v>
      </c>
      <c r="G40" s="142">
        <v>7611.16</v>
      </c>
      <c r="H40" s="57">
        <f>G40*F40/1000</f>
        <v>25.482163679999999</v>
      </c>
      <c r="I40" s="12">
        <v>0</v>
      </c>
    </row>
    <row r="41" spans="1:9" ht="16.5" customHeight="1">
      <c r="A41" s="26">
        <v>7</v>
      </c>
      <c r="B41" s="53" t="s">
        <v>67</v>
      </c>
      <c r="C41" s="54" t="s">
        <v>29</v>
      </c>
      <c r="D41" s="53" t="s">
        <v>103</v>
      </c>
      <c r="E41" s="142">
        <v>111.6</v>
      </c>
      <c r="F41" s="179">
        <f>SUM(E41*155/1000)</f>
        <v>17.297999999999998</v>
      </c>
      <c r="G41" s="142">
        <v>460.02</v>
      </c>
      <c r="H41" s="57">
        <f t="shared" si="5"/>
        <v>7.9574259599999984</v>
      </c>
      <c r="I41" s="12">
        <f>F41/6*G41</f>
        <v>1326.2376599999998</v>
      </c>
    </row>
    <row r="42" spans="1:9" ht="49.5" customHeight="1">
      <c r="A42" s="26">
        <v>8</v>
      </c>
      <c r="B42" s="53" t="s">
        <v>80</v>
      </c>
      <c r="C42" s="54" t="s">
        <v>100</v>
      </c>
      <c r="D42" s="53" t="s">
        <v>119</v>
      </c>
      <c r="E42" s="142">
        <v>111.6</v>
      </c>
      <c r="F42" s="179">
        <f>SUM(E42*30/1000)</f>
        <v>3.3479999999999999</v>
      </c>
      <c r="G42" s="142">
        <v>7611.16</v>
      </c>
      <c r="H42" s="57">
        <f t="shared" si="5"/>
        <v>25.482163679999999</v>
      </c>
      <c r="I42" s="12">
        <f>F42/6*G42</f>
        <v>4247.0272799999993</v>
      </c>
    </row>
    <row r="43" spans="1:9" ht="17.25" customHeight="1">
      <c r="A43" s="26">
        <v>9</v>
      </c>
      <c r="B43" s="53" t="s">
        <v>104</v>
      </c>
      <c r="C43" s="54" t="s">
        <v>100</v>
      </c>
      <c r="D43" s="53" t="s">
        <v>192</v>
      </c>
      <c r="E43" s="142">
        <v>111.6</v>
      </c>
      <c r="F43" s="179">
        <f>SUM(E43*24/1000)</f>
        <v>2.6783999999999994</v>
      </c>
      <c r="G43" s="142">
        <v>562.25</v>
      </c>
      <c r="H43" s="57">
        <f t="shared" si="5"/>
        <v>1.5059303999999998</v>
      </c>
      <c r="I43" s="12">
        <f>F43/7.5*G43</f>
        <v>200.79071999999996</v>
      </c>
    </row>
    <row r="44" spans="1:9" ht="15.75" customHeight="1">
      <c r="A44" s="126">
        <v>10</v>
      </c>
      <c r="B44" s="62" t="s">
        <v>68</v>
      </c>
      <c r="C44" s="63" t="s">
        <v>33</v>
      </c>
      <c r="D44" s="62"/>
      <c r="E44" s="178"/>
      <c r="F44" s="179">
        <v>0.6</v>
      </c>
      <c r="G44" s="179">
        <v>974.83</v>
      </c>
      <c r="H44" s="65">
        <f t="shared" si="5"/>
        <v>0.58489800000000003</v>
      </c>
      <c r="I44" s="74">
        <f>F44/7.5*G44</f>
        <v>77.986400000000003</v>
      </c>
    </row>
    <row r="45" spans="1:9" ht="32.25" customHeight="1">
      <c r="A45" s="26">
        <v>11</v>
      </c>
      <c r="B45" s="111" t="s">
        <v>144</v>
      </c>
      <c r="C45" s="112" t="s">
        <v>29</v>
      </c>
      <c r="D45" s="180" t="s">
        <v>145</v>
      </c>
      <c r="E45" s="181">
        <v>1.2</v>
      </c>
      <c r="F45" s="182">
        <f>SUM(E45*12/1000)</f>
        <v>1.4399999999999998E-2</v>
      </c>
      <c r="G45" s="182">
        <v>260.2</v>
      </c>
      <c r="H45" s="12"/>
      <c r="I45" s="12">
        <f>G45*F45/6</f>
        <v>0.62447999999999981</v>
      </c>
    </row>
    <row r="46" spans="1:9" ht="23.25" hidden="1" customHeight="1">
      <c r="A46" s="202" t="s">
        <v>193</v>
      </c>
      <c r="B46" s="203"/>
      <c r="C46" s="203"/>
      <c r="D46" s="203"/>
      <c r="E46" s="203"/>
      <c r="F46" s="203"/>
      <c r="G46" s="203"/>
      <c r="H46" s="203"/>
      <c r="I46" s="204"/>
    </row>
    <row r="47" spans="1:9" ht="21" hidden="1" customHeight="1">
      <c r="A47" s="26">
        <v>12</v>
      </c>
      <c r="B47" s="53" t="s">
        <v>121</v>
      </c>
      <c r="C47" s="54" t="s">
        <v>100</v>
      </c>
      <c r="D47" s="53" t="s">
        <v>41</v>
      </c>
      <c r="E47" s="55">
        <v>1030.4000000000001</v>
      </c>
      <c r="F47" s="56">
        <f>SUM(E47*2/1000)</f>
        <v>2.0608</v>
      </c>
      <c r="G47" s="137">
        <v>1114.1300000000001</v>
      </c>
      <c r="H47" s="57">
        <f t="shared" ref="H47:H56" si="6">SUM(F47*G47/1000)</f>
        <v>2.2959991039999998</v>
      </c>
      <c r="I47" s="12">
        <f t="shared" ref="I47:I49" si="7">F47/2*G47</f>
        <v>1147.999552</v>
      </c>
    </row>
    <row r="48" spans="1:9" ht="20.25" hidden="1" customHeight="1">
      <c r="A48" s="26">
        <v>13</v>
      </c>
      <c r="B48" s="53" t="s">
        <v>34</v>
      </c>
      <c r="C48" s="54" t="s">
        <v>100</v>
      </c>
      <c r="D48" s="53" t="s">
        <v>41</v>
      </c>
      <c r="E48" s="55">
        <v>132</v>
      </c>
      <c r="F48" s="56">
        <f>E48*2/1000</f>
        <v>0.26400000000000001</v>
      </c>
      <c r="G48" s="137">
        <v>4419.05</v>
      </c>
      <c r="H48" s="57">
        <f t="shared" si="6"/>
        <v>1.1666292</v>
      </c>
      <c r="I48" s="12">
        <f t="shared" si="7"/>
        <v>583.31460000000004</v>
      </c>
    </row>
    <row r="49" spans="1:9" ht="19.5" hidden="1" customHeight="1">
      <c r="A49" s="26">
        <v>14</v>
      </c>
      <c r="B49" s="53" t="s">
        <v>35</v>
      </c>
      <c r="C49" s="54" t="s">
        <v>100</v>
      </c>
      <c r="D49" s="53" t="s">
        <v>41</v>
      </c>
      <c r="E49" s="55">
        <v>4248.22</v>
      </c>
      <c r="F49" s="56">
        <f>SUM(E49*2/1000)</f>
        <v>8.4964399999999998</v>
      </c>
      <c r="G49" s="137">
        <v>1803.69</v>
      </c>
      <c r="H49" s="57">
        <f t="shared" si="6"/>
        <v>15.3249438636</v>
      </c>
      <c r="I49" s="12">
        <f t="shared" si="7"/>
        <v>7662.4719317999998</v>
      </c>
    </row>
    <row r="50" spans="1:9" ht="24.75" hidden="1" customHeight="1">
      <c r="A50" s="26">
        <v>15</v>
      </c>
      <c r="B50" s="53" t="s">
        <v>36</v>
      </c>
      <c r="C50" s="54" t="s">
        <v>100</v>
      </c>
      <c r="D50" s="53" t="s">
        <v>41</v>
      </c>
      <c r="E50" s="55">
        <v>2163.66</v>
      </c>
      <c r="F50" s="56">
        <f>SUM(E50*2/1000)</f>
        <v>4.3273199999999994</v>
      </c>
      <c r="G50" s="137">
        <v>1243.43</v>
      </c>
      <c r="H50" s="57">
        <f t="shared" si="6"/>
        <v>5.3807195075999994</v>
      </c>
      <c r="I50" s="12">
        <f>F50/2*G50</f>
        <v>2690.3597537999999</v>
      </c>
    </row>
    <row r="51" spans="1:9" ht="27.75" hidden="1" customHeight="1">
      <c r="A51" s="26">
        <v>16</v>
      </c>
      <c r="B51" s="53" t="s">
        <v>55</v>
      </c>
      <c r="C51" s="54" t="s">
        <v>100</v>
      </c>
      <c r="D51" s="53" t="s">
        <v>131</v>
      </c>
      <c r="E51" s="55">
        <v>1015.4</v>
      </c>
      <c r="F51" s="56">
        <f>SUM(E51*5/1000)</f>
        <v>5.077</v>
      </c>
      <c r="G51" s="137">
        <v>1083.69</v>
      </c>
      <c r="H51" s="57">
        <f t="shared" si="6"/>
        <v>5.5018941300000002</v>
      </c>
      <c r="I51" s="12">
        <f>3.945*G51</f>
        <v>4275.1570499999998</v>
      </c>
    </row>
    <row r="52" spans="1:9" ht="19.5" hidden="1" customHeight="1">
      <c r="A52" s="26">
        <v>10</v>
      </c>
      <c r="B52" s="53" t="s">
        <v>105</v>
      </c>
      <c r="C52" s="54" t="s">
        <v>100</v>
      </c>
      <c r="D52" s="53" t="s">
        <v>41</v>
      </c>
      <c r="E52" s="177">
        <v>3945</v>
      </c>
      <c r="F52" s="142">
        <f>SUM(E52*2/1000)</f>
        <v>7.89</v>
      </c>
      <c r="G52" s="137">
        <v>1591.6</v>
      </c>
      <c r="H52" s="57">
        <f t="shared" si="6"/>
        <v>12.557723999999999</v>
      </c>
      <c r="I52" s="12">
        <f>G52*F52/2</f>
        <v>6278.8619999999992</v>
      </c>
    </row>
    <row r="53" spans="1:9" ht="18" hidden="1" customHeight="1">
      <c r="A53" s="26">
        <v>11</v>
      </c>
      <c r="B53" s="53" t="s">
        <v>106</v>
      </c>
      <c r="C53" s="54" t="s">
        <v>37</v>
      </c>
      <c r="D53" s="53" t="s">
        <v>41</v>
      </c>
      <c r="E53" s="177">
        <v>30</v>
      </c>
      <c r="F53" s="142">
        <f>SUM(E53*2/100)</f>
        <v>0.6</v>
      </c>
      <c r="G53" s="137">
        <v>4058.32</v>
      </c>
      <c r="H53" s="57">
        <f t="shared" si="6"/>
        <v>2.4349920000000003</v>
      </c>
      <c r="I53" s="12">
        <f>G53*F53/2</f>
        <v>1217.4960000000001</v>
      </c>
    </row>
    <row r="54" spans="1:9" ht="15.75" hidden="1" customHeight="1">
      <c r="A54" s="26">
        <v>12</v>
      </c>
      <c r="B54" s="53" t="s">
        <v>38</v>
      </c>
      <c r="C54" s="54" t="s">
        <v>39</v>
      </c>
      <c r="D54" s="53" t="s">
        <v>41</v>
      </c>
      <c r="E54" s="177">
        <v>1</v>
      </c>
      <c r="F54" s="142">
        <v>0.02</v>
      </c>
      <c r="G54" s="137">
        <v>7412.92</v>
      </c>
      <c r="H54" s="57">
        <f t="shared" si="6"/>
        <v>0.14825839999999998</v>
      </c>
      <c r="I54" s="12">
        <f>G54*F54/2</f>
        <v>74.129199999999997</v>
      </c>
    </row>
    <row r="55" spans="1:9" ht="18.75" hidden="1" customHeight="1">
      <c r="A55" s="26">
        <v>17</v>
      </c>
      <c r="B55" s="53" t="s">
        <v>120</v>
      </c>
      <c r="C55" s="54" t="s">
        <v>86</v>
      </c>
      <c r="D55" s="53" t="s">
        <v>69</v>
      </c>
      <c r="E55" s="55">
        <v>90</v>
      </c>
      <c r="F55" s="56">
        <f>E55*4</f>
        <v>360</v>
      </c>
      <c r="G55" s="137">
        <v>185.08</v>
      </c>
      <c r="H55" s="57">
        <f>F55*G55/1000</f>
        <v>66.628799999999998</v>
      </c>
      <c r="I55" s="12">
        <f>G55*E55</f>
        <v>16657.2</v>
      </c>
    </row>
    <row r="56" spans="1:9" ht="14.25" hidden="1" customHeight="1">
      <c r="A56" s="26">
        <v>18</v>
      </c>
      <c r="B56" s="53" t="s">
        <v>40</v>
      </c>
      <c r="C56" s="54" t="s">
        <v>86</v>
      </c>
      <c r="D56" s="53" t="s">
        <v>69</v>
      </c>
      <c r="E56" s="55">
        <v>180</v>
      </c>
      <c r="F56" s="56">
        <f>SUM(E56)*3</f>
        <v>540</v>
      </c>
      <c r="G56" s="141">
        <v>86.15</v>
      </c>
      <c r="H56" s="57">
        <f t="shared" si="6"/>
        <v>46.521000000000001</v>
      </c>
      <c r="I56" s="12">
        <f>G56*E56</f>
        <v>15507.000000000002</v>
      </c>
    </row>
    <row r="57" spans="1:9">
      <c r="A57" s="202" t="s">
        <v>165</v>
      </c>
      <c r="B57" s="203"/>
      <c r="C57" s="203"/>
      <c r="D57" s="203"/>
      <c r="E57" s="203"/>
      <c r="F57" s="203"/>
      <c r="G57" s="203"/>
      <c r="H57" s="203"/>
      <c r="I57" s="204"/>
    </row>
    <row r="58" spans="1:9">
      <c r="A58" s="26"/>
      <c r="B58" s="75" t="s">
        <v>42</v>
      </c>
      <c r="C58" s="54"/>
      <c r="D58" s="53"/>
      <c r="E58" s="55"/>
      <c r="F58" s="56"/>
      <c r="G58" s="56"/>
      <c r="H58" s="57"/>
      <c r="I58" s="12"/>
    </row>
    <row r="59" spans="1:9" ht="30" hidden="1">
      <c r="A59" s="26">
        <v>16</v>
      </c>
      <c r="B59" s="53" t="s">
        <v>194</v>
      </c>
      <c r="C59" s="54" t="s">
        <v>90</v>
      </c>
      <c r="D59" s="53" t="s">
        <v>107</v>
      </c>
      <c r="E59" s="55">
        <v>148.04</v>
      </c>
      <c r="F59" s="56">
        <f>SUM(E59*6/100)</f>
        <v>8.8824000000000005</v>
      </c>
      <c r="G59" s="12">
        <v>1654.04</v>
      </c>
      <c r="H59" s="57">
        <f>SUM(F59*G59/1000)</f>
        <v>14.691844896000001</v>
      </c>
      <c r="I59" s="12">
        <f>F59/6*G59</f>
        <v>2448.6408160000001</v>
      </c>
    </row>
    <row r="60" spans="1:9" ht="30.75" customHeight="1">
      <c r="A60" s="26">
        <v>12</v>
      </c>
      <c r="B60" s="53" t="s">
        <v>84</v>
      </c>
      <c r="C60" s="54" t="s">
        <v>90</v>
      </c>
      <c r="D60" s="53" t="s">
        <v>85</v>
      </c>
      <c r="E60" s="177">
        <v>39.69</v>
      </c>
      <c r="F60" s="142">
        <f>SUM(E60*12/100)</f>
        <v>4.7627999999999995</v>
      </c>
      <c r="G60" s="137">
        <v>2029.3</v>
      </c>
      <c r="H60" s="57">
        <f>SUM(F60*G60/1000)</f>
        <v>9.6651500399999986</v>
      </c>
      <c r="I60" s="12">
        <f>F60/6*G60</f>
        <v>1610.8583399999998</v>
      </c>
    </row>
    <row r="61" spans="1:9" ht="16.5" hidden="1" customHeight="1">
      <c r="A61" s="26">
        <v>18</v>
      </c>
      <c r="B61" s="62" t="s">
        <v>122</v>
      </c>
      <c r="C61" s="63" t="s">
        <v>123</v>
      </c>
      <c r="D61" s="62" t="s">
        <v>41</v>
      </c>
      <c r="E61" s="64">
        <v>8</v>
      </c>
      <c r="F61" s="65">
        <v>16</v>
      </c>
      <c r="G61" s="12">
        <v>193.25</v>
      </c>
      <c r="H61" s="66">
        <f>F61*G61/1000</f>
        <v>3.0920000000000001</v>
      </c>
      <c r="I61" s="12">
        <f>F61/2*G61</f>
        <v>1546</v>
      </c>
    </row>
    <row r="62" spans="1:9" ht="16.5" customHeight="1">
      <c r="A62" s="26">
        <v>13</v>
      </c>
      <c r="B62" s="53" t="s">
        <v>124</v>
      </c>
      <c r="C62" s="54" t="s">
        <v>90</v>
      </c>
      <c r="D62" s="53" t="s">
        <v>107</v>
      </c>
      <c r="E62" s="177">
        <v>18.84</v>
      </c>
      <c r="F62" s="142">
        <f>SUM(E62*6/100)</f>
        <v>1.1303999999999998</v>
      </c>
      <c r="G62" s="137">
        <v>2029.3</v>
      </c>
      <c r="H62" s="57">
        <f>SUM(F62*G62/1000)</f>
        <v>2.2939207199999996</v>
      </c>
      <c r="I62" s="12">
        <f>F62/6*G62</f>
        <v>382.32011999999997</v>
      </c>
    </row>
    <row r="63" spans="1:9" ht="17.25" customHeight="1">
      <c r="A63" s="26"/>
      <c r="B63" s="76" t="s">
        <v>43</v>
      </c>
      <c r="C63" s="63"/>
      <c r="D63" s="62"/>
      <c r="E63" s="64"/>
      <c r="F63" s="65"/>
      <c r="G63" s="12"/>
      <c r="H63" s="66"/>
      <c r="I63" s="12"/>
    </row>
    <row r="64" spans="1:9" hidden="1">
      <c r="A64" s="26"/>
      <c r="B64" s="62" t="s">
        <v>195</v>
      </c>
      <c r="C64" s="63" t="s">
        <v>51</v>
      </c>
      <c r="D64" s="62" t="s">
        <v>52</v>
      </c>
      <c r="E64" s="64">
        <v>1015.4</v>
      </c>
      <c r="F64" s="65">
        <v>10.154</v>
      </c>
      <c r="G64" s="12">
        <v>848.37</v>
      </c>
      <c r="H64" s="66">
        <f>F64*G64/1000</f>
        <v>8.6143489800000008</v>
      </c>
      <c r="I64" s="12">
        <v>0</v>
      </c>
    </row>
    <row r="65" spans="1:9" ht="16.5" customHeight="1">
      <c r="A65" s="26">
        <v>14</v>
      </c>
      <c r="B65" s="62" t="s">
        <v>87</v>
      </c>
      <c r="C65" s="63" t="s">
        <v>25</v>
      </c>
      <c r="D65" s="62" t="s">
        <v>30</v>
      </c>
      <c r="E65" s="64">
        <v>203.1</v>
      </c>
      <c r="F65" s="67">
        <f>E65*12</f>
        <v>2437.1999999999998</v>
      </c>
      <c r="G65" s="48">
        <v>1.2</v>
      </c>
      <c r="H65" s="65">
        <f>F65*G65/1000</f>
        <v>2.9246399999999997</v>
      </c>
      <c r="I65" s="12">
        <f>2400/12*G65</f>
        <v>240</v>
      </c>
    </row>
    <row r="66" spans="1:9" ht="18.75" hidden="1" customHeight="1">
      <c r="A66" s="26"/>
      <c r="B66" s="76" t="s">
        <v>44</v>
      </c>
      <c r="C66" s="63"/>
      <c r="D66" s="62"/>
      <c r="E66" s="64"/>
      <c r="F66" s="67"/>
      <c r="G66" s="67"/>
      <c r="H66" s="65" t="s">
        <v>125</v>
      </c>
      <c r="I66" s="12"/>
    </row>
    <row r="67" spans="1:9" hidden="1">
      <c r="A67" s="26">
        <v>14</v>
      </c>
      <c r="B67" s="13" t="s">
        <v>45</v>
      </c>
      <c r="C67" s="15" t="s">
        <v>86</v>
      </c>
      <c r="D67" s="13"/>
      <c r="E67" s="17">
        <v>10</v>
      </c>
      <c r="F67" s="56">
        <v>10</v>
      </c>
      <c r="G67" s="137">
        <v>291.68</v>
      </c>
      <c r="H67" s="68">
        <f t="shared" ref="H67:H80" si="8">SUM(F67*G67/1000)</f>
        <v>2.9168000000000003</v>
      </c>
      <c r="I67" s="12">
        <f>G67*2</f>
        <v>583.36</v>
      </c>
    </row>
    <row r="68" spans="1:9" hidden="1">
      <c r="A68" s="26"/>
      <c r="B68" s="13" t="s">
        <v>46</v>
      </c>
      <c r="C68" s="15" t="s">
        <v>86</v>
      </c>
      <c r="D68" s="13" t="s">
        <v>66</v>
      </c>
      <c r="E68" s="17">
        <v>5</v>
      </c>
      <c r="F68" s="56">
        <v>5</v>
      </c>
      <c r="G68" s="12">
        <v>81.510000000000005</v>
      </c>
      <c r="H68" s="68">
        <f t="shared" si="8"/>
        <v>0.40755000000000002</v>
      </c>
      <c r="I68" s="12">
        <v>0</v>
      </c>
    </row>
    <row r="69" spans="1:9" hidden="1">
      <c r="A69" s="26">
        <v>25</v>
      </c>
      <c r="B69" s="13" t="s">
        <v>47</v>
      </c>
      <c r="C69" s="15" t="s">
        <v>109</v>
      </c>
      <c r="D69" s="13" t="s">
        <v>52</v>
      </c>
      <c r="E69" s="55">
        <v>14205</v>
      </c>
      <c r="F69" s="12">
        <f>SUM(E69/100)</f>
        <v>142.05000000000001</v>
      </c>
      <c r="G69" s="137">
        <v>278.24</v>
      </c>
      <c r="H69" s="68">
        <f t="shared" si="8"/>
        <v>39.523992000000007</v>
      </c>
      <c r="I69" s="12">
        <f>F69*G69</f>
        <v>39523.992000000006</v>
      </c>
    </row>
    <row r="70" spans="1:9" hidden="1">
      <c r="A70" s="26">
        <v>26</v>
      </c>
      <c r="B70" s="13" t="s">
        <v>48</v>
      </c>
      <c r="C70" s="15" t="s">
        <v>110</v>
      </c>
      <c r="D70" s="13" t="s">
        <v>52</v>
      </c>
      <c r="E70" s="55">
        <v>14205</v>
      </c>
      <c r="F70" s="12">
        <f>SUM(E70/1000)</f>
        <v>14.205</v>
      </c>
      <c r="G70" s="137">
        <v>216.68</v>
      </c>
      <c r="H70" s="68">
        <f t="shared" si="8"/>
        <v>3.0779394</v>
      </c>
      <c r="I70" s="12">
        <f t="shared" ref="I70:I71" si="9">F70*G70</f>
        <v>3077.9394000000002</v>
      </c>
    </row>
    <row r="71" spans="1:9" hidden="1">
      <c r="A71" s="26">
        <v>27</v>
      </c>
      <c r="B71" s="13" t="s">
        <v>49</v>
      </c>
      <c r="C71" s="15" t="s">
        <v>75</v>
      </c>
      <c r="D71" s="13" t="s">
        <v>52</v>
      </c>
      <c r="E71" s="55">
        <v>2131</v>
      </c>
      <c r="F71" s="12">
        <f>SUM(E71/100)</f>
        <v>21.31</v>
      </c>
      <c r="G71" s="137">
        <v>2720.94</v>
      </c>
      <c r="H71" s="68">
        <f t="shared" si="8"/>
        <v>57.983231399999994</v>
      </c>
      <c r="I71" s="12">
        <f t="shared" si="9"/>
        <v>57983.231399999997</v>
      </c>
    </row>
    <row r="72" spans="1:9" hidden="1">
      <c r="A72" s="26">
        <v>28</v>
      </c>
      <c r="B72" s="69" t="s">
        <v>111</v>
      </c>
      <c r="C72" s="15" t="s">
        <v>33</v>
      </c>
      <c r="D72" s="13" t="s">
        <v>52</v>
      </c>
      <c r="E72" s="55">
        <v>12.48</v>
      </c>
      <c r="F72" s="12">
        <f>SUM(E72)</f>
        <v>12.48</v>
      </c>
      <c r="G72" s="137">
        <v>44.31</v>
      </c>
      <c r="H72" s="68">
        <f t="shared" si="8"/>
        <v>0.55298880000000006</v>
      </c>
      <c r="I72" s="12">
        <f>7*G72</f>
        <v>310.17</v>
      </c>
    </row>
    <row r="73" spans="1:9" hidden="1">
      <c r="A73" s="26">
        <v>29</v>
      </c>
      <c r="B73" s="69" t="s">
        <v>112</v>
      </c>
      <c r="C73" s="15" t="s">
        <v>33</v>
      </c>
      <c r="D73" s="13" t="s">
        <v>52</v>
      </c>
      <c r="E73" s="55">
        <v>12.48</v>
      </c>
      <c r="F73" s="12">
        <f>SUM(E73)</f>
        <v>12.48</v>
      </c>
      <c r="G73" s="137">
        <v>47.79</v>
      </c>
      <c r="H73" s="68">
        <f t="shared" si="8"/>
        <v>0.59641920000000004</v>
      </c>
      <c r="I73" s="12">
        <f>7*G73</f>
        <v>334.53</v>
      </c>
    </row>
    <row r="74" spans="1:9" hidden="1">
      <c r="A74" s="26">
        <v>21</v>
      </c>
      <c r="B74" s="13" t="s">
        <v>56</v>
      </c>
      <c r="C74" s="15" t="s">
        <v>57</v>
      </c>
      <c r="D74" s="13" t="s">
        <v>52</v>
      </c>
      <c r="E74" s="17">
        <v>5</v>
      </c>
      <c r="F74" s="56">
        <v>6</v>
      </c>
      <c r="G74" s="12">
        <v>65.42</v>
      </c>
      <c r="H74" s="68">
        <f t="shared" si="8"/>
        <v>0.39251999999999998</v>
      </c>
      <c r="I74" s="12">
        <f>F74/1*G74</f>
        <v>392.52</v>
      </c>
    </row>
    <row r="75" spans="1:9" ht="19.5" customHeight="1">
      <c r="A75" s="26"/>
      <c r="B75" s="175" t="s">
        <v>70</v>
      </c>
      <c r="C75" s="15"/>
      <c r="D75" s="13"/>
      <c r="E75" s="17"/>
      <c r="F75" s="12"/>
      <c r="G75" s="12"/>
      <c r="H75" s="68" t="s">
        <v>125</v>
      </c>
      <c r="I75" s="12"/>
    </row>
    <row r="76" spans="1:9" ht="17.25" customHeight="1">
      <c r="A76" s="26">
        <v>15</v>
      </c>
      <c r="B76" s="13" t="s">
        <v>71</v>
      </c>
      <c r="C76" s="15" t="s">
        <v>73</v>
      </c>
      <c r="D76" s="13" t="s">
        <v>66</v>
      </c>
      <c r="E76" s="17">
        <v>2</v>
      </c>
      <c r="F76" s="137">
        <f>E76/10</f>
        <v>0.2</v>
      </c>
      <c r="G76" s="137">
        <v>657.87</v>
      </c>
      <c r="H76" s="68">
        <f t="shared" si="8"/>
        <v>0.13157400000000002</v>
      </c>
      <c r="I76" s="12">
        <f>G76*0.1</f>
        <v>65.787000000000006</v>
      </c>
    </row>
    <row r="77" spans="1:9" hidden="1">
      <c r="A77" s="26"/>
      <c r="B77" s="13" t="s">
        <v>72</v>
      </c>
      <c r="C77" s="15" t="s">
        <v>31</v>
      </c>
      <c r="D77" s="13" t="s">
        <v>66</v>
      </c>
      <c r="E77" s="17">
        <v>1</v>
      </c>
      <c r="F77" s="48">
        <v>1</v>
      </c>
      <c r="G77" s="12">
        <v>911.85</v>
      </c>
      <c r="H77" s="68">
        <f>F77*G77/1000</f>
        <v>0.91185000000000005</v>
      </c>
      <c r="I77" s="12">
        <v>0</v>
      </c>
    </row>
    <row r="78" spans="1:9" hidden="1">
      <c r="A78" s="26"/>
      <c r="B78" s="13" t="s">
        <v>196</v>
      </c>
      <c r="C78" s="15" t="s">
        <v>31</v>
      </c>
      <c r="D78" s="13" t="s">
        <v>66</v>
      </c>
      <c r="E78" s="17">
        <v>1</v>
      </c>
      <c r="F78" s="12">
        <v>1</v>
      </c>
      <c r="G78" s="12">
        <v>383.25</v>
      </c>
      <c r="H78" s="68">
        <f>G78*F78/1000</f>
        <v>0.38324999999999998</v>
      </c>
      <c r="I78" s="12">
        <v>0</v>
      </c>
    </row>
    <row r="79" spans="1:9" hidden="1">
      <c r="A79" s="26"/>
      <c r="B79" s="70" t="s">
        <v>74</v>
      </c>
      <c r="C79" s="15"/>
      <c r="D79" s="13"/>
      <c r="E79" s="17"/>
      <c r="F79" s="12"/>
      <c r="G79" s="12" t="s">
        <v>125</v>
      </c>
      <c r="H79" s="68" t="s">
        <v>125</v>
      </c>
      <c r="I79" s="12"/>
    </row>
    <row r="80" spans="1:9" hidden="1">
      <c r="A80" s="26">
        <v>22</v>
      </c>
      <c r="B80" s="39" t="s">
        <v>115</v>
      </c>
      <c r="C80" s="15" t="s">
        <v>75</v>
      </c>
      <c r="D80" s="13"/>
      <c r="E80" s="17"/>
      <c r="F80" s="12">
        <v>0.9</v>
      </c>
      <c r="G80" s="12">
        <v>2757.42</v>
      </c>
      <c r="H80" s="68">
        <f t="shared" si="8"/>
        <v>2.4816780000000005</v>
      </c>
      <c r="I80" s="12">
        <f>G80*F80</f>
        <v>2481.6780000000003</v>
      </c>
    </row>
    <row r="81" spans="1:9" ht="28.5" hidden="1">
      <c r="A81" s="26"/>
      <c r="B81" s="175" t="s">
        <v>113</v>
      </c>
      <c r="C81" s="70"/>
      <c r="D81" s="28"/>
      <c r="E81" s="29"/>
      <c r="F81" s="59"/>
      <c r="G81" s="59"/>
      <c r="H81" s="71">
        <f>SUM(H59:H80)</f>
        <v>150.64169743599999</v>
      </c>
      <c r="I81" s="59"/>
    </row>
    <row r="82" spans="1:9" hidden="1">
      <c r="A82" s="126">
        <v>23</v>
      </c>
      <c r="B82" s="62" t="s">
        <v>114</v>
      </c>
      <c r="C82" s="127"/>
      <c r="D82" s="128"/>
      <c r="E82" s="49"/>
      <c r="F82" s="74">
        <v>1</v>
      </c>
      <c r="G82" s="74">
        <v>27901.200000000001</v>
      </c>
      <c r="H82" s="129">
        <f>G82*F82/1000</f>
        <v>27.901199999999999</v>
      </c>
      <c r="I82" s="74">
        <f>G82</f>
        <v>27901.200000000001</v>
      </c>
    </row>
    <row r="83" spans="1:9" ht="17.25" customHeight="1">
      <c r="A83" s="26"/>
      <c r="B83" s="150" t="s">
        <v>148</v>
      </c>
      <c r="C83" s="140"/>
      <c r="D83" s="13"/>
      <c r="E83" s="17"/>
      <c r="F83" s="12"/>
      <c r="G83" s="12"/>
      <c r="H83" s="12"/>
      <c r="I83" s="12"/>
    </row>
    <row r="84" spans="1:9" ht="32.25" customHeight="1">
      <c r="A84" s="26">
        <v>16</v>
      </c>
      <c r="B84" s="106" t="s">
        <v>149</v>
      </c>
      <c r="C84" s="32" t="s">
        <v>150</v>
      </c>
      <c r="D84" s="13"/>
      <c r="E84" s="17"/>
      <c r="F84" s="12"/>
      <c r="G84" s="107">
        <v>2.2799999999999998</v>
      </c>
      <c r="H84" s="12"/>
      <c r="I84" s="12">
        <f>47340/12*G84</f>
        <v>8994.5999999999985</v>
      </c>
    </row>
    <row r="85" spans="1:9" ht="30" customHeight="1">
      <c r="A85" s="26">
        <v>17</v>
      </c>
      <c r="B85" s="111" t="s">
        <v>151</v>
      </c>
      <c r="C85" s="112" t="s">
        <v>86</v>
      </c>
      <c r="D85" s="13"/>
      <c r="E85" s="17"/>
      <c r="F85" s="12"/>
      <c r="G85" s="107">
        <v>50.68</v>
      </c>
      <c r="H85" s="12"/>
      <c r="I85" s="12">
        <f>12/12*G85</f>
        <v>50.68</v>
      </c>
    </row>
    <row r="86" spans="1:9">
      <c r="A86" s="210" t="s">
        <v>166</v>
      </c>
      <c r="B86" s="211"/>
      <c r="C86" s="211"/>
      <c r="D86" s="211"/>
      <c r="E86" s="211"/>
      <c r="F86" s="211"/>
      <c r="G86" s="211"/>
      <c r="H86" s="211"/>
      <c r="I86" s="212"/>
    </row>
    <row r="87" spans="1:9" ht="17.25" customHeight="1">
      <c r="A87" s="77">
        <v>18</v>
      </c>
      <c r="B87" s="130" t="s">
        <v>116</v>
      </c>
      <c r="C87" s="131" t="s">
        <v>53</v>
      </c>
      <c r="D87" s="132" t="s">
        <v>54</v>
      </c>
      <c r="E87" s="133">
        <v>3945</v>
      </c>
      <c r="F87" s="133">
        <f>SUM(E87*12)</f>
        <v>47340</v>
      </c>
      <c r="G87" s="138">
        <v>3.1</v>
      </c>
      <c r="H87" s="134">
        <f>SUM(F87*G87/1000)</f>
        <v>146.75399999999999</v>
      </c>
      <c r="I87" s="133">
        <f>F87/12*G87</f>
        <v>12229.5</v>
      </c>
    </row>
    <row r="88" spans="1:9" ht="28.5" customHeight="1">
      <c r="A88" s="26">
        <v>19</v>
      </c>
      <c r="B88" s="13" t="s">
        <v>76</v>
      </c>
      <c r="C88" s="15"/>
      <c r="D88" s="132" t="s">
        <v>54</v>
      </c>
      <c r="E88" s="55">
        <f>E87</f>
        <v>3945</v>
      </c>
      <c r="F88" s="12">
        <f>E88*12</f>
        <v>47340</v>
      </c>
      <c r="G88" s="137">
        <v>3.5</v>
      </c>
      <c r="H88" s="68">
        <f>F88*G88/1000</f>
        <v>165.69</v>
      </c>
      <c r="I88" s="12">
        <f>F88/12*G88</f>
        <v>13807.5</v>
      </c>
    </row>
    <row r="89" spans="1:9">
      <c r="A89" s="26"/>
      <c r="B89" s="31" t="s">
        <v>79</v>
      </c>
      <c r="C89" s="32"/>
      <c r="D89" s="14"/>
      <c r="E89" s="14"/>
      <c r="F89" s="17"/>
      <c r="G89" s="135"/>
      <c r="H89" s="71">
        <f>H88</f>
        <v>165.69</v>
      </c>
      <c r="I89" s="29">
        <f>I88+I87+I85+I84+I76+I65+I62+I60+I45+I44+I43+I42+I41+I38+I37+I25+I18+I17+I16</f>
        <v>62824.414836666663</v>
      </c>
    </row>
    <row r="90" spans="1:9">
      <c r="A90" s="207" t="s">
        <v>59</v>
      </c>
      <c r="B90" s="208"/>
      <c r="C90" s="208"/>
      <c r="D90" s="208"/>
      <c r="E90" s="208"/>
      <c r="F90" s="208"/>
      <c r="G90" s="208"/>
      <c r="H90" s="208"/>
      <c r="I90" s="209"/>
    </row>
    <row r="91" spans="1:9">
      <c r="A91" s="26">
        <v>20</v>
      </c>
      <c r="B91" s="111" t="s">
        <v>257</v>
      </c>
      <c r="C91" s="112" t="s">
        <v>86</v>
      </c>
      <c r="D91" s="39"/>
      <c r="E91" s="12"/>
      <c r="F91" s="12">
        <v>2</v>
      </c>
      <c r="G91" s="107">
        <v>164.03</v>
      </c>
      <c r="H91" s="12">
        <f t="shared" ref="H91" si="10">G91*F91/1000</f>
        <v>0.32806000000000002</v>
      </c>
      <c r="I91" s="74">
        <f>G91*1</f>
        <v>164.03</v>
      </c>
    </row>
    <row r="92" spans="1:9" ht="30">
      <c r="A92" s="26">
        <v>21</v>
      </c>
      <c r="B92" s="72" t="s">
        <v>258</v>
      </c>
      <c r="C92" s="109" t="s">
        <v>170</v>
      </c>
      <c r="D92" s="15" t="s">
        <v>259</v>
      </c>
      <c r="E92" s="12"/>
      <c r="F92" s="12"/>
      <c r="G92" s="107">
        <v>1146</v>
      </c>
      <c r="H92" s="12"/>
      <c r="I92" s="74">
        <f>G92*16</f>
        <v>18336</v>
      </c>
    </row>
    <row r="93" spans="1:9">
      <c r="A93" s="26">
        <v>22</v>
      </c>
      <c r="B93" s="72" t="s">
        <v>243</v>
      </c>
      <c r="C93" s="109" t="s">
        <v>86</v>
      </c>
      <c r="D93" s="39"/>
      <c r="E93" s="12"/>
      <c r="F93" s="12"/>
      <c r="G93" s="107">
        <v>151.31</v>
      </c>
      <c r="H93" s="12"/>
      <c r="I93" s="74">
        <f>G93*1</f>
        <v>151.31</v>
      </c>
    </row>
    <row r="94" spans="1:9">
      <c r="A94" s="26">
        <v>23</v>
      </c>
      <c r="B94" s="72" t="s">
        <v>260</v>
      </c>
      <c r="C94" s="109" t="s">
        <v>86</v>
      </c>
      <c r="D94" s="39"/>
      <c r="E94" s="12"/>
      <c r="F94" s="12"/>
      <c r="G94" s="107">
        <v>4.46</v>
      </c>
      <c r="H94" s="12"/>
      <c r="I94" s="74">
        <f>G94*1</f>
        <v>4.46</v>
      </c>
    </row>
    <row r="95" spans="1:9">
      <c r="A95" s="26">
        <v>24</v>
      </c>
      <c r="B95" s="72" t="s">
        <v>244</v>
      </c>
      <c r="C95" s="109" t="s">
        <v>86</v>
      </c>
      <c r="D95" s="39"/>
      <c r="E95" s="12"/>
      <c r="F95" s="12"/>
      <c r="G95" s="107">
        <v>169.24</v>
      </c>
      <c r="H95" s="12"/>
      <c r="I95" s="74">
        <f>G95*1</f>
        <v>169.24</v>
      </c>
    </row>
    <row r="96" spans="1:9">
      <c r="A96" s="26">
        <v>25</v>
      </c>
      <c r="B96" s="72" t="s">
        <v>261</v>
      </c>
      <c r="C96" s="109" t="s">
        <v>86</v>
      </c>
      <c r="D96" s="39"/>
      <c r="E96" s="12"/>
      <c r="F96" s="12"/>
      <c r="G96" s="107">
        <v>6.84</v>
      </c>
      <c r="H96" s="12"/>
      <c r="I96" s="74">
        <f>G96*1</f>
        <v>6.84</v>
      </c>
    </row>
    <row r="97" spans="1:9">
      <c r="A97" s="26">
        <v>26</v>
      </c>
      <c r="B97" s="72" t="s">
        <v>262</v>
      </c>
      <c r="C97" s="109" t="s">
        <v>86</v>
      </c>
      <c r="D97" s="39"/>
      <c r="E97" s="12"/>
      <c r="F97" s="12"/>
      <c r="G97" s="107">
        <v>5.42</v>
      </c>
      <c r="H97" s="12"/>
      <c r="I97" s="74">
        <f>G97*1</f>
        <v>5.42</v>
      </c>
    </row>
    <row r="98" spans="1:9">
      <c r="A98" s="26">
        <v>27</v>
      </c>
      <c r="B98" s="72" t="s">
        <v>232</v>
      </c>
      <c r="C98" s="109" t="s">
        <v>86</v>
      </c>
      <c r="D98" s="39"/>
      <c r="E98" s="12"/>
      <c r="F98" s="12"/>
      <c r="G98" s="107">
        <v>5.43</v>
      </c>
      <c r="H98" s="12"/>
      <c r="I98" s="74">
        <f>G98*2</f>
        <v>10.86</v>
      </c>
    </row>
    <row r="99" spans="1:9">
      <c r="A99" s="26">
        <v>28</v>
      </c>
      <c r="B99" s="72" t="s">
        <v>263</v>
      </c>
      <c r="C99" s="109" t="s">
        <v>86</v>
      </c>
      <c r="D99" s="39"/>
      <c r="E99" s="12"/>
      <c r="F99" s="12"/>
      <c r="G99" s="107">
        <v>89.92</v>
      </c>
      <c r="H99" s="12"/>
      <c r="I99" s="74">
        <f>G99*1</f>
        <v>89.92</v>
      </c>
    </row>
    <row r="100" spans="1:9">
      <c r="A100" s="26">
        <v>29</v>
      </c>
      <c r="B100" s="72" t="s">
        <v>264</v>
      </c>
      <c r="C100" s="109" t="s">
        <v>86</v>
      </c>
      <c r="D100" s="39"/>
      <c r="E100" s="12"/>
      <c r="F100" s="12"/>
      <c r="G100" s="107">
        <v>95.25</v>
      </c>
      <c r="H100" s="12"/>
      <c r="I100" s="74">
        <f>G100*1</f>
        <v>95.25</v>
      </c>
    </row>
    <row r="101" spans="1:9">
      <c r="A101" s="26">
        <v>30</v>
      </c>
      <c r="B101" s="72" t="s">
        <v>265</v>
      </c>
      <c r="C101" s="109" t="s">
        <v>86</v>
      </c>
      <c r="D101" s="39"/>
      <c r="E101" s="12"/>
      <c r="F101" s="12"/>
      <c r="G101" s="107">
        <v>194.64</v>
      </c>
      <c r="H101" s="12"/>
      <c r="I101" s="74">
        <f>G101*1</f>
        <v>194.64</v>
      </c>
    </row>
    <row r="102" spans="1:9">
      <c r="A102" s="26">
        <v>31</v>
      </c>
      <c r="B102" s="72" t="s">
        <v>266</v>
      </c>
      <c r="C102" s="109" t="s">
        <v>86</v>
      </c>
      <c r="D102" s="39"/>
      <c r="E102" s="12"/>
      <c r="F102" s="12"/>
      <c r="G102" s="107">
        <v>6.2</v>
      </c>
      <c r="H102" s="12"/>
      <c r="I102" s="74">
        <f>G102*4</f>
        <v>24.8</v>
      </c>
    </row>
    <row r="103" spans="1:9" ht="14.25" customHeight="1">
      <c r="A103" s="26"/>
      <c r="B103" s="37" t="s">
        <v>50</v>
      </c>
      <c r="C103" s="33"/>
      <c r="D103" s="40"/>
      <c r="E103" s="33">
        <v>1</v>
      </c>
      <c r="F103" s="33"/>
      <c r="G103" s="33"/>
      <c r="H103" s="33"/>
      <c r="I103" s="29">
        <f>SUM(I91:I102)</f>
        <v>19252.769999999997</v>
      </c>
    </row>
    <row r="104" spans="1:9">
      <c r="A104" s="26"/>
      <c r="B104" s="39" t="s">
        <v>77</v>
      </c>
      <c r="C104" s="14"/>
      <c r="D104" s="14"/>
      <c r="E104" s="34"/>
      <c r="F104" s="34"/>
      <c r="G104" s="35"/>
      <c r="H104" s="35"/>
      <c r="I104" s="16">
        <v>0</v>
      </c>
    </row>
    <row r="105" spans="1:9">
      <c r="A105" s="41"/>
      <c r="B105" s="38" t="s">
        <v>197</v>
      </c>
      <c r="C105" s="30"/>
      <c r="D105" s="30"/>
      <c r="E105" s="30"/>
      <c r="F105" s="30"/>
      <c r="G105" s="30"/>
      <c r="H105" s="30"/>
      <c r="I105" s="36">
        <f>I89+I103</f>
        <v>82077.184836666653</v>
      </c>
    </row>
    <row r="106" spans="1:9" ht="15.75">
      <c r="A106" s="206" t="s">
        <v>267</v>
      </c>
      <c r="B106" s="206"/>
      <c r="C106" s="206"/>
      <c r="D106" s="206"/>
      <c r="E106" s="206"/>
      <c r="F106" s="206"/>
      <c r="G106" s="206"/>
      <c r="H106" s="206"/>
      <c r="I106" s="206"/>
    </row>
    <row r="107" spans="1:9" ht="15.75">
      <c r="A107" s="78"/>
      <c r="B107" s="213" t="s">
        <v>268</v>
      </c>
      <c r="C107" s="213"/>
      <c r="D107" s="213"/>
      <c r="E107" s="213"/>
      <c r="F107" s="213"/>
      <c r="G107" s="213"/>
      <c r="H107" s="52"/>
      <c r="I107" s="3"/>
    </row>
    <row r="108" spans="1:9">
      <c r="A108" s="173"/>
      <c r="B108" s="214" t="s">
        <v>6</v>
      </c>
      <c r="C108" s="214"/>
      <c r="D108" s="214"/>
      <c r="E108" s="214"/>
      <c r="F108" s="214"/>
      <c r="G108" s="214"/>
      <c r="H108" s="21"/>
      <c r="I108" s="5"/>
    </row>
    <row r="109" spans="1:9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>
      <c r="A110" s="215" t="s">
        <v>7</v>
      </c>
      <c r="B110" s="215"/>
      <c r="C110" s="215"/>
      <c r="D110" s="215"/>
      <c r="E110" s="215"/>
      <c r="F110" s="215"/>
      <c r="G110" s="215"/>
      <c r="H110" s="215"/>
      <c r="I110" s="215"/>
    </row>
    <row r="111" spans="1:9" ht="15.75">
      <c r="A111" s="215" t="s">
        <v>8</v>
      </c>
      <c r="B111" s="215"/>
      <c r="C111" s="215"/>
      <c r="D111" s="215"/>
      <c r="E111" s="215"/>
      <c r="F111" s="215"/>
      <c r="G111" s="215"/>
      <c r="H111" s="215"/>
      <c r="I111" s="215"/>
    </row>
    <row r="112" spans="1:9" ht="15.75">
      <c r="A112" s="216" t="s">
        <v>60</v>
      </c>
      <c r="B112" s="216"/>
      <c r="C112" s="216"/>
      <c r="D112" s="216"/>
      <c r="E112" s="216"/>
      <c r="F112" s="216"/>
      <c r="G112" s="216"/>
      <c r="H112" s="216"/>
      <c r="I112" s="216"/>
    </row>
    <row r="113" spans="1:9" ht="15.75">
      <c r="A113" s="10"/>
    </row>
    <row r="114" spans="1:9" ht="15.75">
      <c r="A114" s="200" t="s">
        <v>9</v>
      </c>
      <c r="B114" s="200"/>
      <c r="C114" s="200"/>
      <c r="D114" s="200"/>
      <c r="E114" s="200"/>
      <c r="F114" s="200"/>
      <c r="G114" s="200"/>
      <c r="H114" s="200"/>
      <c r="I114" s="200"/>
    </row>
    <row r="115" spans="1:9" ht="15.75">
      <c r="A115" s="4"/>
    </row>
    <row r="116" spans="1:9" ht="15.75">
      <c r="B116" s="174" t="s">
        <v>10</v>
      </c>
      <c r="C116" s="218" t="s">
        <v>83</v>
      </c>
      <c r="D116" s="218"/>
      <c r="E116" s="218"/>
      <c r="F116" s="50"/>
      <c r="I116" s="172"/>
    </row>
    <row r="117" spans="1:9">
      <c r="A117" s="173"/>
      <c r="C117" s="214" t="s">
        <v>11</v>
      </c>
      <c r="D117" s="214"/>
      <c r="E117" s="214"/>
      <c r="F117" s="21"/>
      <c r="I117" s="171" t="s">
        <v>12</v>
      </c>
    </row>
    <row r="118" spans="1:9" ht="15.75">
      <c r="A118" s="22"/>
      <c r="C118" s="11"/>
      <c r="D118" s="11"/>
      <c r="G118" s="11"/>
      <c r="H118" s="11"/>
    </row>
    <row r="119" spans="1:9" ht="15.75">
      <c r="B119" s="174" t="s">
        <v>13</v>
      </c>
      <c r="C119" s="219"/>
      <c r="D119" s="219"/>
      <c r="E119" s="219"/>
      <c r="F119" s="51"/>
      <c r="I119" s="172"/>
    </row>
    <row r="120" spans="1:9">
      <c r="A120" s="173"/>
      <c r="C120" s="220" t="s">
        <v>11</v>
      </c>
      <c r="D120" s="220"/>
      <c r="E120" s="220"/>
      <c r="F120" s="173"/>
      <c r="I120" s="171" t="s">
        <v>12</v>
      </c>
    </row>
    <row r="121" spans="1:9" ht="15.75">
      <c r="A121" s="4" t="s">
        <v>14</v>
      </c>
    </row>
    <row r="122" spans="1:9">
      <c r="A122" s="221" t="s">
        <v>15</v>
      </c>
      <c r="B122" s="221"/>
      <c r="C122" s="221"/>
      <c r="D122" s="221"/>
      <c r="E122" s="221"/>
      <c r="F122" s="221"/>
      <c r="G122" s="221"/>
      <c r="H122" s="221"/>
      <c r="I122" s="221"/>
    </row>
    <row r="123" spans="1:9" ht="45.75" customHeight="1">
      <c r="A123" s="217" t="s">
        <v>16</v>
      </c>
      <c r="B123" s="217"/>
      <c r="C123" s="217"/>
      <c r="D123" s="217"/>
      <c r="E123" s="217"/>
      <c r="F123" s="217"/>
      <c r="G123" s="217"/>
      <c r="H123" s="217"/>
      <c r="I123" s="217"/>
    </row>
    <row r="124" spans="1:9" ht="30.75" customHeight="1">
      <c r="A124" s="217" t="s">
        <v>17</v>
      </c>
      <c r="B124" s="217"/>
      <c r="C124" s="217"/>
      <c r="D124" s="217"/>
      <c r="E124" s="217"/>
      <c r="F124" s="217"/>
      <c r="G124" s="217"/>
      <c r="H124" s="217"/>
      <c r="I124" s="217"/>
    </row>
    <row r="125" spans="1:9" ht="33" customHeight="1">
      <c r="A125" s="217" t="s">
        <v>21</v>
      </c>
      <c r="B125" s="217"/>
      <c r="C125" s="217"/>
      <c r="D125" s="217"/>
      <c r="E125" s="217"/>
      <c r="F125" s="217"/>
      <c r="G125" s="217"/>
      <c r="H125" s="217"/>
      <c r="I125" s="217"/>
    </row>
    <row r="126" spans="1:9" ht="15.75">
      <c r="A126" s="217" t="s">
        <v>20</v>
      </c>
      <c r="B126" s="217"/>
      <c r="C126" s="217"/>
      <c r="D126" s="217"/>
      <c r="E126" s="217"/>
      <c r="F126" s="217"/>
      <c r="G126" s="217"/>
      <c r="H126" s="217"/>
      <c r="I126" s="217"/>
    </row>
  </sheetData>
  <mergeCells count="28">
    <mergeCell ref="A123:I123"/>
    <mergeCell ref="A124:I124"/>
    <mergeCell ref="A125:I125"/>
    <mergeCell ref="A126:I126"/>
    <mergeCell ref="A114:I114"/>
    <mergeCell ref="C116:E116"/>
    <mergeCell ref="C117:E117"/>
    <mergeCell ref="C119:E119"/>
    <mergeCell ref="C120:E120"/>
    <mergeCell ref="A122:I122"/>
    <mergeCell ref="A112:I112"/>
    <mergeCell ref="A15:I15"/>
    <mergeCell ref="A27:I27"/>
    <mergeCell ref="A46:I46"/>
    <mergeCell ref="A57:I57"/>
    <mergeCell ref="A86:I86"/>
    <mergeCell ref="A90:I90"/>
    <mergeCell ref="A106:I106"/>
    <mergeCell ref="B107:G107"/>
    <mergeCell ref="B108:G108"/>
    <mergeCell ref="A110:I110"/>
    <mergeCell ref="A111:I111"/>
    <mergeCell ref="A14:I14"/>
    <mergeCell ref="A3:I3"/>
    <mergeCell ref="A4:I4"/>
    <mergeCell ref="A5:I5"/>
    <mergeCell ref="A8:I8"/>
    <mergeCell ref="A10:I10"/>
  </mergeCells>
  <pageMargins left="0.70866141732283472" right="0.31496062992125984" top="0.15748031496062992" bottom="0.15748031496062992" header="0.31496062992125984" footer="0.31496062992125984"/>
  <pageSetup paperSize="9" scale="6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5"/>
  <sheetViews>
    <sheetView tabSelected="1" view="pageBreakPreview" topLeftCell="A74" zoomScale="60" workbookViewId="0">
      <selection activeCell="K96" sqref="K96"/>
    </sheetView>
  </sheetViews>
  <sheetFormatPr defaultRowHeight="15"/>
  <cols>
    <col min="1" max="1" width="8.42578125" customWidth="1"/>
    <col min="2" max="2" width="49.28515625" customWidth="1"/>
    <col min="3" max="3" width="17.28515625" customWidth="1"/>
    <col min="4" max="4" width="17.5703125" customWidth="1"/>
    <col min="5" max="5" width="0" hidden="1" customWidth="1"/>
    <col min="6" max="6" width="12" hidden="1" customWidth="1"/>
    <col min="7" max="7" width="15" customWidth="1"/>
    <col min="8" max="8" width="0" hidden="1" customWidth="1"/>
    <col min="9" max="9" width="15.85546875" customWidth="1"/>
  </cols>
  <sheetData>
    <row r="1" spans="1:9" ht="15.75">
      <c r="A1" s="24" t="s">
        <v>207</v>
      </c>
      <c r="I1" s="23"/>
    </row>
    <row r="2" spans="1:9" ht="15.75">
      <c r="A2" s="25" t="s">
        <v>61</v>
      </c>
    </row>
    <row r="3" spans="1:9" ht="15.75">
      <c r="A3" s="195" t="s">
        <v>269</v>
      </c>
      <c r="B3" s="195"/>
      <c r="C3" s="195"/>
      <c r="D3" s="195"/>
      <c r="E3" s="195"/>
      <c r="F3" s="195"/>
      <c r="G3" s="195"/>
      <c r="H3" s="195"/>
      <c r="I3" s="195"/>
    </row>
    <row r="4" spans="1:9" ht="31.5" customHeight="1">
      <c r="A4" s="196" t="s">
        <v>117</v>
      </c>
      <c r="B4" s="196"/>
      <c r="C4" s="196"/>
      <c r="D4" s="196"/>
      <c r="E4" s="196"/>
      <c r="F4" s="196"/>
      <c r="G4" s="196"/>
      <c r="H4" s="196"/>
      <c r="I4" s="196"/>
    </row>
    <row r="5" spans="1:9" ht="15.75">
      <c r="A5" s="195" t="s">
        <v>270</v>
      </c>
      <c r="B5" s="197"/>
      <c r="C5" s="197"/>
      <c r="D5" s="197"/>
      <c r="E5" s="197"/>
      <c r="F5" s="197"/>
      <c r="G5" s="197"/>
      <c r="H5" s="197"/>
      <c r="I5" s="197"/>
    </row>
    <row r="6" spans="1:9" ht="15.75">
      <c r="A6" s="2"/>
      <c r="B6" s="188"/>
      <c r="C6" s="188"/>
      <c r="D6" s="188"/>
      <c r="E6" s="188"/>
      <c r="F6" s="188"/>
      <c r="G6" s="188"/>
      <c r="H6" s="188"/>
      <c r="I6" s="27">
        <v>43465</v>
      </c>
    </row>
    <row r="7" spans="1:9" ht="15.75">
      <c r="B7" s="186"/>
      <c r="C7" s="186"/>
      <c r="D7" s="186"/>
      <c r="E7" s="3"/>
      <c r="F7" s="3"/>
      <c r="G7" s="3"/>
      <c r="H7" s="3"/>
    </row>
    <row r="8" spans="1:9" ht="106.5" customHeight="1">
      <c r="A8" s="198" t="s">
        <v>210</v>
      </c>
      <c r="B8" s="198"/>
      <c r="C8" s="198"/>
      <c r="D8" s="198"/>
      <c r="E8" s="198"/>
      <c r="F8" s="198"/>
      <c r="G8" s="198"/>
      <c r="H8" s="198"/>
      <c r="I8" s="198"/>
    </row>
    <row r="9" spans="1:9" ht="15.75">
      <c r="A9" s="4"/>
    </row>
    <row r="10" spans="1:9" ht="79.5" customHeight="1">
      <c r="A10" s="199" t="s">
        <v>137</v>
      </c>
      <c r="B10" s="199"/>
      <c r="C10" s="199"/>
      <c r="D10" s="199"/>
      <c r="E10" s="199"/>
      <c r="F10" s="199"/>
      <c r="G10" s="199"/>
      <c r="H10" s="199"/>
      <c r="I10" s="199"/>
    </row>
    <row r="11" spans="1:9" ht="15.75">
      <c r="A11" s="4"/>
    </row>
    <row r="12" spans="1:9" ht="87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</row>
    <row r="15" spans="1:9">
      <c r="A15" s="201" t="s">
        <v>4</v>
      </c>
      <c r="B15" s="201"/>
      <c r="C15" s="201"/>
      <c r="D15" s="201"/>
      <c r="E15" s="201"/>
      <c r="F15" s="201"/>
      <c r="G15" s="201"/>
      <c r="H15" s="201"/>
      <c r="I15" s="201"/>
    </row>
    <row r="16" spans="1:9" ht="15.75" customHeight="1">
      <c r="A16" s="26">
        <v>1</v>
      </c>
      <c r="B16" s="53" t="s">
        <v>82</v>
      </c>
      <c r="C16" s="54" t="s">
        <v>90</v>
      </c>
      <c r="D16" s="53" t="s">
        <v>132</v>
      </c>
      <c r="E16" s="55">
        <v>95.04</v>
      </c>
      <c r="F16" s="56">
        <f>SUM(E16*156/100)</f>
        <v>148.26240000000001</v>
      </c>
      <c r="G16" s="142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7.25" customHeight="1">
      <c r="A17" s="26">
        <v>2</v>
      </c>
      <c r="B17" s="53" t="s">
        <v>88</v>
      </c>
      <c r="C17" s="54" t="s">
        <v>90</v>
      </c>
      <c r="D17" s="53" t="s">
        <v>133</v>
      </c>
      <c r="E17" s="55">
        <v>380.16</v>
      </c>
      <c r="F17" s="56">
        <f>SUM(E17*104/100)</f>
        <v>395.3664</v>
      </c>
      <c r="G17" s="142">
        <v>230</v>
      </c>
      <c r="H17" s="57">
        <f t="shared" si="0"/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89</v>
      </c>
      <c r="C18" s="54" t="s">
        <v>90</v>
      </c>
      <c r="D18" s="53" t="s">
        <v>134</v>
      </c>
      <c r="E18" s="55">
        <f>SUM(E16+E17)</f>
        <v>475.20000000000005</v>
      </c>
      <c r="F18" s="56">
        <f>SUM(E18*24/100)</f>
        <v>114.04800000000002</v>
      </c>
      <c r="G18" s="142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91</v>
      </c>
      <c r="C19" s="54" t="s">
        <v>92</v>
      </c>
      <c r="D19" s="53" t="s">
        <v>93</v>
      </c>
      <c r="E19" s="55">
        <v>93.4</v>
      </c>
      <c r="F19" s="56">
        <f>SUM(E19/10)</f>
        <v>9.34</v>
      </c>
      <c r="G19" s="142">
        <v>223.17</v>
      </c>
      <c r="H19" s="57">
        <f t="shared" si="0"/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94</v>
      </c>
      <c r="C20" s="54" t="s">
        <v>90</v>
      </c>
      <c r="D20" s="53" t="s">
        <v>41</v>
      </c>
      <c r="E20" s="55">
        <v>43.2</v>
      </c>
      <c r="F20" s="56">
        <f>SUM(E20*2/100)</f>
        <v>0.8640000000000001</v>
      </c>
      <c r="G20" s="142">
        <v>285.76</v>
      </c>
      <c r="H20" s="57">
        <f t="shared" si="0"/>
        <v>0.24689664000000003</v>
      </c>
      <c r="I20" s="12">
        <f t="shared" ref="I20:I21" si="1">F20/2*G20</f>
        <v>123.44832000000001</v>
      </c>
    </row>
    <row r="21" spans="1:9" hidden="1">
      <c r="A21" s="26">
        <v>5</v>
      </c>
      <c r="B21" s="53" t="s">
        <v>95</v>
      </c>
      <c r="C21" s="54" t="s">
        <v>90</v>
      </c>
      <c r="D21" s="53" t="s">
        <v>41</v>
      </c>
      <c r="E21" s="55">
        <v>10.08</v>
      </c>
      <c r="F21" s="56">
        <f>SUM(E21*2/100)</f>
        <v>0.2016</v>
      </c>
      <c r="G21" s="142">
        <v>283.44</v>
      </c>
      <c r="H21" s="57">
        <f t="shared" si="0"/>
        <v>5.7141503999999996E-2</v>
      </c>
      <c r="I21" s="12">
        <f t="shared" si="1"/>
        <v>28.570751999999999</v>
      </c>
    </row>
    <row r="22" spans="1:9" hidden="1">
      <c r="A22" s="26">
        <v>7</v>
      </c>
      <c r="B22" s="53" t="s">
        <v>96</v>
      </c>
      <c r="C22" s="54" t="s">
        <v>51</v>
      </c>
      <c r="D22" s="53" t="s">
        <v>93</v>
      </c>
      <c r="E22" s="55">
        <v>642.6</v>
      </c>
      <c r="F22" s="56">
        <f>SUM(E22/100)</f>
        <v>6.4260000000000002</v>
      </c>
      <c r="G22" s="142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97</v>
      </c>
      <c r="C23" s="54" t="s">
        <v>51</v>
      </c>
      <c r="D23" s="53" t="s">
        <v>93</v>
      </c>
      <c r="E23" s="58">
        <v>35.28</v>
      </c>
      <c r="F23" s="56">
        <f>SUM(E23/100)</f>
        <v>0.3528</v>
      </c>
      <c r="G23" s="142">
        <v>58.08</v>
      </c>
      <c r="H23" s="57">
        <f t="shared" si="0"/>
        <v>2.0490623999999999E-2</v>
      </c>
      <c r="I23" s="12">
        <f t="shared" ref="I23:I24" si="2">F23*G23</f>
        <v>20.490624</v>
      </c>
    </row>
    <row r="24" spans="1:9" hidden="1">
      <c r="A24" s="26">
        <v>9</v>
      </c>
      <c r="B24" s="53" t="s">
        <v>98</v>
      </c>
      <c r="C24" s="54" t="s">
        <v>51</v>
      </c>
      <c r="D24" s="53" t="s">
        <v>93</v>
      </c>
      <c r="E24" s="55">
        <v>28.8</v>
      </c>
      <c r="F24" s="56">
        <f>SUM(E24/100)</f>
        <v>0.28800000000000003</v>
      </c>
      <c r="G24" s="142">
        <v>683.05</v>
      </c>
      <c r="H24" s="57">
        <f t="shared" si="0"/>
        <v>0.19671840000000002</v>
      </c>
      <c r="I24" s="12">
        <f t="shared" si="2"/>
        <v>196.7184</v>
      </c>
    </row>
    <row r="25" spans="1:9" ht="15" customHeight="1">
      <c r="A25" s="26">
        <v>4</v>
      </c>
      <c r="B25" s="53" t="s">
        <v>63</v>
      </c>
      <c r="C25" s="54" t="s">
        <v>33</v>
      </c>
      <c r="D25" s="53" t="s">
        <v>184</v>
      </c>
      <c r="E25" s="55">
        <v>0.1</v>
      </c>
      <c r="F25" s="56">
        <f>SUM(E25*365)</f>
        <v>36.5</v>
      </c>
      <c r="G25" s="142">
        <v>264.85000000000002</v>
      </c>
      <c r="H25" s="57">
        <f>SUM(F25*G25/1000)</f>
        <v>9.6670250000000006</v>
      </c>
      <c r="I25" s="12">
        <f>15.5/12*G25</f>
        <v>342.09791666666672</v>
      </c>
    </row>
    <row r="26" spans="1:9" hidden="1">
      <c r="A26" s="26">
        <v>5</v>
      </c>
      <c r="B26" s="61" t="s">
        <v>23</v>
      </c>
      <c r="C26" s="54" t="s">
        <v>24</v>
      </c>
      <c r="D26" s="53" t="s">
        <v>184</v>
      </c>
      <c r="E26" s="55">
        <v>3945</v>
      </c>
      <c r="F26" s="56">
        <f>SUM(E26*12)</f>
        <v>47340</v>
      </c>
      <c r="G26" s="142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02" t="s">
        <v>185</v>
      </c>
      <c r="B27" s="203"/>
      <c r="C27" s="203"/>
      <c r="D27" s="203"/>
      <c r="E27" s="203"/>
      <c r="F27" s="203"/>
      <c r="G27" s="203"/>
      <c r="H27" s="203"/>
      <c r="I27" s="204"/>
    </row>
    <row r="28" spans="1:9" hidden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idden="1">
      <c r="A29" s="26">
        <v>6</v>
      </c>
      <c r="B29" s="53" t="s">
        <v>99</v>
      </c>
      <c r="C29" s="54" t="s">
        <v>186</v>
      </c>
      <c r="D29" s="53" t="s">
        <v>138</v>
      </c>
      <c r="E29" s="56">
        <v>1044.6500000000001</v>
      </c>
      <c r="F29" s="56">
        <f>SUM(E29*52/1000)</f>
        <v>54.321800000000003</v>
      </c>
      <c r="G29" s="142">
        <v>204.44</v>
      </c>
      <c r="H29" s="57">
        <f t="shared" ref="H29:H35" si="3">SUM(F29*G29/1000)</f>
        <v>11.105548792000002</v>
      </c>
      <c r="I29" s="12">
        <f>17.064/6*G29</f>
        <v>581.42736000000002</v>
      </c>
    </row>
    <row r="30" spans="1:9" ht="45" hidden="1">
      <c r="A30" s="26">
        <v>7</v>
      </c>
      <c r="B30" s="53" t="s">
        <v>127</v>
      </c>
      <c r="C30" s="54" t="s">
        <v>100</v>
      </c>
      <c r="D30" s="53" t="s">
        <v>139</v>
      </c>
      <c r="E30" s="56">
        <v>116.93</v>
      </c>
      <c r="F30" s="56">
        <f>SUM(E30*78/1000)</f>
        <v>9.1205400000000001</v>
      </c>
      <c r="G30" s="142">
        <v>339.21</v>
      </c>
      <c r="H30" s="57">
        <f t="shared" si="3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100</v>
      </c>
      <c r="D31" s="53" t="s">
        <v>52</v>
      </c>
      <c r="E31" s="56">
        <v>1044.6500000000001</v>
      </c>
      <c r="F31" s="56">
        <f>SUM(E31/1000)</f>
        <v>1.0446500000000001</v>
      </c>
      <c r="G31" s="142">
        <v>3961.23</v>
      </c>
      <c r="H31" s="57">
        <f t="shared" si="3"/>
        <v>4.1380989195</v>
      </c>
      <c r="I31" s="12">
        <f>0.3555*G31</f>
        <v>1408.217265</v>
      </c>
    </row>
    <row r="32" spans="1:9" hidden="1">
      <c r="A32" s="26">
        <v>8</v>
      </c>
      <c r="B32" s="53" t="s">
        <v>118</v>
      </c>
      <c r="C32" s="54" t="s">
        <v>39</v>
      </c>
      <c r="D32" s="53" t="s">
        <v>140</v>
      </c>
      <c r="E32" s="56">
        <v>6</v>
      </c>
      <c r="F32" s="56">
        <v>9.3000000000000007</v>
      </c>
      <c r="G32" s="142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>
        <v>9</v>
      </c>
      <c r="B33" s="53" t="s">
        <v>101</v>
      </c>
      <c r="C33" s="54" t="s">
        <v>31</v>
      </c>
      <c r="D33" s="53" t="s">
        <v>62</v>
      </c>
      <c r="E33" s="60">
        <v>0.33333333333333331</v>
      </c>
      <c r="F33" s="56">
        <f>155/3</f>
        <v>51.666666666666664</v>
      </c>
      <c r="G33" s="142">
        <v>74.349999999999994</v>
      </c>
      <c r="H33" s="57">
        <f>SUM(G33*155/3/1000)</f>
        <v>3.8414166666666665</v>
      </c>
      <c r="I33" s="12">
        <f t="shared" ref="I33" si="4">F33/6*G33</f>
        <v>640.23611111111109</v>
      </c>
    </row>
    <row r="34" spans="1:9" hidden="1">
      <c r="A34" s="26"/>
      <c r="B34" s="53" t="s">
        <v>64</v>
      </c>
      <c r="C34" s="54" t="s">
        <v>33</v>
      </c>
      <c r="D34" s="53" t="s">
        <v>66</v>
      </c>
      <c r="E34" s="55"/>
      <c r="F34" s="56">
        <v>3</v>
      </c>
      <c r="G34" s="56">
        <v>204.52</v>
      </c>
      <c r="H34" s="57">
        <f t="shared" si="3"/>
        <v>0.61356000000000011</v>
      </c>
      <c r="I34" s="12">
        <v>0</v>
      </c>
    </row>
    <row r="35" spans="1:9" hidden="1">
      <c r="A35" s="26"/>
      <c r="B35" s="53" t="s">
        <v>65</v>
      </c>
      <c r="C35" s="54" t="s">
        <v>32</v>
      </c>
      <c r="D35" s="53" t="s">
        <v>66</v>
      </c>
      <c r="E35" s="55"/>
      <c r="F35" s="56">
        <v>2</v>
      </c>
      <c r="G35" s="56">
        <v>1136.33</v>
      </c>
      <c r="H35" s="57">
        <f t="shared" si="3"/>
        <v>2.2726599999999997</v>
      </c>
      <c r="I35" s="12">
        <v>0</v>
      </c>
    </row>
    <row r="36" spans="1:9" ht="16.5" customHeight="1">
      <c r="A36" s="26"/>
      <c r="B36" s="75" t="s">
        <v>5</v>
      </c>
      <c r="C36" s="54"/>
      <c r="D36" s="53"/>
      <c r="E36" s="177"/>
      <c r="F36" s="142"/>
      <c r="G36" s="142"/>
      <c r="H36" s="57" t="s">
        <v>125</v>
      </c>
      <c r="I36" s="12"/>
    </row>
    <row r="37" spans="1:9" ht="15.75" customHeight="1">
      <c r="A37" s="26">
        <v>5</v>
      </c>
      <c r="B37" s="53" t="s">
        <v>26</v>
      </c>
      <c r="C37" s="54" t="s">
        <v>32</v>
      </c>
      <c r="D37" s="53"/>
      <c r="E37" s="177"/>
      <c r="F37" s="142">
        <v>3</v>
      </c>
      <c r="G37" s="142">
        <v>2003</v>
      </c>
      <c r="H37" s="57">
        <f t="shared" ref="H37:H43" si="5">SUM(F37*G37/1000)</f>
        <v>6.0090000000000003</v>
      </c>
      <c r="I37" s="12">
        <f>F37/6*G37</f>
        <v>1001.5</v>
      </c>
    </row>
    <row r="38" spans="1:9" ht="15" customHeight="1">
      <c r="A38" s="26">
        <v>6</v>
      </c>
      <c r="B38" s="189" t="s">
        <v>143</v>
      </c>
      <c r="C38" s="190" t="s">
        <v>29</v>
      </c>
      <c r="D38" s="191" t="s">
        <v>102</v>
      </c>
      <c r="E38" s="177">
        <v>111.6</v>
      </c>
      <c r="F38" s="179">
        <f>E38*30/1000</f>
        <v>3.3479999999999999</v>
      </c>
      <c r="G38" s="142">
        <v>2757.78</v>
      </c>
      <c r="H38" s="57">
        <f>G38*F38/1000</f>
        <v>9.23304744</v>
      </c>
      <c r="I38" s="12">
        <f>F38/6*G38</f>
        <v>1538.84124</v>
      </c>
    </row>
    <row r="39" spans="1:9" hidden="1">
      <c r="A39" s="26"/>
      <c r="B39" s="53" t="s">
        <v>190</v>
      </c>
      <c r="C39" s="54" t="s">
        <v>191</v>
      </c>
      <c r="D39" s="53" t="s">
        <v>66</v>
      </c>
      <c r="E39" s="142">
        <v>111.6</v>
      </c>
      <c r="F39" s="179">
        <f>SUM(E39*30/1000)</f>
        <v>3.3479999999999999</v>
      </c>
      <c r="G39" s="142">
        <v>7611.16</v>
      </c>
      <c r="H39" s="57">
        <f>G39*F39/1000</f>
        <v>25.482163679999999</v>
      </c>
      <c r="I39" s="12">
        <v>0</v>
      </c>
    </row>
    <row r="40" spans="1:9" ht="29.25" customHeight="1">
      <c r="A40" s="26">
        <v>7</v>
      </c>
      <c r="B40" s="53" t="s">
        <v>67</v>
      </c>
      <c r="C40" s="54" t="s">
        <v>29</v>
      </c>
      <c r="D40" s="53" t="s">
        <v>103</v>
      </c>
      <c r="E40" s="142">
        <v>111.6</v>
      </c>
      <c r="F40" s="179">
        <f>SUM(E40*155/1000)</f>
        <v>17.297999999999998</v>
      </c>
      <c r="G40" s="142">
        <v>460.02</v>
      </c>
      <c r="H40" s="57">
        <f t="shared" si="5"/>
        <v>7.9574259599999984</v>
      </c>
      <c r="I40" s="12">
        <f>F40/6*G40</f>
        <v>1326.2376599999998</v>
      </c>
    </row>
    <row r="41" spans="1:9" ht="45.75" customHeight="1">
      <c r="A41" s="26">
        <v>8</v>
      </c>
      <c r="B41" s="53" t="s">
        <v>80</v>
      </c>
      <c r="C41" s="54" t="s">
        <v>100</v>
      </c>
      <c r="D41" s="53" t="s">
        <v>119</v>
      </c>
      <c r="E41" s="142">
        <v>111.6</v>
      </c>
      <c r="F41" s="179">
        <f>SUM(E41*30/1000)</f>
        <v>3.3479999999999999</v>
      </c>
      <c r="G41" s="142">
        <v>7611.16</v>
      </c>
      <c r="H41" s="57">
        <f t="shared" si="5"/>
        <v>25.482163679999999</v>
      </c>
      <c r="I41" s="12">
        <f>F41/6*G41</f>
        <v>4247.0272799999993</v>
      </c>
    </row>
    <row r="42" spans="1:9" ht="18" customHeight="1">
      <c r="A42" s="26">
        <v>9</v>
      </c>
      <c r="B42" s="53" t="s">
        <v>104</v>
      </c>
      <c r="C42" s="54" t="s">
        <v>100</v>
      </c>
      <c r="D42" s="53" t="s">
        <v>192</v>
      </c>
      <c r="E42" s="142">
        <v>111.6</v>
      </c>
      <c r="F42" s="179">
        <f>SUM(E42*24/1000)</f>
        <v>2.6783999999999994</v>
      </c>
      <c r="G42" s="142">
        <v>562.25</v>
      </c>
      <c r="H42" s="57">
        <f t="shared" si="5"/>
        <v>1.5059303999999998</v>
      </c>
      <c r="I42" s="12">
        <f>F42/7.5*1.5*G42</f>
        <v>301.18607999999995</v>
      </c>
    </row>
    <row r="43" spans="1:9" ht="15.75" customHeight="1">
      <c r="A43" s="126">
        <v>10</v>
      </c>
      <c r="B43" s="62" t="s">
        <v>68</v>
      </c>
      <c r="C43" s="63" t="s">
        <v>33</v>
      </c>
      <c r="D43" s="62"/>
      <c r="E43" s="178"/>
      <c r="F43" s="179">
        <v>0.6</v>
      </c>
      <c r="G43" s="179">
        <v>974.83</v>
      </c>
      <c r="H43" s="65">
        <f t="shared" si="5"/>
        <v>0.58489800000000003</v>
      </c>
      <c r="I43" s="74">
        <f>F43/7.5*1.5*G43</f>
        <v>116.9796</v>
      </c>
    </row>
    <row r="44" spans="1:9" ht="31.5" customHeight="1">
      <c r="A44" s="26">
        <v>11</v>
      </c>
      <c r="B44" s="111" t="s">
        <v>144</v>
      </c>
      <c r="C44" s="112" t="s">
        <v>29</v>
      </c>
      <c r="D44" s="180" t="s">
        <v>145</v>
      </c>
      <c r="E44" s="181">
        <v>1.2</v>
      </c>
      <c r="F44" s="182">
        <f>SUM(E44*12/1000)</f>
        <v>1.4399999999999998E-2</v>
      </c>
      <c r="G44" s="182">
        <v>260.2</v>
      </c>
      <c r="H44" s="12"/>
      <c r="I44" s="12">
        <f>G44*F44/6</f>
        <v>0.62447999999999981</v>
      </c>
    </row>
    <row r="45" spans="1:9">
      <c r="A45" s="202" t="s">
        <v>193</v>
      </c>
      <c r="B45" s="203"/>
      <c r="C45" s="203"/>
      <c r="D45" s="203"/>
      <c r="E45" s="203"/>
      <c r="F45" s="203"/>
      <c r="G45" s="203"/>
      <c r="H45" s="203"/>
      <c r="I45" s="204"/>
    </row>
    <row r="46" spans="1:9" hidden="1">
      <c r="A46" s="26">
        <v>12</v>
      </c>
      <c r="B46" s="53" t="s">
        <v>121</v>
      </c>
      <c r="C46" s="54" t="s">
        <v>100</v>
      </c>
      <c r="D46" s="53" t="s">
        <v>41</v>
      </c>
      <c r="E46" s="55">
        <v>1030.4000000000001</v>
      </c>
      <c r="F46" s="56">
        <f>SUM(E46*2/1000)</f>
        <v>2.0608</v>
      </c>
      <c r="G46" s="137">
        <v>1114.1300000000001</v>
      </c>
      <c r="H46" s="57">
        <f t="shared" ref="H46:H55" si="6">SUM(F46*G46/1000)</f>
        <v>2.2959991039999998</v>
      </c>
      <c r="I46" s="12">
        <f t="shared" ref="I46:I48" si="7">F46/2*G46</f>
        <v>1147.999552</v>
      </c>
    </row>
    <row r="47" spans="1:9" hidden="1">
      <c r="A47" s="26">
        <v>13</v>
      </c>
      <c r="B47" s="53" t="s">
        <v>34</v>
      </c>
      <c r="C47" s="54" t="s">
        <v>100</v>
      </c>
      <c r="D47" s="53" t="s">
        <v>41</v>
      </c>
      <c r="E47" s="55">
        <v>132</v>
      </c>
      <c r="F47" s="56">
        <f>E47*2/1000</f>
        <v>0.26400000000000001</v>
      </c>
      <c r="G47" s="137">
        <v>4419.05</v>
      </c>
      <c r="H47" s="57">
        <f t="shared" si="6"/>
        <v>1.1666292</v>
      </c>
      <c r="I47" s="12">
        <f t="shared" si="7"/>
        <v>583.31460000000004</v>
      </c>
    </row>
    <row r="48" spans="1:9" hidden="1">
      <c r="A48" s="26">
        <v>14</v>
      </c>
      <c r="B48" s="53" t="s">
        <v>35</v>
      </c>
      <c r="C48" s="54" t="s">
        <v>100</v>
      </c>
      <c r="D48" s="53" t="s">
        <v>41</v>
      </c>
      <c r="E48" s="55">
        <v>4248.22</v>
      </c>
      <c r="F48" s="56">
        <f>SUM(E48*2/1000)</f>
        <v>8.4964399999999998</v>
      </c>
      <c r="G48" s="137">
        <v>1803.69</v>
      </c>
      <c r="H48" s="57">
        <f t="shared" si="6"/>
        <v>15.3249438636</v>
      </c>
      <c r="I48" s="12">
        <f t="shared" si="7"/>
        <v>7662.4719317999998</v>
      </c>
    </row>
    <row r="49" spans="1:9" hidden="1">
      <c r="A49" s="26">
        <v>15</v>
      </c>
      <c r="B49" s="53" t="s">
        <v>36</v>
      </c>
      <c r="C49" s="54" t="s">
        <v>100</v>
      </c>
      <c r="D49" s="53" t="s">
        <v>41</v>
      </c>
      <c r="E49" s="55">
        <v>2163.66</v>
      </c>
      <c r="F49" s="56">
        <f>SUM(E49*2/1000)</f>
        <v>4.3273199999999994</v>
      </c>
      <c r="G49" s="137">
        <v>1243.43</v>
      </c>
      <c r="H49" s="57">
        <f t="shared" si="6"/>
        <v>5.3807195075999994</v>
      </c>
      <c r="I49" s="12">
        <f>F49/2*G49</f>
        <v>2690.3597537999999</v>
      </c>
    </row>
    <row r="50" spans="1:9" ht="18" customHeight="1">
      <c r="A50" s="26">
        <v>12</v>
      </c>
      <c r="B50" s="53" t="s">
        <v>55</v>
      </c>
      <c r="C50" s="54" t="s">
        <v>100</v>
      </c>
      <c r="D50" s="53" t="s">
        <v>131</v>
      </c>
      <c r="E50" s="55">
        <v>1015.4</v>
      </c>
      <c r="F50" s="56">
        <f>SUM(E50*5/1000)</f>
        <v>5.077</v>
      </c>
      <c r="G50" s="137">
        <v>1083.69</v>
      </c>
      <c r="H50" s="57">
        <f t="shared" si="6"/>
        <v>5.5018941300000002</v>
      </c>
      <c r="I50" s="12">
        <f>3.945*G50</f>
        <v>4275.1570499999998</v>
      </c>
    </row>
    <row r="51" spans="1:9" ht="45" hidden="1">
      <c r="A51" s="26">
        <v>10</v>
      </c>
      <c r="B51" s="53" t="s">
        <v>105</v>
      </c>
      <c r="C51" s="54" t="s">
        <v>100</v>
      </c>
      <c r="D51" s="53" t="s">
        <v>41</v>
      </c>
      <c r="E51" s="177">
        <v>3945</v>
      </c>
      <c r="F51" s="142">
        <f>SUM(E51*2/1000)</f>
        <v>7.89</v>
      </c>
      <c r="G51" s="137">
        <v>1591.6</v>
      </c>
      <c r="H51" s="57">
        <f t="shared" si="6"/>
        <v>12.557723999999999</v>
      </c>
      <c r="I51" s="12">
        <f>G51*F51/2</f>
        <v>6278.8619999999992</v>
      </c>
    </row>
    <row r="52" spans="1:9" ht="30" hidden="1">
      <c r="A52" s="26">
        <v>11</v>
      </c>
      <c r="B52" s="53" t="s">
        <v>106</v>
      </c>
      <c r="C52" s="54" t="s">
        <v>37</v>
      </c>
      <c r="D52" s="53" t="s">
        <v>41</v>
      </c>
      <c r="E52" s="177">
        <v>30</v>
      </c>
      <c r="F52" s="142">
        <f>SUM(E52*2/100)</f>
        <v>0.6</v>
      </c>
      <c r="G52" s="137">
        <v>4058.32</v>
      </c>
      <c r="H52" s="57">
        <f t="shared" si="6"/>
        <v>2.4349920000000003</v>
      </c>
      <c r="I52" s="12">
        <f>G52*F52/2</f>
        <v>1217.4960000000001</v>
      </c>
    </row>
    <row r="53" spans="1:9" hidden="1">
      <c r="A53" s="26">
        <v>12</v>
      </c>
      <c r="B53" s="53" t="s">
        <v>38</v>
      </c>
      <c r="C53" s="54" t="s">
        <v>39</v>
      </c>
      <c r="D53" s="53" t="s">
        <v>41</v>
      </c>
      <c r="E53" s="177">
        <v>1</v>
      </c>
      <c r="F53" s="142">
        <v>0.02</v>
      </c>
      <c r="G53" s="137">
        <v>7412.92</v>
      </c>
      <c r="H53" s="57">
        <f t="shared" si="6"/>
        <v>0.14825839999999998</v>
      </c>
      <c r="I53" s="12">
        <f>G53*F53/2</f>
        <v>74.129199999999997</v>
      </c>
    </row>
    <row r="54" spans="1:9" hidden="1">
      <c r="A54" s="26">
        <v>17</v>
      </c>
      <c r="B54" s="53" t="s">
        <v>120</v>
      </c>
      <c r="C54" s="54" t="s">
        <v>86</v>
      </c>
      <c r="D54" s="53" t="s">
        <v>69</v>
      </c>
      <c r="E54" s="55">
        <v>90</v>
      </c>
      <c r="F54" s="56">
        <f>E54*4</f>
        <v>360</v>
      </c>
      <c r="G54" s="137">
        <v>185.08</v>
      </c>
      <c r="H54" s="57">
        <f>F54*G54/1000</f>
        <v>66.628799999999998</v>
      </c>
      <c r="I54" s="12">
        <f>G54*E54</f>
        <v>16657.2</v>
      </c>
    </row>
    <row r="55" spans="1:9" hidden="1">
      <c r="A55" s="26">
        <v>18</v>
      </c>
      <c r="B55" s="53" t="s">
        <v>40</v>
      </c>
      <c r="C55" s="54" t="s">
        <v>86</v>
      </c>
      <c r="D55" s="53" t="s">
        <v>69</v>
      </c>
      <c r="E55" s="55">
        <v>180</v>
      </c>
      <c r="F55" s="56">
        <f>SUM(E55)*3</f>
        <v>540</v>
      </c>
      <c r="G55" s="141">
        <v>86.15</v>
      </c>
      <c r="H55" s="57">
        <f t="shared" si="6"/>
        <v>46.521000000000001</v>
      </c>
      <c r="I55" s="12">
        <f>G55*E55</f>
        <v>15507.000000000002</v>
      </c>
    </row>
    <row r="56" spans="1:9">
      <c r="A56" s="202" t="s">
        <v>128</v>
      </c>
      <c r="B56" s="203"/>
      <c r="C56" s="203"/>
      <c r="D56" s="203"/>
      <c r="E56" s="203"/>
      <c r="F56" s="203"/>
      <c r="G56" s="203"/>
      <c r="H56" s="203"/>
      <c r="I56" s="204"/>
    </row>
    <row r="57" spans="1:9">
      <c r="A57" s="26"/>
      <c r="B57" s="75" t="s">
        <v>42</v>
      </c>
      <c r="C57" s="54"/>
      <c r="D57" s="53"/>
      <c r="E57" s="55"/>
      <c r="F57" s="56"/>
      <c r="G57" s="56"/>
      <c r="H57" s="57"/>
      <c r="I57" s="12"/>
    </row>
    <row r="58" spans="1:9" ht="36.75" customHeight="1">
      <c r="A58" s="26">
        <v>13</v>
      </c>
      <c r="B58" s="53" t="s">
        <v>194</v>
      </c>
      <c r="C58" s="54" t="s">
        <v>90</v>
      </c>
      <c r="D58" s="53" t="s">
        <v>107</v>
      </c>
      <c r="E58" s="55">
        <v>148.04</v>
      </c>
      <c r="F58" s="56">
        <f>SUM(E58*6/100)</f>
        <v>8.8824000000000005</v>
      </c>
      <c r="G58" s="137">
        <v>2029.3</v>
      </c>
      <c r="H58" s="57">
        <f>SUM(F58*G58/1000)</f>
        <v>18.025054319999999</v>
      </c>
      <c r="I58" s="137">
        <f>G58*0.306*2</f>
        <v>1241.9315999999999</v>
      </c>
    </row>
    <row r="59" spans="1:9" ht="31.5" customHeight="1">
      <c r="A59" s="26">
        <v>14</v>
      </c>
      <c r="B59" s="53" t="s">
        <v>84</v>
      </c>
      <c r="C59" s="54" t="s">
        <v>90</v>
      </c>
      <c r="D59" s="53" t="s">
        <v>85</v>
      </c>
      <c r="E59" s="177">
        <v>39.69</v>
      </c>
      <c r="F59" s="142">
        <f>SUM(E59*12/100)</f>
        <v>4.7627999999999995</v>
      </c>
      <c r="G59" s="137">
        <v>2029.3</v>
      </c>
      <c r="H59" s="57">
        <f>SUM(F59*G59/1000)</f>
        <v>9.6651500399999986</v>
      </c>
      <c r="I59" s="12">
        <f>F59/6*G59</f>
        <v>1610.8583399999998</v>
      </c>
    </row>
    <row r="60" spans="1:9" hidden="1">
      <c r="A60" s="26">
        <v>18</v>
      </c>
      <c r="B60" s="62" t="s">
        <v>122</v>
      </c>
      <c r="C60" s="63" t="s">
        <v>123</v>
      </c>
      <c r="D60" s="62" t="s">
        <v>41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t="18" customHeight="1">
      <c r="A61" s="26">
        <v>15</v>
      </c>
      <c r="B61" s="53" t="s">
        <v>124</v>
      </c>
      <c r="C61" s="54" t="s">
        <v>90</v>
      </c>
      <c r="D61" s="53" t="s">
        <v>107</v>
      </c>
      <c r="E61" s="177">
        <v>18.84</v>
      </c>
      <c r="F61" s="142">
        <f>SUM(E61*6/100)</f>
        <v>1.1303999999999998</v>
      </c>
      <c r="G61" s="137">
        <v>2029.3</v>
      </c>
      <c r="H61" s="57">
        <f>SUM(F61*G61/1000)</f>
        <v>2.2939207199999996</v>
      </c>
      <c r="I61" s="12">
        <f>F61/6*G61</f>
        <v>382.32011999999997</v>
      </c>
    </row>
    <row r="62" spans="1:9" ht="17.25" customHeight="1">
      <c r="A62" s="26"/>
      <c r="B62" s="76" t="s">
        <v>43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195</v>
      </c>
      <c r="C63" s="63" t="s">
        <v>51</v>
      </c>
      <c r="D63" s="62" t="s">
        <v>52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6.5" customHeight="1">
      <c r="A64" s="26">
        <v>16</v>
      </c>
      <c r="B64" s="62" t="s">
        <v>87</v>
      </c>
      <c r="C64" s="63" t="s">
        <v>25</v>
      </c>
      <c r="D64" s="62" t="s">
        <v>30</v>
      </c>
      <c r="E64" s="64">
        <v>203.1</v>
      </c>
      <c r="F64" s="67">
        <f>E64*12</f>
        <v>2437.1999999999998</v>
      </c>
      <c r="G64" s="48">
        <v>1.2</v>
      </c>
      <c r="H64" s="65">
        <f>F64*G64/1000</f>
        <v>2.9246399999999997</v>
      </c>
      <c r="I64" s="12">
        <f>2400/12*G64</f>
        <v>240</v>
      </c>
    </row>
    <row r="65" spans="1:9" hidden="1">
      <c r="A65" s="26"/>
      <c r="B65" s="76" t="s">
        <v>44</v>
      </c>
      <c r="C65" s="63"/>
      <c r="D65" s="62"/>
      <c r="E65" s="64"/>
      <c r="F65" s="67"/>
      <c r="G65" s="67"/>
      <c r="H65" s="65" t="s">
        <v>125</v>
      </c>
      <c r="I65" s="12"/>
    </row>
    <row r="66" spans="1:9" hidden="1">
      <c r="A66" s="26">
        <v>14</v>
      </c>
      <c r="B66" s="13" t="s">
        <v>45</v>
      </c>
      <c r="C66" s="15" t="s">
        <v>86</v>
      </c>
      <c r="D66" s="13"/>
      <c r="E66" s="17">
        <v>10</v>
      </c>
      <c r="F66" s="56">
        <v>10</v>
      </c>
      <c r="G66" s="137">
        <v>291.68</v>
      </c>
      <c r="H66" s="68">
        <f t="shared" ref="H66:H79" si="8">SUM(F66*G66/1000)</f>
        <v>2.9168000000000003</v>
      </c>
      <c r="I66" s="12">
        <f>G66*2</f>
        <v>583.36</v>
      </c>
    </row>
    <row r="67" spans="1:9" hidden="1">
      <c r="A67" s="26"/>
      <c r="B67" s="13" t="s">
        <v>46</v>
      </c>
      <c r="C67" s="15" t="s">
        <v>86</v>
      </c>
      <c r="D67" s="13" t="s">
        <v>66</v>
      </c>
      <c r="E67" s="17">
        <v>5</v>
      </c>
      <c r="F67" s="56">
        <v>5</v>
      </c>
      <c r="G67" s="12">
        <v>81.510000000000005</v>
      </c>
      <c r="H67" s="68">
        <f t="shared" si="8"/>
        <v>0.40755000000000002</v>
      </c>
      <c r="I67" s="12">
        <v>0</v>
      </c>
    </row>
    <row r="68" spans="1:9" hidden="1">
      <c r="A68" s="26">
        <v>25</v>
      </c>
      <c r="B68" s="13" t="s">
        <v>47</v>
      </c>
      <c r="C68" s="15" t="s">
        <v>109</v>
      </c>
      <c r="D68" s="13" t="s">
        <v>52</v>
      </c>
      <c r="E68" s="55">
        <v>14205</v>
      </c>
      <c r="F68" s="12">
        <f>SUM(E68/100)</f>
        <v>142.05000000000001</v>
      </c>
      <c r="G68" s="137">
        <v>278.24</v>
      </c>
      <c r="H68" s="68">
        <f t="shared" si="8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48</v>
      </c>
      <c r="C69" s="15" t="s">
        <v>110</v>
      </c>
      <c r="D69" s="13" t="s">
        <v>52</v>
      </c>
      <c r="E69" s="55">
        <v>14205</v>
      </c>
      <c r="F69" s="12">
        <f>SUM(E69/1000)</f>
        <v>14.205</v>
      </c>
      <c r="G69" s="137">
        <v>216.68</v>
      </c>
      <c r="H69" s="68">
        <f t="shared" si="8"/>
        <v>3.0779394</v>
      </c>
      <c r="I69" s="12">
        <f t="shared" ref="I69:I70" si="9">F69*G69</f>
        <v>3077.9394000000002</v>
      </c>
    </row>
    <row r="70" spans="1:9" hidden="1">
      <c r="A70" s="26">
        <v>27</v>
      </c>
      <c r="B70" s="13" t="s">
        <v>49</v>
      </c>
      <c r="C70" s="15" t="s">
        <v>75</v>
      </c>
      <c r="D70" s="13" t="s">
        <v>52</v>
      </c>
      <c r="E70" s="55">
        <v>2131</v>
      </c>
      <c r="F70" s="12">
        <f>SUM(E70/100)</f>
        <v>21.31</v>
      </c>
      <c r="G70" s="137">
        <v>2720.94</v>
      </c>
      <c r="H70" s="68">
        <f t="shared" si="8"/>
        <v>57.983231399999994</v>
      </c>
      <c r="I70" s="12">
        <f t="shared" si="9"/>
        <v>57983.231399999997</v>
      </c>
    </row>
    <row r="71" spans="1:9" hidden="1">
      <c r="A71" s="26">
        <v>28</v>
      </c>
      <c r="B71" s="69" t="s">
        <v>111</v>
      </c>
      <c r="C71" s="15" t="s">
        <v>33</v>
      </c>
      <c r="D71" s="13" t="s">
        <v>52</v>
      </c>
      <c r="E71" s="55">
        <v>12.48</v>
      </c>
      <c r="F71" s="12">
        <f>SUM(E71)</f>
        <v>12.48</v>
      </c>
      <c r="G71" s="137">
        <v>44.31</v>
      </c>
      <c r="H71" s="68">
        <f t="shared" si="8"/>
        <v>0.55298880000000006</v>
      </c>
      <c r="I71" s="12">
        <f>7*G71</f>
        <v>310.17</v>
      </c>
    </row>
    <row r="72" spans="1:9" hidden="1">
      <c r="A72" s="26">
        <v>29</v>
      </c>
      <c r="B72" s="69" t="s">
        <v>112</v>
      </c>
      <c r="C72" s="15" t="s">
        <v>33</v>
      </c>
      <c r="D72" s="13" t="s">
        <v>52</v>
      </c>
      <c r="E72" s="55">
        <v>12.48</v>
      </c>
      <c r="F72" s="12">
        <f>SUM(E72)</f>
        <v>12.48</v>
      </c>
      <c r="G72" s="137">
        <v>47.79</v>
      </c>
      <c r="H72" s="68">
        <f t="shared" si="8"/>
        <v>0.59641920000000004</v>
      </c>
      <c r="I72" s="12">
        <f>7*G72</f>
        <v>334.53</v>
      </c>
    </row>
    <row r="73" spans="1:9" hidden="1">
      <c r="A73" s="26">
        <v>21</v>
      </c>
      <c r="B73" s="13" t="s">
        <v>56</v>
      </c>
      <c r="C73" s="15" t="s">
        <v>57</v>
      </c>
      <c r="D73" s="13" t="s">
        <v>52</v>
      </c>
      <c r="E73" s="17">
        <v>5</v>
      </c>
      <c r="F73" s="56">
        <v>6</v>
      </c>
      <c r="G73" s="12">
        <v>65.42</v>
      </c>
      <c r="H73" s="68">
        <f t="shared" si="8"/>
        <v>0.39251999999999998</v>
      </c>
      <c r="I73" s="12">
        <f>F73/1*G73</f>
        <v>392.52</v>
      </c>
    </row>
    <row r="74" spans="1:9" ht="15.75" customHeight="1">
      <c r="A74" s="26"/>
      <c r="B74" s="187" t="s">
        <v>70</v>
      </c>
      <c r="C74" s="15"/>
      <c r="D74" s="13"/>
      <c r="E74" s="17"/>
      <c r="F74" s="12"/>
      <c r="G74" s="12"/>
      <c r="H74" s="68" t="s">
        <v>125</v>
      </c>
      <c r="I74" s="12"/>
    </row>
    <row r="75" spans="1:9" ht="15.75" customHeight="1">
      <c r="A75" s="26">
        <v>17</v>
      </c>
      <c r="B75" s="13" t="s">
        <v>71</v>
      </c>
      <c r="C75" s="15" t="s">
        <v>73</v>
      </c>
      <c r="D75" s="13" t="s">
        <v>66</v>
      </c>
      <c r="E75" s="17">
        <v>2</v>
      </c>
      <c r="F75" s="137">
        <f>E75/10</f>
        <v>0.2</v>
      </c>
      <c r="G75" s="137">
        <v>657.87</v>
      </c>
      <c r="H75" s="68">
        <f t="shared" si="8"/>
        <v>0.13157400000000002</v>
      </c>
      <c r="I75" s="12">
        <f>G75*0.4</f>
        <v>263.14800000000002</v>
      </c>
    </row>
    <row r="76" spans="1:9" hidden="1">
      <c r="A76" s="26"/>
      <c r="B76" s="13" t="s">
        <v>72</v>
      </c>
      <c r="C76" s="15" t="s">
        <v>31</v>
      </c>
      <c r="D76" s="13" t="s">
        <v>66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idden="1">
      <c r="A77" s="26"/>
      <c r="B77" s="13" t="s">
        <v>196</v>
      </c>
      <c r="C77" s="15" t="s">
        <v>31</v>
      </c>
      <c r="D77" s="13" t="s">
        <v>66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74</v>
      </c>
      <c r="C78" s="15"/>
      <c r="D78" s="13"/>
      <c r="E78" s="17"/>
      <c r="F78" s="12"/>
      <c r="G78" s="12" t="s">
        <v>125</v>
      </c>
      <c r="H78" s="68" t="s">
        <v>125</v>
      </c>
      <c r="I78" s="12"/>
    </row>
    <row r="79" spans="1:9" hidden="1">
      <c r="A79" s="26">
        <v>22</v>
      </c>
      <c r="B79" s="39" t="s">
        <v>115</v>
      </c>
      <c r="C79" s="15" t="s">
        <v>75</v>
      </c>
      <c r="D79" s="13"/>
      <c r="E79" s="17"/>
      <c r="F79" s="12">
        <v>0.9</v>
      </c>
      <c r="G79" s="12">
        <v>2757.42</v>
      </c>
      <c r="H79" s="68">
        <f t="shared" si="8"/>
        <v>2.4816780000000005</v>
      </c>
      <c r="I79" s="12">
        <f>G79*F79</f>
        <v>2481.6780000000003</v>
      </c>
    </row>
    <row r="80" spans="1:9" ht="30.75" customHeight="1">
      <c r="A80" s="26"/>
      <c r="B80" s="187" t="s">
        <v>113</v>
      </c>
      <c r="C80" s="70"/>
      <c r="D80" s="28"/>
      <c r="E80" s="29"/>
      <c r="F80" s="59"/>
      <c r="G80" s="59"/>
      <c r="H80" s="71">
        <f>SUM(H58:H79)</f>
        <v>153.97490686</v>
      </c>
      <c r="I80" s="59"/>
    </row>
    <row r="81" spans="1:9" ht="15.75" customHeight="1">
      <c r="A81" s="126">
        <v>18</v>
      </c>
      <c r="B81" s="62" t="s">
        <v>114</v>
      </c>
      <c r="C81" s="127"/>
      <c r="D81" s="128"/>
      <c r="E81" s="49"/>
      <c r="F81" s="74">
        <v>1</v>
      </c>
      <c r="G81" s="74">
        <v>8990.4</v>
      </c>
      <c r="H81" s="129">
        <f>G81*F81/1000</f>
        <v>8.9903999999999993</v>
      </c>
      <c r="I81" s="74">
        <f>G81</f>
        <v>8990.4</v>
      </c>
    </row>
    <row r="82" spans="1:9" ht="15" customHeight="1">
      <c r="A82" s="26"/>
      <c r="B82" s="150" t="s">
        <v>148</v>
      </c>
      <c r="C82" s="140"/>
      <c r="D82" s="13"/>
      <c r="E82" s="17"/>
      <c r="F82" s="12"/>
      <c r="G82" s="12"/>
      <c r="H82" s="12"/>
      <c r="I82" s="12"/>
    </row>
    <row r="83" spans="1:9" ht="33.75" customHeight="1">
      <c r="A83" s="26">
        <v>19</v>
      </c>
      <c r="B83" s="106" t="s">
        <v>149</v>
      </c>
      <c r="C83" s="32" t="s">
        <v>150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30" customHeight="1">
      <c r="A84" s="26">
        <v>20</v>
      </c>
      <c r="B84" s="111" t="s">
        <v>151</v>
      </c>
      <c r="C84" s="112" t="s">
        <v>86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10" t="s">
        <v>129</v>
      </c>
      <c r="B85" s="211"/>
      <c r="C85" s="211"/>
      <c r="D85" s="211"/>
      <c r="E85" s="211"/>
      <c r="F85" s="211"/>
      <c r="G85" s="211"/>
      <c r="H85" s="211"/>
      <c r="I85" s="212"/>
    </row>
    <row r="86" spans="1:9" ht="15.75" customHeight="1">
      <c r="A86" s="77">
        <v>21</v>
      </c>
      <c r="B86" s="130" t="s">
        <v>116</v>
      </c>
      <c r="C86" s="131" t="s">
        <v>53</v>
      </c>
      <c r="D86" s="132" t="s">
        <v>54</v>
      </c>
      <c r="E86" s="133">
        <v>3945</v>
      </c>
      <c r="F86" s="133">
        <f>SUM(E86*12)</f>
        <v>47340</v>
      </c>
      <c r="G86" s="137">
        <v>3.1</v>
      </c>
      <c r="H86" s="134">
        <f>SUM(F86*G86/1000)</f>
        <v>146.75399999999999</v>
      </c>
      <c r="I86" s="133">
        <f>F86/12*G86</f>
        <v>12229.5</v>
      </c>
    </row>
    <row r="87" spans="1:9" ht="35.25" customHeight="1">
      <c r="A87" s="26">
        <v>22</v>
      </c>
      <c r="B87" s="13" t="s">
        <v>76</v>
      </c>
      <c r="C87" s="15"/>
      <c r="D87" s="132" t="s">
        <v>54</v>
      </c>
      <c r="E87" s="55">
        <f>E86</f>
        <v>3945</v>
      </c>
      <c r="F87" s="12">
        <f>E87*12</f>
        <v>47340</v>
      </c>
      <c r="G87" s="137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79</v>
      </c>
      <c r="C88" s="32"/>
      <c r="D88" s="14"/>
      <c r="E88" s="14"/>
      <c r="F88" s="17"/>
      <c r="G88" s="135"/>
      <c r="H88" s="71">
        <f>H87</f>
        <v>165.69</v>
      </c>
      <c r="I88" s="29">
        <f>I87+I86+I84+I83+I81+I75+I64+I61+I59+I58+I50+I44+I43+I42+I41+I40+I38+I37+I25+I18+I17+I16</f>
        <v>77668.653046666659</v>
      </c>
    </row>
    <row r="89" spans="1:9">
      <c r="A89" s="207" t="s">
        <v>59</v>
      </c>
      <c r="B89" s="208"/>
      <c r="C89" s="208"/>
      <c r="D89" s="208"/>
      <c r="E89" s="208"/>
      <c r="F89" s="208"/>
      <c r="G89" s="208"/>
      <c r="H89" s="208"/>
      <c r="I89" s="209"/>
    </row>
    <row r="90" spans="1:9" ht="30">
      <c r="A90" s="26">
        <v>23</v>
      </c>
      <c r="B90" s="111" t="s">
        <v>249</v>
      </c>
      <c r="C90" s="112" t="s">
        <v>250</v>
      </c>
      <c r="D90" s="39"/>
      <c r="E90" s="12"/>
      <c r="F90" s="12">
        <v>2</v>
      </c>
      <c r="G90" s="107">
        <v>24829.08</v>
      </c>
      <c r="H90" s="12">
        <f t="shared" ref="H90" si="10">G90*F90/1000</f>
        <v>49.658160000000002</v>
      </c>
      <c r="I90" s="74">
        <f>G90*0.01</f>
        <v>248.29080000000002</v>
      </c>
    </row>
    <row r="91" spans="1:9">
      <c r="A91" s="26">
        <v>24</v>
      </c>
      <c r="B91" s="111" t="s">
        <v>271</v>
      </c>
      <c r="C91" s="112" t="s">
        <v>86</v>
      </c>
      <c r="D91" s="15"/>
      <c r="E91" s="12"/>
      <c r="F91" s="12"/>
      <c r="G91" s="107">
        <v>89.59</v>
      </c>
      <c r="H91" s="12"/>
      <c r="I91" s="74">
        <f>G91*2</f>
        <v>179.18</v>
      </c>
    </row>
    <row r="92" spans="1:9" ht="16.5" customHeight="1">
      <c r="A92" s="26"/>
      <c r="B92" s="37" t="s">
        <v>50</v>
      </c>
      <c r="C92" s="33"/>
      <c r="D92" s="40"/>
      <c r="E92" s="33">
        <v>1</v>
      </c>
      <c r="F92" s="33"/>
      <c r="G92" s="33"/>
      <c r="H92" s="33"/>
      <c r="I92" s="29">
        <f>SUM(I90:I91)</f>
        <v>427.47080000000005</v>
      </c>
    </row>
    <row r="93" spans="1:9">
      <c r="A93" s="26"/>
      <c r="B93" s="39" t="s">
        <v>77</v>
      </c>
      <c r="C93" s="14"/>
      <c r="D93" s="14"/>
      <c r="E93" s="34"/>
      <c r="F93" s="34"/>
      <c r="G93" s="35"/>
      <c r="H93" s="35"/>
      <c r="I93" s="16">
        <v>0</v>
      </c>
    </row>
    <row r="94" spans="1:9">
      <c r="A94" s="41"/>
      <c r="B94" s="38" t="s">
        <v>197</v>
      </c>
      <c r="C94" s="30"/>
      <c r="D94" s="30"/>
      <c r="E94" s="30"/>
      <c r="F94" s="30"/>
      <c r="G94" s="30"/>
      <c r="H94" s="30"/>
      <c r="I94" s="36">
        <f>I88+I92</f>
        <v>78096.123846666655</v>
      </c>
    </row>
    <row r="95" spans="1:9" ht="15.75">
      <c r="A95" s="206" t="s">
        <v>272</v>
      </c>
      <c r="B95" s="206"/>
      <c r="C95" s="206"/>
      <c r="D95" s="206"/>
      <c r="E95" s="206"/>
      <c r="F95" s="206"/>
      <c r="G95" s="206"/>
      <c r="H95" s="206"/>
      <c r="I95" s="206"/>
    </row>
    <row r="96" spans="1:9" ht="15.75">
      <c r="A96" s="78"/>
      <c r="B96" s="213" t="s">
        <v>273</v>
      </c>
      <c r="C96" s="213"/>
      <c r="D96" s="213"/>
      <c r="E96" s="213"/>
      <c r="F96" s="213"/>
      <c r="G96" s="213"/>
      <c r="H96" s="52"/>
      <c r="I96" s="3"/>
    </row>
    <row r="97" spans="1:9">
      <c r="A97" s="185"/>
      <c r="B97" s="214" t="s">
        <v>6</v>
      </c>
      <c r="C97" s="214"/>
      <c r="D97" s="214"/>
      <c r="E97" s="214"/>
      <c r="F97" s="214"/>
      <c r="G97" s="214"/>
      <c r="H97" s="21"/>
      <c r="I97" s="5"/>
    </row>
    <row r="98" spans="1:9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215" t="s">
        <v>7</v>
      </c>
      <c r="B99" s="215"/>
      <c r="C99" s="215"/>
      <c r="D99" s="215"/>
      <c r="E99" s="215"/>
      <c r="F99" s="215"/>
      <c r="G99" s="215"/>
      <c r="H99" s="215"/>
      <c r="I99" s="215"/>
    </row>
    <row r="100" spans="1:9" ht="15.75">
      <c r="A100" s="215" t="s">
        <v>8</v>
      </c>
      <c r="B100" s="215"/>
      <c r="C100" s="215"/>
      <c r="D100" s="215"/>
      <c r="E100" s="215"/>
      <c r="F100" s="215"/>
      <c r="G100" s="215"/>
      <c r="H100" s="215"/>
      <c r="I100" s="215"/>
    </row>
    <row r="101" spans="1:9" ht="15.75">
      <c r="A101" s="216" t="s">
        <v>60</v>
      </c>
      <c r="B101" s="216"/>
      <c r="C101" s="216"/>
      <c r="D101" s="216"/>
      <c r="E101" s="216"/>
      <c r="F101" s="216"/>
      <c r="G101" s="216"/>
      <c r="H101" s="216"/>
      <c r="I101" s="216"/>
    </row>
    <row r="102" spans="1:9" ht="15.75">
      <c r="A102" s="10"/>
    </row>
    <row r="103" spans="1:9" ht="15.75">
      <c r="A103" s="200" t="s">
        <v>9</v>
      </c>
      <c r="B103" s="200"/>
      <c r="C103" s="200"/>
      <c r="D103" s="200"/>
      <c r="E103" s="200"/>
      <c r="F103" s="200"/>
      <c r="G103" s="200"/>
      <c r="H103" s="200"/>
      <c r="I103" s="200"/>
    </row>
    <row r="104" spans="1:9" ht="15.75">
      <c r="A104" s="4"/>
    </row>
    <row r="105" spans="1:9" ht="15.75">
      <c r="B105" s="186" t="s">
        <v>10</v>
      </c>
      <c r="C105" s="218" t="s">
        <v>83</v>
      </c>
      <c r="D105" s="218"/>
      <c r="E105" s="218"/>
      <c r="F105" s="50"/>
      <c r="I105" s="184"/>
    </row>
    <row r="106" spans="1:9">
      <c r="A106" s="185"/>
      <c r="C106" s="214" t="s">
        <v>11</v>
      </c>
      <c r="D106" s="214"/>
      <c r="E106" s="214"/>
      <c r="F106" s="21"/>
      <c r="I106" s="183" t="s">
        <v>12</v>
      </c>
    </row>
    <row r="107" spans="1:9" ht="15.75">
      <c r="A107" s="22"/>
      <c r="C107" s="11"/>
      <c r="D107" s="11"/>
      <c r="G107" s="11"/>
      <c r="H107" s="11"/>
    </row>
    <row r="108" spans="1:9" ht="15.75">
      <c r="B108" s="186" t="s">
        <v>13</v>
      </c>
      <c r="C108" s="219"/>
      <c r="D108" s="219"/>
      <c r="E108" s="219"/>
      <c r="F108" s="51"/>
      <c r="I108" s="184"/>
    </row>
    <row r="109" spans="1:9">
      <c r="A109" s="185"/>
      <c r="C109" s="220" t="s">
        <v>11</v>
      </c>
      <c r="D109" s="220"/>
      <c r="E109" s="220"/>
      <c r="F109" s="185"/>
      <c r="I109" s="183" t="s">
        <v>12</v>
      </c>
    </row>
    <row r="110" spans="1:9" ht="15.75">
      <c r="A110" s="4" t="s">
        <v>14</v>
      </c>
    </row>
    <row r="111" spans="1:9">
      <c r="A111" s="221" t="s">
        <v>15</v>
      </c>
      <c r="B111" s="221"/>
      <c r="C111" s="221"/>
      <c r="D111" s="221"/>
      <c r="E111" s="221"/>
      <c r="F111" s="221"/>
      <c r="G111" s="221"/>
      <c r="H111" s="221"/>
      <c r="I111" s="221"/>
    </row>
    <row r="112" spans="1:9" ht="15.75">
      <c r="A112" s="217" t="s">
        <v>16</v>
      </c>
      <c r="B112" s="217"/>
      <c r="C112" s="217"/>
      <c r="D112" s="217"/>
      <c r="E112" s="217"/>
      <c r="F112" s="217"/>
      <c r="G112" s="217"/>
      <c r="H112" s="217"/>
      <c r="I112" s="217"/>
    </row>
    <row r="113" spans="1:9" ht="15.75">
      <c r="A113" s="217" t="s">
        <v>17</v>
      </c>
      <c r="B113" s="217"/>
      <c r="C113" s="217"/>
      <c r="D113" s="217"/>
      <c r="E113" s="217"/>
      <c r="F113" s="217"/>
      <c r="G113" s="217"/>
      <c r="H113" s="217"/>
      <c r="I113" s="217"/>
    </row>
    <row r="114" spans="1:9" ht="15.75">
      <c r="A114" s="217" t="s">
        <v>21</v>
      </c>
      <c r="B114" s="217"/>
      <c r="C114" s="217"/>
      <c r="D114" s="217"/>
      <c r="E114" s="217"/>
      <c r="F114" s="217"/>
      <c r="G114" s="217"/>
      <c r="H114" s="217"/>
      <c r="I114" s="217"/>
    </row>
    <row r="115" spans="1:9" ht="15.75">
      <c r="A115" s="217" t="s">
        <v>20</v>
      </c>
      <c r="B115" s="217"/>
      <c r="C115" s="217"/>
      <c r="D115" s="217"/>
      <c r="E115" s="217"/>
      <c r="F115" s="217"/>
      <c r="G115" s="217"/>
      <c r="H115" s="217"/>
      <c r="I115" s="217"/>
    </row>
  </sheetData>
  <mergeCells count="28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7:I27"/>
    <mergeCell ref="A45:I45"/>
    <mergeCell ref="A56:I56"/>
    <mergeCell ref="A85:I85"/>
    <mergeCell ref="A89:I89"/>
    <mergeCell ref="A95:I95"/>
    <mergeCell ref="B96:G96"/>
    <mergeCell ref="B97:G97"/>
    <mergeCell ref="A99:I99"/>
    <mergeCell ref="A100:I100"/>
    <mergeCell ref="A14:I14"/>
    <mergeCell ref="A3:I3"/>
    <mergeCell ref="A4:I4"/>
    <mergeCell ref="A5:I5"/>
    <mergeCell ref="A8:I8"/>
    <mergeCell ref="A10:I10"/>
  </mergeCells>
  <pageMargins left="0.70866141732283472" right="0.11811023622047245" top="0.15748031496062992" bottom="0.15748031496062992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'09.18'!Область_печати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2019-02-21T08:14:53Z</cp:lastPrinted>
  <dcterms:created xsi:type="dcterms:W3CDTF">2016-03-25T08:33:47Z</dcterms:created>
  <dcterms:modified xsi:type="dcterms:W3CDTF">2019-02-21T08:15:07Z</dcterms:modified>
</cp:coreProperties>
</file>