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540" windowWidth="15450" windowHeight="11280" activeTab="11"/>
  </bookViews>
  <sheets>
    <sheet name="01.18" sheetId="17" r:id="rId1"/>
    <sheet name="02.18" sheetId="30" r:id="rId2"/>
    <sheet name="03.18" sheetId="31" r:id="rId3"/>
    <sheet name="04.18" sheetId="32" r:id="rId4"/>
    <sheet name="05.18" sheetId="33" r:id="rId5"/>
    <sheet name="06.18" sheetId="34" r:id="rId6"/>
    <sheet name="07.18" sheetId="35" r:id="rId7"/>
    <sheet name="08.18" sheetId="36" r:id="rId8"/>
    <sheet name="09.18" sheetId="37" r:id="rId9"/>
    <sheet name="10.18" sheetId="38" r:id="rId10"/>
    <sheet name="11.18" sheetId="39" r:id="rId11"/>
    <sheet name="12.18" sheetId="40" r:id="rId12"/>
  </sheets>
  <definedNames>
    <definedName name="_xlnm._FilterDatabase" localSheetId="0" hidden="1">'01.18'!$I$12:$I$56</definedName>
    <definedName name="_xlnm._FilterDatabase" localSheetId="1" hidden="1">'02.18'!$I$12:$I$56</definedName>
    <definedName name="_xlnm._FilterDatabase" localSheetId="2" hidden="1">'03.18'!$I$12:$I$56</definedName>
    <definedName name="_xlnm.Print_Area" localSheetId="0">'01.18'!$A$1:$I$121</definedName>
    <definedName name="_xlnm.Print_Area" localSheetId="1">'02.18'!$A$1:$I$121</definedName>
    <definedName name="_xlnm.Print_Area" localSheetId="2">'03.18'!$A$1:$I$119</definedName>
    <definedName name="_xlnm.Print_Area" localSheetId="4">'05.18'!$A$1:$I$134</definedName>
    <definedName name="_xlnm.Print_Area" localSheetId="5">'06.18'!$A$1:$I$129</definedName>
  </definedNames>
  <calcPr calcId="124519"/>
</workbook>
</file>

<file path=xl/calcChain.xml><?xml version="1.0" encoding="utf-8"?>
<calcChain xmlns="http://schemas.openxmlformats.org/spreadsheetml/2006/main">
  <c r="I17" i="40"/>
  <c r="I16"/>
  <c r="I43"/>
  <c r="I42"/>
  <c r="I43" i="39"/>
  <c r="I42"/>
  <c r="I43" i="32"/>
  <c r="I42"/>
  <c r="I43" i="31"/>
  <c r="I42"/>
  <c r="I43" i="30"/>
  <c r="I42"/>
  <c r="I89" i="17"/>
  <c r="I111" i="40"/>
  <c r="I103"/>
  <c r="I110"/>
  <c r="I109"/>
  <c r="I108"/>
  <c r="I107"/>
  <c r="I106"/>
  <c r="I105"/>
  <c r="I104"/>
  <c r="I102"/>
  <c r="I101"/>
  <c r="I100"/>
  <c r="I99"/>
  <c r="I98"/>
  <c r="I97"/>
  <c r="I89" l="1"/>
  <c r="I19"/>
  <c r="F19"/>
  <c r="H19" s="1"/>
  <c r="I18"/>
  <c r="F18"/>
  <c r="H18" s="1"/>
  <c r="F17"/>
  <c r="H17" s="1"/>
  <c r="H16"/>
  <c r="F16"/>
  <c r="I96"/>
  <c r="I95"/>
  <c r="I94"/>
  <c r="I93"/>
  <c r="I92"/>
  <c r="I91"/>
  <c r="F54"/>
  <c r="F50"/>
  <c r="F88"/>
  <c r="H88" s="1"/>
  <c r="H89" s="1"/>
  <c r="E88"/>
  <c r="F87"/>
  <c r="H87" s="1"/>
  <c r="H85"/>
  <c r="H83"/>
  <c r="I81"/>
  <c r="F81"/>
  <c r="H81" s="1"/>
  <c r="H80"/>
  <c r="F79"/>
  <c r="H79" s="1"/>
  <c r="I78"/>
  <c r="F78"/>
  <c r="H78" s="1"/>
  <c r="H77"/>
  <c r="H76"/>
  <c r="H74"/>
  <c r="F74"/>
  <c r="I74" s="1"/>
  <c r="F72"/>
  <c r="H72" s="1"/>
  <c r="F71"/>
  <c r="I71" s="1"/>
  <c r="F70"/>
  <c r="H70" s="1"/>
  <c r="F69"/>
  <c r="I69" s="1"/>
  <c r="F68"/>
  <c r="H68" s="1"/>
  <c r="H67"/>
  <c r="F67"/>
  <c r="I67" s="1"/>
  <c r="F66"/>
  <c r="H66" s="1"/>
  <c r="I65"/>
  <c r="F65"/>
  <c r="H65" s="1"/>
  <c r="I63"/>
  <c r="H63"/>
  <c r="F63"/>
  <c r="I62"/>
  <c r="F62"/>
  <c r="H62" s="1"/>
  <c r="I60"/>
  <c r="H60"/>
  <c r="H59"/>
  <c r="F59"/>
  <c r="I59" s="1"/>
  <c r="I58"/>
  <c r="H58"/>
  <c r="F57"/>
  <c r="H57" s="1"/>
  <c r="I54"/>
  <c r="H54"/>
  <c r="I53"/>
  <c r="H53"/>
  <c r="I52"/>
  <c r="F52"/>
  <c r="H52" s="1"/>
  <c r="I51"/>
  <c r="F51"/>
  <c r="H51" s="1"/>
  <c r="H50"/>
  <c r="I49"/>
  <c r="F49"/>
  <c r="H49" s="1"/>
  <c r="I48"/>
  <c r="F48"/>
  <c r="H48" s="1"/>
  <c r="I47"/>
  <c r="F47"/>
  <c r="H47" s="1"/>
  <c r="I46"/>
  <c r="F46"/>
  <c r="H46" s="1"/>
  <c r="H44"/>
  <c r="F44"/>
  <c r="I44" s="1"/>
  <c r="H43"/>
  <c r="F42"/>
  <c r="H42" s="1"/>
  <c r="H41"/>
  <c r="F41"/>
  <c r="I41" s="1"/>
  <c r="F40"/>
  <c r="H40" s="1"/>
  <c r="H39"/>
  <c r="F39"/>
  <c r="I39" s="1"/>
  <c r="I38"/>
  <c r="H38"/>
  <c r="H36"/>
  <c r="H35"/>
  <c r="H34"/>
  <c r="F34"/>
  <c r="I34" s="1"/>
  <c r="E34"/>
  <c r="F33"/>
  <c r="H33" s="1"/>
  <c r="F32"/>
  <c r="I32" s="1"/>
  <c r="F31"/>
  <c r="H31" s="1"/>
  <c r="F30"/>
  <c r="I30" s="1"/>
  <c r="F27"/>
  <c r="H27" s="1"/>
  <c r="H26"/>
  <c r="F26"/>
  <c r="I26" s="1"/>
  <c r="F25"/>
  <c r="H25" s="1"/>
  <c r="I24"/>
  <c r="F24"/>
  <c r="H24" s="1"/>
  <c r="F23"/>
  <c r="H23" s="1"/>
  <c r="F22"/>
  <c r="I22" s="1"/>
  <c r="F21"/>
  <c r="H21" s="1"/>
  <c r="I20"/>
  <c r="F20"/>
  <c r="H20" s="1"/>
  <c r="H71" l="1"/>
  <c r="H69"/>
  <c r="H84"/>
  <c r="H32"/>
  <c r="H30"/>
  <c r="H22"/>
  <c r="I21"/>
  <c r="I23"/>
  <c r="I25"/>
  <c r="I27"/>
  <c r="I31"/>
  <c r="I33"/>
  <c r="I40"/>
  <c r="I50"/>
  <c r="I57"/>
  <c r="I68"/>
  <c r="I70"/>
  <c r="I72"/>
  <c r="I87"/>
  <c r="I88"/>
  <c r="I96" i="39"/>
  <c r="I94"/>
  <c r="I65"/>
  <c r="F42"/>
  <c r="I95"/>
  <c r="I93"/>
  <c r="I92"/>
  <c r="I91"/>
  <c r="I97" s="1"/>
  <c r="E88"/>
  <c r="F88" s="1"/>
  <c r="F87"/>
  <c r="H87" s="1"/>
  <c r="H85"/>
  <c r="H83"/>
  <c r="I81"/>
  <c r="F81"/>
  <c r="H81" s="1"/>
  <c r="H80"/>
  <c r="F79"/>
  <c r="H79" s="1"/>
  <c r="I78"/>
  <c r="F78"/>
  <c r="H78" s="1"/>
  <c r="H77"/>
  <c r="H76"/>
  <c r="F74"/>
  <c r="I74" s="1"/>
  <c r="F72"/>
  <c r="I72" s="1"/>
  <c r="F71"/>
  <c r="I71" s="1"/>
  <c r="F70"/>
  <c r="I70" s="1"/>
  <c r="F69"/>
  <c r="I69" s="1"/>
  <c r="F68"/>
  <c r="I68" s="1"/>
  <c r="F67"/>
  <c r="I67" s="1"/>
  <c r="F66"/>
  <c r="H66" s="1"/>
  <c r="F65"/>
  <c r="H65" s="1"/>
  <c r="I63"/>
  <c r="F63"/>
  <c r="H63" s="1"/>
  <c r="I62"/>
  <c r="F62"/>
  <c r="H62" s="1"/>
  <c r="I60"/>
  <c r="H60"/>
  <c r="F59"/>
  <c r="I59" s="1"/>
  <c r="I58"/>
  <c r="H58"/>
  <c r="F57"/>
  <c r="H57" s="1"/>
  <c r="I54"/>
  <c r="F54"/>
  <c r="H54" s="1"/>
  <c r="I53"/>
  <c r="H53"/>
  <c r="I52"/>
  <c r="F52"/>
  <c r="H52" s="1"/>
  <c r="I51"/>
  <c r="F51"/>
  <c r="H51" s="1"/>
  <c r="F50"/>
  <c r="H50" s="1"/>
  <c r="I49"/>
  <c r="F49"/>
  <c r="H49" s="1"/>
  <c r="I48"/>
  <c r="F48"/>
  <c r="H48" s="1"/>
  <c r="I47"/>
  <c r="F47"/>
  <c r="H47" s="1"/>
  <c r="I46"/>
  <c r="F46"/>
  <c r="H46" s="1"/>
  <c r="F44"/>
  <c r="I44" s="1"/>
  <c r="H43"/>
  <c r="H42"/>
  <c r="F41"/>
  <c r="I41" s="1"/>
  <c r="F40"/>
  <c r="H40" s="1"/>
  <c r="F39"/>
  <c r="I39" s="1"/>
  <c r="I38"/>
  <c r="H38"/>
  <c r="H36"/>
  <c r="H35"/>
  <c r="H34"/>
  <c r="F34"/>
  <c r="I34" s="1"/>
  <c r="E34"/>
  <c r="F33"/>
  <c r="H33" s="1"/>
  <c r="F32"/>
  <c r="I32" s="1"/>
  <c r="F31"/>
  <c r="H31" s="1"/>
  <c r="F30"/>
  <c r="I30" s="1"/>
  <c r="F27"/>
  <c r="H27" s="1"/>
  <c r="F26"/>
  <c r="I26" s="1"/>
  <c r="F25"/>
  <c r="H25" s="1"/>
  <c r="I24"/>
  <c r="F24"/>
  <c r="H24" s="1"/>
  <c r="F23"/>
  <c r="H23" s="1"/>
  <c r="F22"/>
  <c r="I22" s="1"/>
  <c r="F21"/>
  <c r="H21" s="1"/>
  <c r="I20"/>
  <c r="F20"/>
  <c r="H20" s="1"/>
  <c r="I19"/>
  <c r="F19"/>
  <c r="H19" s="1"/>
  <c r="I18"/>
  <c r="F18"/>
  <c r="H18" s="1"/>
  <c r="I17"/>
  <c r="F17"/>
  <c r="H17" s="1"/>
  <c r="I16"/>
  <c r="F16"/>
  <c r="H16" s="1"/>
  <c r="I89" i="38"/>
  <c r="I107"/>
  <c r="I106"/>
  <c r="I105"/>
  <c r="I104"/>
  <c r="I103"/>
  <c r="I102"/>
  <c r="I101"/>
  <c r="I100"/>
  <c r="I99"/>
  <c r="I98"/>
  <c r="I97"/>
  <c r="I96"/>
  <c r="I95"/>
  <c r="I94"/>
  <c r="I93"/>
  <c r="I92"/>
  <c r="I65"/>
  <c r="I99" i="37"/>
  <c r="I91" i="38"/>
  <c r="E88"/>
  <c r="F88" s="1"/>
  <c r="F87"/>
  <c r="I87" s="1"/>
  <c r="H85"/>
  <c r="H83"/>
  <c r="I81"/>
  <c r="H81"/>
  <c r="F81"/>
  <c r="H80"/>
  <c r="F79"/>
  <c r="H79" s="1"/>
  <c r="I78"/>
  <c r="F78"/>
  <c r="H78" s="1"/>
  <c r="H77"/>
  <c r="H76"/>
  <c r="F74"/>
  <c r="H74" s="1"/>
  <c r="F72"/>
  <c r="I72" s="1"/>
  <c r="F71"/>
  <c r="H71" s="1"/>
  <c r="F70"/>
  <c r="I70" s="1"/>
  <c r="F69"/>
  <c r="H69" s="1"/>
  <c r="F68"/>
  <c r="I68" s="1"/>
  <c r="F67"/>
  <c r="H67" s="1"/>
  <c r="F66"/>
  <c r="H66" s="1"/>
  <c r="H65"/>
  <c r="F65"/>
  <c r="I63"/>
  <c r="F63"/>
  <c r="H63" s="1"/>
  <c r="I62"/>
  <c r="F62"/>
  <c r="H62" s="1"/>
  <c r="I60"/>
  <c r="H60"/>
  <c r="F59"/>
  <c r="H59" s="1"/>
  <c r="I58"/>
  <c r="H58"/>
  <c r="F57"/>
  <c r="I57" s="1"/>
  <c r="I54"/>
  <c r="F54"/>
  <c r="H54" s="1"/>
  <c r="I53"/>
  <c r="H53"/>
  <c r="I52"/>
  <c r="H52"/>
  <c r="F52"/>
  <c r="I51"/>
  <c r="F51"/>
  <c r="H51" s="1"/>
  <c r="F50"/>
  <c r="I50" s="1"/>
  <c r="I49"/>
  <c r="F49"/>
  <c r="H49" s="1"/>
  <c r="I48"/>
  <c r="F48"/>
  <c r="H48" s="1"/>
  <c r="I47"/>
  <c r="F47"/>
  <c r="H47" s="1"/>
  <c r="I46"/>
  <c r="F46"/>
  <c r="H46" s="1"/>
  <c r="F44"/>
  <c r="H44" s="1"/>
  <c r="I43"/>
  <c r="H43"/>
  <c r="F42"/>
  <c r="I42" s="1"/>
  <c r="F41"/>
  <c r="H41" s="1"/>
  <c r="F40"/>
  <c r="I40" s="1"/>
  <c r="F39"/>
  <c r="H39" s="1"/>
  <c r="I38"/>
  <c r="H38"/>
  <c r="H36"/>
  <c r="H35"/>
  <c r="H34"/>
  <c r="F34"/>
  <c r="I34" s="1"/>
  <c r="E34"/>
  <c r="H33"/>
  <c r="F33"/>
  <c r="I33" s="1"/>
  <c r="F32"/>
  <c r="H32" s="1"/>
  <c r="H31"/>
  <c r="F31"/>
  <c r="I31" s="1"/>
  <c r="F30"/>
  <c r="H30" s="1"/>
  <c r="H27"/>
  <c r="F27"/>
  <c r="I27" s="1"/>
  <c r="F26"/>
  <c r="H26" s="1"/>
  <c r="F25"/>
  <c r="I25" s="1"/>
  <c r="I24"/>
  <c r="F24"/>
  <c r="H24" s="1"/>
  <c r="F23"/>
  <c r="I23" s="1"/>
  <c r="F22"/>
  <c r="H22" s="1"/>
  <c r="F21"/>
  <c r="I21" s="1"/>
  <c r="I20"/>
  <c r="F20"/>
  <c r="H20" s="1"/>
  <c r="I19"/>
  <c r="F19"/>
  <c r="H19" s="1"/>
  <c r="I18"/>
  <c r="F18"/>
  <c r="H18" s="1"/>
  <c r="I17"/>
  <c r="H17"/>
  <c r="F17"/>
  <c r="I16"/>
  <c r="F16"/>
  <c r="H16" s="1"/>
  <c r="I113" i="40" l="1"/>
  <c r="H41" i="39"/>
  <c r="H44"/>
  <c r="H26"/>
  <c r="H39"/>
  <c r="H72"/>
  <c r="H70"/>
  <c r="H68"/>
  <c r="H32"/>
  <c r="H30"/>
  <c r="H22"/>
  <c r="H88"/>
  <c r="H89" s="1"/>
  <c r="I88"/>
  <c r="I21"/>
  <c r="I23"/>
  <c r="I25"/>
  <c r="I27"/>
  <c r="I31"/>
  <c r="I33"/>
  <c r="I40"/>
  <c r="I50"/>
  <c r="I57"/>
  <c r="H59"/>
  <c r="H67"/>
  <c r="H69"/>
  <c r="H71"/>
  <c r="H74"/>
  <c r="I87"/>
  <c r="H72" i="38"/>
  <c r="H70"/>
  <c r="H68"/>
  <c r="H57"/>
  <c r="H50"/>
  <c r="H42"/>
  <c r="H40"/>
  <c r="H25"/>
  <c r="H23"/>
  <c r="H21"/>
  <c r="I88"/>
  <c r="H88"/>
  <c r="H89" s="1"/>
  <c r="I22"/>
  <c r="I26"/>
  <c r="I30"/>
  <c r="I32"/>
  <c r="I39"/>
  <c r="I41"/>
  <c r="I44"/>
  <c r="I59"/>
  <c r="I67"/>
  <c r="I69"/>
  <c r="I71"/>
  <c r="I74"/>
  <c r="H87"/>
  <c r="I89" i="39" l="1"/>
  <c r="I99" s="1"/>
  <c r="H84"/>
  <c r="H84" i="38"/>
  <c r="I109"/>
  <c r="I95" i="37" l="1"/>
  <c r="I107" i="36"/>
  <c r="I89" i="37" l="1"/>
  <c r="I106" i="36"/>
  <c r="I105"/>
  <c r="I104"/>
  <c r="I103" i="37"/>
  <c r="I102"/>
  <c r="I101"/>
  <c r="I100"/>
  <c r="I104"/>
  <c r="I65" i="36"/>
  <c r="I65" i="37"/>
  <c r="I98" l="1"/>
  <c r="I97"/>
  <c r="I96"/>
  <c r="I94"/>
  <c r="I93"/>
  <c r="I92"/>
  <c r="I91"/>
  <c r="E88"/>
  <c r="F88" s="1"/>
  <c r="F87"/>
  <c r="I87" s="1"/>
  <c r="H85"/>
  <c r="H83"/>
  <c r="I81"/>
  <c r="F81"/>
  <c r="H81" s="1"/>
  <c r="H80"/>
  <c r="F79"/>
  <c r="H79" s="1"/>
  <c r="I78"/>
  <c r="F78"/>
  <c r="H78" s="1"/>
  <c r="H77"/>
  <c r="H76"/>
  <c r="F74"/>
  <c r="H74" s="1"/>
  <c r="F72"/>
  <c r="I72" s="1"/>
  <c r="F71"/>
  <c r="H71" s="1"/>
  <c r="F70"/>
  <c r="I70" s="1"/>
  <c r="F69"/>
  <c r="H69" s="1"/>
  <c r="F68"/>
  <c r="I68" s="1"/>
  <c r="F67"/>
  <c r="H67" s="1"/>
  <c r="F66"/>
  <c r="H66" s="1"/>
  <c r="F65"/>
  <c r="H65" s="1"/>
  <c r="I63"/>
  <c r="F63"/>
  <c r="H63" s="1"/>
  <c r="I62"/>
  <c r="F62"/>
  <c r="H62" s="1"/>
  <c r="I60"/>
  <c r="H60"/>
  <c r="F59"/>
  <c r="H59" s="1"/>
  <c r="I58"/>
  <c r="H58"/>
  <c r="F57"/>
  <c r="I57" s="1"/>
  <c r="I54"/>
  <c r="F54"/>
  <c r="H54" s="1"/>
  <c r="I53"/>
  <c r="H53"/>
  <c r="I52"/>
  <c r="F52"/>
  <c r="H52" s="1"/>
  <c r="I51"/>
  <c r="F51"/>
  <c r="H51" s="1"/>
  <c r="F50"/>
  <c r="I50" s="1"/>
  <c r="I49"/>
  <c r="F49"/>
  <c r="H49" s="1"/>
  <c r="I48"/>
  <c r="F48"/>
  <c r="H48" s="1"/>
  <c r="I47"/>
  <c r="F47"/>
  <c r="H47" s="1"/>
  <c r="I46"/>
  <c r="F46"/>
  <c r="H46" s="1"/>
  <c r="F44"/>
  <c r="H44" s="1"/>
  <c r="I43"/>
  <c r="H43"/>
  <c r="F42"/>
  <c r="I42" s="1"/>
  <c r="F41"/>
  <c r="H41" s="1"/>
  <c r="F40"/>
  <c r="I40" s="1"/>
  <c r="F39"/>
  <c r="H39" s="1"/>
  <c r="I38"/>
  <c r="H38"/>
  <c r="H36"/>
  <c r="H35"/>
  <c r="H34"/>
  <c r="F34"/>
  <c r="I34" s="1"/>
  <c r="E34"/>
  <c r="F33"/>
  <c r="I33" s="1"/>
  <c r="F32"/>
  <c r="H32" s="1"/>
  <c r="F31"/>
  <c r="I31" s="1"/>
  <c r="F30"/>
  <c r="H30" s="1"/>
  <c r="F27"/>
  <c r="I27" s="1"/>
  <c r="F26"/>
  <c r="H26" s="1"/>
  <c r="F25"/>
  <c r="I25" s="1"/>
  <c r="I24"/>
  <c r="F24"/>
  <c r="H24" s="1"/>
  <c r="F23"/>
  <c r="I23" s="1"/>
  <c r="F22"/>
  <c r="H22" s="1"/>
  <c r="F21"/>
  <c r="I21" s="1"/>
  <c r="I20"/>
  <c r="F20"/>
  <c r="H20" s="1"/>
  <c r="I19"/>
  <c r="F19"/>
  <c r="H19" s="1"/>
  <c r="I18"/>
  <c r="F18"/>
  <c r="H18" s="1"/>
  <c r="I17"/>
  <c r="F17"/>
  <c r="H17" s="1"/>
  <c r="I16"/>
  <c r="F16"/>
  <c r="H16" s="1"/>
  <c r="H50" l="1"/>
  <c r="H31"/>
  <c r="H68"/>
  <c r="H21"/>
  <c r="H27"/>
  <c r="H33"/>
  <c r="H72"/>
  <c r="H70"/>
  <c r="H57"/>
  <c r="H84" s="1"/>
  <c r="H42"/>
  <c r="H40"/>
  <c r="H25"/>
  <c r="H23"/>
  <c r="I88"/>
  <c r="H88"/>
  <c r="H89" s="1"/>
  <c r="I22"/>
  <c r="I26"/>
  <c r="I30"/>
  <c r="I32"/>
  <c r="I39"/>
  <c r="I41"/>
  <c r="I44"/>
  <c r="I59"/>
  <c r="I67"/>
  <c r="I69"/>
  <c r="I71"/>
  <c r="I74"/>
  <c r="H87"/>
  <c r="I106" l="1"/>
  <c r="I96" i="36" l="1"/>
  <c r="I103" l="1"/>
  <c r="I60"/>
  <c r="I100"/>
  <c r="I99"/>
  <c r="I98"/>
  <c r="I97"/>
  <c r="I95"/>
  <c r="I94"/>
  <c r="I93"/>
  <c r="I92"/>
  <c r="I91"/>
  <c r="E88"/>
  <c r="F88" s="1"/>
  <c r="F87"/>
  <c r="H87" s="1"/>
  <c r="H85"/>
  <c r="H83"/>
  <c r="I81"/>
  <c r="F81"/>
  <c r="H81" s="1"/>
  <c r="H80"/>
  <c r="F79"/>
  <c r="H79" s="1"/>
  <c r="I78"/>
  <c r="F78"/>
  <c r="H78" s="1"/>
  <c r="H77"/>
  <c r="H76"/>
  <c r="F74"/>
  <c r="I74" s="1"/>
  <c r="F72"/>
  <c r="H72" s="1"/>
  <c r="F71"/>
  <c r="I71" s="1"/>
  <c r="F70"/>
  <c r="H70" s="1"/>
  <c r="F69"/>
  <c r="I69" s="1"/>
  <c r="F68"/>
  <c r="H68" s="1"/>
  <c r="F67"/>
  <c r="I67" s="1"/>
  <c r="F66"/>
  <c r="H66" s="1"/>
  <c r="F65"/>
  <c r="H65" s="1"/>
  <c r="I63"/>
  <c r="F63"/>
  <c r="H63" s="1"/>
  <c r="I62"/>
  <c r="F62"/>
  <c r="H62" s="1"/>
  <c r="H60"/>
  <c r="F59"/>
  <c r="I59" s="1"/>
  <c r="I58"/>
  <c r="H58"/>
  <c r="F57"/>
  <c r="H57" s="1"/>
  <c r="I54"/>
  <c r="F54"/>
  <c r="H54" s="1"/>
  <c r="I53"/>
  <c r="H53"/>
  <c r="I52"/>
  <c r="F52"/>
  <c r="H52" s="1"/>
  <c r="I51"/>
  <c r="F51"/>
  <c r="H51" s="1"/>
  <c r="F50"/>
  <c r="H50" s="1"/>
  <c r="I49"/>
  <c r="F49"/>
  <c r="H49" s="1"/>
  <c r="I48"/>
  <c r="F48"/>
  <c r="H48" s="1"/>
  <c r="I47"/>
  <c r="F47"/>
  <c r="H47" s="1"/>
  <c r="I46"/>
  <c r="F46"/>
  <c r="H46" s="1"/>
  <c r="F44"/>
  <c r="I44" s="1"/>
  <c r="I43"/>
  <c r="H43"/>
  <c r="F42"/>
  <c r="H42" s="1"/>
  <c r="F41"/>
  <c r="I41" s="1"/>
  <c r="F40"/>
  <c r="H40" s="1"/>
  <c r="F39"/>
  <c r="I39" s="1"/>
  <c r="I38"/>
  <c r="H38"/>
  <c r="H36"/>
  <c r="H35"/>
  <c r="H34"/>
  <c r="F34"/>
  <c r="I34" s="1"/>
  <c r="E34"/>
  <c r="F33"/>
  <c r="H33" s="1"/>
  <c r="F32"/>
  <c r="I32" s="1"/>
  <c r="F31"/>
  <c r="H31" s="1"/>
  <c r="F30"/>
  <c r="I30" s="1"/>
  <c r="F27"/>
  <c r="H27" s="1"/>
  <c r="F26"/>
  <c r="I26" s="1"/>
  <c r="F25"/>
  <c r="H25" s="1"/>
  <c r="I24"/>
  <c r="F24"/>
  <c r="H24" s="1"/>
  <c r="F23"/>
  <c r="H23" s="1"/>
  <c r="F22"/>
  <c r="I22" s="1"/>
  <c r="F21"/>
  <c r="H21" s="1"/>
  <c r="I20"/>
  <c r="F20"/>
  <c r="H20" s="1"/>
  <c r="I19"/>
  <c r="F19"/>
  <c r="H19" s="1"/>
  <c r="I18"/>
  <c r="H18"/>
  <c r="F18"/>
  <c r="I17"/>
  <c r="F17"/>
  <c r="H17" s="1"/>
  <c r="I16"/>
  <c r="F16"/>
  <c r="H16" s="1"/>
  <c r="I98" i="35"/>
  <c r="I97"/>
  <c r="I89"/>
  <c r="I94"/>
  <c r="I93"/>
  <c r="I96"/>
  <c r="I92"/>
  <c r="I91"/>
  <c r="I78"/>
  <c r="I65"/>
  <c r="I95"/>
  <c r="H93"/>
  <c r="H92"/>
  <c r="H91"/>
  <c r="E88"/>
  <c r="F88" s="1"/>
  <c r="I88" s="1"/>
  <c r="F87"/>
  <c r="I87" s="1"/>
  <c r="H85"/>
  <c r="H83"/>
  <c r="I81"/>
  <c r="F81"/>
  <c r="H81" s="1"/>
  <c r="H80"/>
  <c r="F79"/>
  <c r="H79" s="1"/>
  <c r="F78"/>
  <c r="H78" s="1"/>
  <c r="H77"/>
  <c r="H76"/>
  <c r="F74"/>
  <c r="I74" s="1"/>
  <c r="F72"/>
  <c r="I72" s="1"/>
  <c r="F71"/>
  <c r="I71" s="1"/>
  <c r="F70"/>
  <c r="I70" s="1"/>
  <c r="F69"/>
  <c r="I69" s="1"/>
  <c r="F68"/>
  <c r="I68" s="1"/>
  <c r="F67"/>
  <c r="I67" s="1"/>
  <c r="F66"/>
  <c r="H66" s="1"/>
  <c r="F65"/>
  <c r="H65" s="1"/>
  <c r="I63"/>
  <c r="F63"/>
  <c r="H63" s="1"/>
  <c r="I62"/>
  <c r="F62"/>
  <c r="H62" s="1"/>
  <c r="I60"/>
  <c r="H60"/>
  <c r="F59"/>
  <c r="I59" s="1"/>
  <c r="I58"/>
  <c r="H58"/>
  <c r="F57"/>
  <c r="I57" s="1"/>
  <c r="I54"/>
  <c r="F54"/>
  <c r="H54" s="1"/>
  <c r="I53"/>
  <c r="H53"/>
  <c r="I52"/>
  <c r="F52"/>
  <c r="H52" s="1"/>
  <c r="I51"/>
  <c r="F51"/>
  <c r="H51" s="1"/>
  <c r="F50"/>
  <c r="I50" s="1"/>
  <c r="I49"/>
  <c r="F49"/>
  <c r="H49" s="1"/>
  <c r="I48"/>
  <c r="F48"/>
  <c r="H48" s="1"/>
  <c r="I47"/>
  <c r="F47"/>
  <c r="H47" s="1"/>
  <c r="I46"/>
  <c r="F46"/>
  <c r="H46" s="1"/>
  <c r="F44"/>
  <c r="I44" s="1"/>
  <c r="I43"/>
  <c r="H43"/>
  <c r="F42"/>
  <c r="I42" s="1"/>
  <c r="F41"/>
  <c r="I41" s="1"/>
  <c r="F40"/>
  <c r="I40" s="1"/>
  <c r="F39"/>
  <c r="I39" s="1"/>
  <c r="I38"/>
  <c r="H38"/>
  <c r="H36"/>
  <c r="H35"/>
  <c r="H34"/>
  <c r="F34"/>
  <c r="I34" s="1"/>
  <c r="E34"/>
  <c r="F33"/>
  <c r="I33" s="1"/>
  <c r="F32"/>
  <c r="I32" s="1"/>
  <c r="F31"/>
  <c r="I31" s="1"/>
  <c r="F30"/>
  <c r="I30" s="1"/>
  <c r="F27"/>
  <c r="I27" s="1"/>
  <c r="F26"/>
  <c r="I26" s="1"/>
  <c r="F25"/>
  <c r="I25" s="1"/>
  <c r="I24"/>
  <c r="F24"/>
  <c r="H24" s="1"/>
  <c r="F23"/>
  <c r="I23" s="1"/>
  <c r="F22"/>
  <c r="I22" s="1"/>
  <c r="F21"/>
  <c r="I21" s="1"/>
  <c r="I20"/>
  <c r="F20"/>
  <c r="H20" s="1"/>
  <c r="I19"/>
  <c r="F19"/>
  <c r="H19" s="1"/>
  <c r="I18"/>
  <c r="F18"/>
  <c r="H18" s="1"/>
  <c r="I17"/>
  <c r="F17"/>
  <c r="H17" s="1"/>
  <c r="I16"/>
  <c r="F16"/>
  <c r="H16" s="1"/>
  <c r="I89" i="33"/>
  <c r="I65"/>
  <c r="H26" i="36" l="1"/>
  <c r="H67"/>
  <c r="H30"/>
  <c r="H69"/>
  <c r="H59"/>
  <c r="H44"/>
  <c r="H41"/>
  <c r="H39"/>
  <c r="H32"/>
  <c r="H22"/>
  <c r="H88"/>
  <c r="H89" s="1"/>
  <c r="I88"/>
  <c r="I21"/>
  <c r="I23"/>
  <c r="I25"/>
  <c r="I27"/>
  <c r="I31"/>
  <c r="I33"/>
  <c r="I40"/>
  <c r="I42"/>
  <c r="I50"/>
  <c r="I57"/>
  <c r="I68"/>
  <c r="I70"/>
  <c r="H71"/>
  <c r="I72"/>
  <c r="H74"/>
  <c r="I87"/>
  <c r="H74" i="35"/>
  <c r="H30"/>
  <c r="H41"/>
  <c r="H26"/>
  <c r="H71"/>
  <c r="H69"/>
  <c r="H67"/>
  <c r="H59"/>
  <c r="H44"/>
  <c r="H39"/>
  <c r="H32"/>
  <c r="H22"/>
  <c r="H21"/>
  <c r="H23"/>
  <c r="H25"/>
  <c r="H27"/>
  <c r="H31"/>
  <c r="H33"/>
  <c r="H40"/>
  <c r="H42"/>
  <c r="H50"/>
  <c r="H57"/>
  <c r="H68"/>
  <c r="H70"/>
  <c r="H72"/>
  <c r="H87"/>
  <c r="H88"/>
  <c r="H89" s="1"/>
  <c r="I89" i="36" l="1"/>
  <c r="I109" s="1"/>
  <c r="H84"/>
  <c r="I100" i="35"/>
  <c r="H84"/>
  <c r="I103" i="34" l="1"/>
  <c r="I101"/>
  <c r="I100"/>
  <c r="I98"/>
  <c r="I89" i="32" l="1"/>
  <c r="I102"/>
  <c r="I89" i="31"/>
  <c r="I95"/>
  <c r="I89" i="30"/>
  <c r="I97"/>
  <c r="I97" i="17"/>
  <c r="I89" i="34"/>
  <c r="I109" i="33"/>
  <c r="I99" i="34"/>
  <c r="I95"/>
  <c r="I93"/>
  <c r="I92"/>
  <c r="I91"/>
  <c r="I94"/>
  <c r="I65"/>
  <c r="I60"/>
  <c r="I102"/>
  <c r="I97"/>
  <c r="I96"/>
  <c r="H93"/>
  <c r="H92"/>
  <c r="H91"/>
  <c r="E88"/>
  <c r="F88" s="1"/>
  <c r="F87"/>
  <c r="I87" s="1"/>
  <c r="H85"/>
  <c r="H83"/>
  <c r="I81"/>
  <c r="H81"/>
  <c r="F81"/>
  <c r="H80"/>
  <c r="F79"/>
  <c r="H79" s="1"/>
  <c r="I78"/>
  <c r="F78"/>
  <c r="H78" s="1"/>
  <c r="H77"/>
  <c r="H76"/>
  <c r="F74"/>
  <c r="I74" s="1"/>
  <c r="F72"/>
  <c r="I72" s="1"/>
  <c r="F71"/>
  <c r="I71" s="1"/>
  <c r="F70"/>
  <c r="I70" s="1"/>
  <c r="F69"/>
  <c r="I69" s="1"/>
  <c r="F68"/>
  <c r="I68" s="1"/>
  <c r="F67"/>
  <c r="I67" s="1"/>
  <c r="F66"/>
  <c r="H66" s="1"/>
  <c r="F65"/>
  <c r="H65" s="1"/>
  <c r="I63"/>
  <c r="F63"/>
  <c r="H63" s="1"/>
  <c r="I62"/>
  <c r="F62"/>
  <c r="H62" s="1"/>
  <c r="H60"/>
  <c r="F59"/>
  <c r="I59" s="1"/>
  <c r="I58"/>
  <c r="H58"/>
  <c r="F57"/>
  <c r="I57" s="1"/>
  <c r="I54"/>
  <c r="F54"/>
  <c r="H54" s="1"/>
  <c r="I53"/>
  <c r="H53"/>
  <c r="I52"/>
  <c r="F52"/>
  <c r="H52" s="1"/>
  <c r="I51"/>
  <c r="F51"/>
  <c r="H51" s="1"/>
  <c r="F50"/>
  <c r="I50" s="1"/>
  <c r="I49"/>
  <c r="F49"/>
  <c r="H49" s="1"/>
  <c r="I48"/>
  <c r="F48"/>
  <c r="H48" s="1"/>
  <c r="I47"/>
  <c r="F47"/>
  <c r="H47" s="1"/>
  <c r="I46"/>
  <c r="F46"/>
  <c r="H46" s="1"/>
  <c r="F44"/>
  <c r="I44" s="1"/>
  <c r="I43"/>
  <c r="H43"/>
  <c r="F42"/>
  <c r="I42" s="1"/>
  <c r="F41"/>
  <c r="I41" s="1"/>
  <c r="F40"/>
  <c r="I40" s="1"/>
  <c r="F39"/>
  <c r="I39" s="1"/>
  <c r="I38"/>
  <c r="H38"/>
  <c r="H36"/>
  <c r="H35"/>
  <c r="H34"/>
  <c r="F34"/>
  <c r="I34" s="1"/>
  <c r="E34"/>
  <c r="F33"/>
  <c r="I33" s="1"/>
  <c r="F32"/>
  <c r="I32" s="1"/>
  <c r="F31"/>
  <c r="I31" s="1"/>
  <c r="F30"/>
  <c r="I30" s="1"/>
  <c r="F27"/>
  <c r="I27" s="1"/>
  <c r="F26"/>
  <c r="I26" s="1"/>
  <c r="F25"/>
  <c r="I25" s="1"/>
  <c r="I24"/>
  <c r="F24"/>
  <c r="H24" s="1"/>
  <c r="F23"/>
  <c r="I23" s="1"/>
  <c r="F22"/>
  <c r="I22" s="1"/>
  <c r="F21"/>
  <c r="I21" s="1"/>
  <c r="I20"/>
  <c r="F20"/>
  <c r="H20" s="1"/>
  <c r="I19"/>
  <c r="F19"/>
  <c r="H19" s="1"/>
  <c r="I18"/>
  <c r="F18"/>
  <c r="H18" s="1"/>
  <c r="I17"/>
  <c r="H17"/>
  <c r="F17"/>
  <c r="I16"/>
  <c r="F16"/>
  <c r="H16" s="1"/>
  <c r="H27" l="1"/>
  <c r="H33"/>
  <c r="H72"/>
  <c r="H87"/>
  <c r="H31"/>
  <c r="H70"/>
  <c r="H68"/>
  <c r="H57"/>
  <c r="H50"/>
  <c r="H42"/>
  <c r="H40"/>
  <c r="H25"/>
  <c r="H23"/>
  <c r="H21"/>
  <c r="H88"/>
  <c r="H89" s="1"/>
  <c r="I88"/>
  <c r="H22"/>
  <c r="H26"/>
  <c r="H30"/>
  <c r="H32"/>
  <c r="H39"/>
  <c r="H41"/>
  <c r="H44"/>
  <c r="H59"/>
  <c r="H67"/>
  <c r="H69"/>
  <c r="H71"/>
  <c r="H74"/>
  <c r="I81" i="33"/>
  <c r="I105" i="34" l="1"/>
  <c r="H84"/>
  <c r="I94" i="30" l="1"/>
  <c r="I93"/>
  <c r="I95" i="32"/>
  <c r="I108" i="33"/>
  <c r="I107"/>
  <c r="I106"/>
  <c r="I105"/>
  <c r="I104"/>
  <c r="I103"/>
  <c r="I102"/>
  <c r="I101"/>
  <c r="I100"/>
  <c r="I99"/>
  <c r="I98"/>
  <c r="I97"/>
  <c r="I96"/>
  <c r="I95"/>
  <c r="I94"/>
  <c r="I93"/>
  <c r="I92"/>
  <c r="I91"/>
  <c r="I63"/>
  <c r="I53" l="1"/>
  <c r="I52"/>
  <c r="I51"/>
  <c r="I49"/>
  <c r="I48"/>
  <c r="I47"/>
  <c r="I46"/>
  <c r="I24"/>
  <c r="I20"/>
  <c r="I19"/>
  <c r="I18"/>
  <c r="I17"/>
  <c r="I16"/>
  <c r="H94" l="1"/>
  <c r="H93"/>
  <c r="H92"/>
  <c r="H91"/>
  <c r="E88"/>
  <c r="F88" s="1"/>
  <c r="F87"/>
  <c r="H87" s="1"/>
  <c r="H85"/>
  <c r="H83"/>
  <c r="F81"/>
  <c r="H81" s="1"/>
  <c r="H80"/>
  <c r="F79"/>
  <c r="H79" s="1"/>
  <c r="I78"/>
  <c r="F78"/>
  <c r="H78" s="1"/>
  <c r="H77"/>
  <c r="H76"/>
  <c r="F74"/>
  <c r="I74" s="1"/>
  <c r="F72"/>
  <c r="I72" s="1"/>
  <c r="F71"/>
  <c r="I71" s="1"/>
  <c r="F70"/>
  <c r="I70" s="1"/>
  <c r="F69"/>
  <c r="I69" s="1"/>
  <c r="F68"/>
  <c r="I68" s="1"/>
  <c r="F67"/>
  <c r="I67" s="1"/>
  <c r="F66"/>
  <c r="H66" s="1"/>
  <c r="F65"/>
  <c r="H65" s="1"/>
  <c r="F63"/>
  <c r="I62"/>
  <c r="F62"/>
  <c r="H62" s="1"/>
  <c r="I60"/>
  <c r="H60"/>
  <c r="F59"/>
  <c r="I59" s="1"/>
  <c r="I58"/>
  <c r="H58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4"/>
  <c r="H44" s="1"/>
  <c r="I43"/>
  <c r="H43"/>
  <c r="F42"/>
  <c r="I42" s="1"/>
  <c r="F41"/>
  <c r="H41" s="1"/>
  <c r="F40"/>
  <c r="I40" s="1"/>
  <c r="F39"/>
  <c r="H39" s="1"/>
  <c r="I38"/>
  <c r="H38"/>
  <c r="H36"/>
  <c r="H35"/>
  <c r="H34"/>
  <c r="F34"/>
  <c r="I34" s="1"/>
  <c r="E34"/>
  <c r="F33"/>
  <c r="I33" s="1"/>
  <c r="F32"/>
  <c r="H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H19" s="1"/>
  <c r="F18"/>
  <c r="H18" s="1"/>
  <c r="F17"/>
  <c r="H17" s="1"/>
  <c r="F16"/>
  <c r="H16" s="1"/>
  <c r="I65" i="32"/>
  <c r="I92"/>
  <c r="I54"/>
  <c r="I101"/>
  <c r="I100"/>
  <c r="I99"/>
  <c r="I98"/>
  <c r="I97"/>
  <c r="I96"/>
  <c r="I94"/>
  <c r="I93"/>
  <c r="H94"/>
  <c r="H93"/>
  <c r="H92"/>
  <c r="I91"/>
  <c r="H91"/>
  <c r="E88"/>
  <c r="F88" s="1"/>
  <c r="F87"/>
  <c r="H87" s="1"/>
  <c r="H85"/>
  <c r="H83"/>
  <c r="F81"/>
  <c r="H81" s="1"/>
  <c r="H80"/>
  <c r="F79"/>
  <c r="H79" s="1"/>
  <c r="I78"/>
  <c r="F78"/>
  <c r="H78" s="1"/>
  <c r="H77"/>
  <c r="H76"/>
  <c r="F74"/>
  <c r="I74" s="1"/>
  <c r="F72"/>
  <c r="H72" s="1"/>
  <c r="F71"/>
  <c r="I71" s="1"/>
  <c r="F70"/>
  <c r="H70" s="1"/>
  <c r="F69"/>
  <c r="I69" s="1"/>
  <c r="F68"/>
  <c r="H68" s="1"/>
  <c r="F67"/>
  <c r="I67" s="1"/>
  <c r="F66"/>
  <c r="H66" s="1"/>
  <c r="F65"/>
  <c r="H65" s="1"/>
  <c r="F63"/>
  <c r="I63" s="1"/>
  <c r="I62"/>
  <c r="F62"/>
  <c r="H62" s="1"/>
  <c r="I60"/>
  <c r="H60"/>
  <c r="F59"/>
  <c r="I59" s="1"/>
  <c r="I58"/>
  <c r="H58"/>
  <c r="F57"/>
  <c r="H57" s="1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4"/>
  <c r="I44" s="1"/>
  <c r="H43"/>
  <c r="F42"/>
  <c r="H42" s="1"/>
  <c r="H41"/>
  <c r="F41"/>
  <c r="I41" s="1"/>
  <c r="F40"/>
  <c r="H40" s="1"/>
  <c r="F39"/>
  <c r="I39" s="1"/>
  <c r="I38"/>
  <c r="H38"/>
  <c r="H36"/>
  <c r="H35"/>
  <c r="H34"/>
  <c r="F34"/>
  <c r="I34" s="1"/>
  <c r="E34"/>
  <c r="F33"/>
  <c r="H33" s="1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F18"/>
  <c r="I18" s="1"/>
  <c r="F17"/>
  <c r="H17" s="1"/>
  <c r="F16"/>
  <c r="I16" s="1"/>
  <c r="H18" l="1"/>
  <c r="H16"/>
  <c r="H26"/>
  <c r="H39"/>
  <c r="H44"/>
  <c r="H23" i="33"/>
  <c r="H27"/>
  <c r="H33"/>
  <c r="H70"/>
  <c r="H21"/>
  <c r="H25"/>
  <c r="H31"/>
  <c r="H68"/>
  <c r="H72"/>
  <c r="H50"/>
  <c r="H40"/>
  <c r="H42"/>
  <c r="H88"/>
  <c r="H89" s="1"/>
  <c r="I88"/>
  <c r="I22"/>
  <c r="I26"/>
  <c r="I30"/>
  <c r="I32"/>
  <c r="I39"/>
  <c r="I41"/>
  <c r="I44"/>
  <c r="I57"/>
  <c r="H59"/>
  <c r="H63"/>
  <c r="H67"/>
  <c r="H69"/>
  <c r="H71"/>
  <c r="H74"/>
  <c r="I87"/>
  <c r="H32" i="32"/>
  <c r="H30"/>
  <c r="H24"/>
  <c r="H22"/>
  <c r="H20"/>
  <c r="H88"/>
  <c r="H89" s="1"/>
  <c r="I88"/>
  <c r="I17"/>
  <c r="I19"/>
  <c r="I21"/>
  <c r="I23"/>
  <c r="I25"/>
  <c r="I27"/>
  <c r="I31"/>
  <c r="I33"/>
  <c r="I40"/>
  <c r="I50"/>
  <c r="I57"/>
  <c r="H59"/>
  <c r="H63"/>
  <c r="H67"/>
  <c r="I68"/>
  <c r="H69"/>
  <c r="I70"/>
  <c r="H71"/>
  <c r="I72"/>
  <c r="H74"/>
  <c r="I81"/>
  <c r="I87"/>
  <c r="I104" l="1"/>
  <c r="H84" i="33"/>
  <c r="I111"/>
  <c r="H84" i="32"/>
  <c r="I93" i="31" l="1"/>
  <c r="I92"/>
  <c r="H94"/>
  <c r="H93"/>
  <c r="H92"/>
  <c r="I65" i="30"/>
  <c r="I91"/>
  <c r="F91"/>
  <c r="H91" s="1"/>
  <c r="I43" i="17"/>
  <c r="I94" i="31"/>
  <c r="I91"/>
  <c r="H91"/>
  <c r="E88"/>
  <c r="F88" s="1"/>
  <c r="H87"/>
  <c r="F87"/>
  <c r="I87" s="1"/>
  <c r="H85"/>
  <c r="H83"/>
  <c r="H81"/>
  <c r="F81"/>
  <c r="I81" s="1"/>
  <c r="H80"/>
  <c r="F79"/>
  <c r="H79" s="1"/>
  <c r="I78"/>
  <c r="F78"/>
  <c r="H78" s="1"/>
  <c r="H77"/>
  <c r="H76"/>
  <c r="F74"/>
  <c r="I74" s="1"/>
  <c r="H72"/>
  <c r="F72"/>
  <c r="I72" s="1"/>
  <c r="F71"/>
  <c r="I71" s="1"/>
  <c r="H70"/>
  <c r="F70"/>
  <c r="I70" s="1"/>
  <c r="F69"/>
  <c r="I69" s="1"/>
  <c r="H68"/>
  <c r="F68"/>
  <c r="I68" s="1"/>
  <c r="F67"/>
  <c r="I67" s="1"/>
  <c r="F66"/>
  <c r="H66" s="1"/>
  <c r="I65"/>
  <c r="F65"/>
  <c r="H65" s="1"/>
  <c r="F63"/>
  <c r="I63" s="1"/>
  <c r="I62"/>
  <c r="F62"/>
  <c r="H62" s="1"/>
  <c r="I60"/>
  <c r="H60"/>
  <c r="F59"/>
  <c r="I59" s="1"/>
  <c r="I58"/>
  <c r="H58"/>
  <c r="F57"/>
  <c r="I57" s="1"/>
  <c r="H54"/>
  <c r="F54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4"/>
  <c r="I44" s="1"/>
  <c r="H43"/>
  <c r="H42"/>
  <c r="F42"/>
  <c r="F41"/>
  <c r="I41" s="1"/>
  <c r="H40"/>
  <c r="F40"/>
  <c r="I40" s="1"/>
  <c r="F39"/>
  <c r="I39" s="1"/>
  <c r="I38"/>
  <c r="H38"/>
  <c r="H36"/>
  <c r="H35"/>
  <c r="H34"/>
  <c r="F34"/>
  <c r="I34" s="1"/>
  <c r="E34"/>
  <c r="H33"/>
  <c r="F33"/>
  <c r="I33" s="1"/>
  <c r="F32"/>
  <c r="I32" s="1"/>
  <c r="H31"/>
  <c r="F31"/>
  <c r="I31" s="1"/>
  <c r="F30"/>
  <c r="I30" s="1"/>
  <c r="H27"/>
  <c r="F27"/>
  <c r="I27" s="1"/>
  <c r="F26"/>
  <c r="I26" s="1"/>
  <c r="H25"/>
  <c r="F25"/>
  <c r="I25" s="1"/>
  <c r="F24"/>
  <c r="I24" s="1"/>
  <c r="H23"/>
  <c r="F23"/>
  <c r="I23" s="1"/>
  <c r="F22"/>
  <c r="H22" s="1"/>
  <c r="H21"/>
  <c r="F21"/>
  <c r="I21" s="1"/>
  <c r="F20"/>
  <c r="I20" s="1"/>
  <c r="H19"/>
  <c r="F19"/>
  <c r="I19" s="1"/>
  <c r="F18"/>
  <c r="H18" s="1"/>
  <c r="H17"/>
  <c r="F17"/>
  <c r="I17" s="1"/>
  <c r="F16"/>
  <c r="I16" s="1"/>
  <c r="H57" l="1"/>
  <c r="H50"/>
  <c r="H88"/>
  <c r="H89" s="1"/>
  <c r="I88"/>
  <c r="I18"/>
  <c r="I97" s="1"/>
  <c r="I22"/>
  <c r="H16"/>
  <c r="H20"/>
  <c r="H24"/>
  <c r="H26"/>
  <c r="H30"/>
  <c r="H32"/>
  <c r="H39"/>
  <c r="H41"/>
  <c r="H44"/>
  <c r="H59"/>
  <c r="H84" s="1"/>
  <c r="H63"/>
  <c r="H67"/>
  <c r="H69"/>
  <c r="H71"/>
  <c r="H74"/>
  <c r="I95" i="30" l="1"/>
  <c r="I96"/>
  <c r="H96"/>
  <c r="H95"/>
  <c r="H93"/>
  <c r="I78"/>
  <c r="I62"/>
  <c r="I60"/>
  <c r="I58"/>
  <c r="I92"/>
  <c r="H92"/>
  <c r="E88"/>
  <c r="F88" s="1"/>
  <c r="F87"/>
  <c r="I87" s="1"/>
  <c r="H85"/>
  <c r="H83"/>
  <c r="F81"/>
  <c r="I81" s="1"/>
  <c r="H80"/>
  <c r="F79"/>
  <c r="H79" s="1"/>
  <c r="F78"/>
  <c r="H78" s="1"/>
  <c r="H77"/>
  <c r="H76"/>
  <c r="F74"/>
  <c r="I74" s="1"/>
  <c r="F72"/>
  <c r="H72" s="1"/>
  <c r="F71"/>
  <c r="I71" s="1"/>
  <c r="F70"/>
  <c r="H70" s="1"/>
  <c r="F69"/>
  <c r="I69" s="1"/>
  <c r="F68"/>
  <c r="H68" s="1"/>
  <c r="F67"/>
  <c r="I67" s="1"/>
  <c r="F66"/>
  <c r="H66" s="1"/>
  <c r="F65"/>
  <c r="H65" s="1"/>
  <c r="F63"/>
  <c r="I63" s="1"/>
  <c r="F62"/>
  <c r="H62" s="1"/>
  <c r="H60"/>
  <c r="F59"/>
  <c r="I59" s="1"/>
  <c r="H58"/>
  <c r="F57"/>
  <c r="I57" s="1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4"/>
  <c r="H44" s="1"/>
  <c r="H43"/>
  <c r="F42"/>
  <c r="F41"/>
  <c r="H41" s="1"/>
  <c r="F40"/>
  <c r="I40" s="1"/>
  <c r="F39"/>
  <c r="H39" s="1"/>
  <c r="I38"/>
  <c r="H38"/>
  <c r="H36"/>
  <c r="H35"/>
  <c r="H34"/>
  <c r="F34"/>
  <c r="I34" s="1"/>
  <c r="E34"/>
  <c r="F33"/>
  <c r="I33" s="1"/>
  <c r="F32"/>
  <c r="H32" s="1"/>
  <c r="F31"/>
  <c r="I31" s="1"/>
  <c r="F30"/>
  <c r="H30" s="1"/>
  <c r="F27"/>
  <c r="I27" s="1"/>
  <c r="F26"/>
  <c r="H26" s="1"/>
  <c r="F25"/>
  <c r="I25" s="1"/>
  <c r="F24"/>
  <c r="H24" s="1"/>
  <c r="F23"/>
  <c r="I23" s="1"/>
  <c r="F22"/>
  <c r="H22" s="1"/>
  <c r="F21"/>
  <c r="I21" s="1"/>
  <c r="F20"/>
  <c r="H20" s="1"/>
  <c r="F19"/>
  <c r="I19" s="1"/>
  <c r="F18"/>
  <c r="H18" s="1"/>
  <c r="F17"/>
  <c r="I17" s="1"/>
  <c r="F16"/>
  <c r="H16" s="1"/>
  <c r="I96" i="17"/>
  <c r="H96"/>
  <c r="I95"/>
  <c r="H95"/>
  <c r="I94"/>
  <c r="H94"/>
  <c r="I93"/>
  <c r="H93"/>
  <c r="F93"/>
  <c r="I92"/>
  <c r="H92"/>
  <c r="I91"/>
  <c r="H91"/>
  <c r="H25" i="30" l="1"/>
  <c r="H74"/>
  <c r="I88"/>
  <c r="H88"/>
  <c r="H89" s="1"/>
  <c r="I16"/>
  <c r="H17"/>
  <c r="I18"/>
  <c r="H19"/>
  <c r="I20"/>
  <c r="H21"/>
  <c r="I22"/>
  <c r="H23"/>
  <c r="I24"/>
  <c r="I26"/>
  <c r="H27"/>
  <c r="I30"/>
  <c r="H31"/>
  <c r="I32"/>
  <c r="H33"/>
  <c r="I39"/>
  <c r="H40"/>
  <c r="I41"/>
  <c r="H42"/>
  <c r="I44"/>
  <c r="H50"/>
  <c r="H57"/>
  <c r="H59"/>
  <c r="H63"/>
  <c r="H67"/>
  <c r="I68"/>
  <c r="H69"/>
  <c r="I70"/>
  <c r="H71"/>
  <c r="I72"/>
  <c r="H81"/>
  <c r="H87"/>
  <c r="E88" i="17"/>
  <c r="F88" s="1"/>
  <c r="F87"/>
  <c r="I87" s="1"/>
  <c r="H85"/>
  <c r="H83"/>
  <c r="F81"/>
  <c r="I81" s="1"/>
  <c r="H80"/>
  <c r="F79"/>
  <c r="H79" s="1"/>
  <c r="F78"/>
  <c r="H78" s="1"/>
  <c r="H77"/>
  <c r="H76"/>
  <c r="F74"/>
  <c r="I74" s="1"/>
  <c r="F72"/>
  <c r="F71"/>
  <c r="F70"/>
  <c r="F69"/>
  <c r="F68"/>
  <c r="F67"/>
  <c r="F66"/>
  <c r="H66" s="1"/>
  <c r="I65"/>
  <c r="F65"/>
  <c r="H65" s="1"/>
  <c r="F63"/>
  <c r="I63" s="1"/>
  <c r="F62"/>
  <c r="H62" s="1"/>
  <c r="H60"/>
  <c r="F59"/>
  <c r="I59" s="1"/>
  <c r="H58"/>
  <c r="F57"/>
  <c r="I57" s="1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4"/>
  <c r="H44" s="1"/>
  <c r="H43"/>
  <c r="F42"/>
  <c r="I42" s="1"/>
  <c r="F41"/>
  <c r="H41" s="1"/>
  <c r="F40"/>
  <c r="I40" s="1"/>
  <c r="F39"/>
  <c r="H39" s="1"/>
  <c r="I38"/>
  <c r="H38"/>
  <c r="F27"/>
  <c r="H27" s="1"/>
  <c r="H36"/>
  <c r="H35"/>
  <c r="F26"/>
  <c r="I26" s="1"/>
  <c r="H34"/>
  <c r="F34"/>
  <c r="I34" s="1"/>
  <c r="E34"/>
  <c r="F33"/>
  <c r="F32"/>
  <c r="F31"/>
  <c r="F30"/>
  <c r="F25"/>
  <c r="I25" s="1"/>
  <c r="F24"/>
  <c r="H24" s="1"/>
  <c r="F23"/>
  <c r="H23" s="1"/>
  <c r="F22"/>
  <c r="H22" s="1"/>
  <c r="F21"/>
  <c r="H21" s="1"/>
  <c r="F20"/>
  <c r="I20" s="1"/>
  <c r="F19"/>
  <c r="I19" s="1"/>
  <c r="F18"/>
  <c r="H18" s="1"/>
  <c r="F17"/>
  <c r="I17" s="1"/>
  <c r="F16"/>
  <c r="H16" s="1"/>
  <c r="I99" i="30" l="1"/>
  <c r="H84"/>
  <c r="H68" i="17"/>
  <c r="I68"/>
  <c r="H70"/>
  <c r="I70"/>
  <c r="H72"/>
  <c r="I72"/>
  <c r="H67"/>
  <c r="I67"/>
  <c r="H69"/>
  <c r="I69"/>
  <c r="H71"/>
  <c r="I71"/>
  <c r="H31"/>
  <c r="I31"/>
  <c r="H33"/>
  <c r="I33"/>
  <c r="H30"/>
  <c r="I30"/>
  <c r="H32"/>
  <c r="I32"/>
  <c r="H19"/>
  <c r="H20"/>
  <c r="H25"/>
  <c r="H42"/>
  <c r="I24"/>
  <c r="I22"/>
  <c r="I21"/>
  <c r="H74"/>
  <c r="I23"/>
  <c r="H17"/>
  <c r="H26"/>
  <c r="H40"/>
  <c r="H59"/>
  <c r="H81"/>
  <c r="H57"/>
  <c r="H63"/>
  <c r="H88"/>
  <c r="I88"/>
  <c r="I18"/>
  <c r="I27"/>
  <c r="I39"/>
  <c r="I41"/>
  <c r="I44"/>
  <c r="I50"/>
  <c r="H87"/>
  <c r="I16"/>
  <c r="H84" l="1"/>
  <c r="H89" l="1"/>
  <c r="I99" l="1"/>
</calcChain>
</file>

<file path=xl/sharedStrings.xml><?xml version="1.0" encoding="utf-8"?>
<sst xmlns="http://schemas.openxmlformats.org/spreadsheetml/2006/main" count="3015" uniqueCount="319">
  <si>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</si>
  <si>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</si>
  <si>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</si>
  <si>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</si>
  <si>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</si>
  <si>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</si>
  <si>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</si>
  <si>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</si>
  <si>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</si>
  <si>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</si>
  <si>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</si>
  <si>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</si>
  <si>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</si>
  <si>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</si>
  <si>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</si>
  <si>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</si>
  <si>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</si>
  <si>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</si>
  <si>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</si>
  <si>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</si>
  <si>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</si>
  <si>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</si>
  <si>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</si>
  <si>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</si>
  <si>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</si>
  <si>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</si>
  <si>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</si>
  <si>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</si>
  <si>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</si>
  <si>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</si>
  <si>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</si>
  <si>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</si>
  <si>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</si>
  <si>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</si>
  <si>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</si>
  <si>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</si>
  <si>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</si>
  <si>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</si>
  <si>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</si>
  <si>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</si>
  <si>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</si>
  <si>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</si>
  <si>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</si>
  <si>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</si>
  <si>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</si>
  <si>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</si>
  <si>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</si>
  <si>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</si>
  <si>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</si>
  <si>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</si>
  <si>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</si>
  <si>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</si>
  <si>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</si>
  <si>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</si>
  <si>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</si>
  <si>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</si>
  <si>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</si>
  <si>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</si>
  <si>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</si>
  <si>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</si>
  <si>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</si>
  <si>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</si>
  <si>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</si>
  <si>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</si>
  <si>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</si>
  <si>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</si>
  <si>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</si>
  <si>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</si>
  <si>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</si>
  <si>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</si>
  <si>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</si>
  <si>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</si>
  <si>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</si>
  <si>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</si>
  <si>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</si>
  <si>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</si>
  <si>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</si>
  <si>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</si>
  <si>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</si>
  <si>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</si>
  <si>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дверных приборов (замки навесные)</t>
  </si>
  <si>
    <t>II. Уборка земельного участка</t>
  </si>
  <si>
    <t>ООО «Жилсервис»</t>
  </si>
  <si>
    <t>Влажное подметание лестничных клеток 1 этажа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</si>
  <si>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</si>
  <si>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</si>
  <si>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</si>
  <si>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</si>
  <si>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</si>
  <si>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</si>
  <si>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</si>
  <si>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</si>
  <si>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</si>
  <si>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</si>
  <si>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</si>
  <si>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</si>
  <si>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</si>
  <si>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</si>
  <si>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</si>
  <si>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контейнерной площадки (16 кв.м.)</t>
  </si>
  <si>
    <t>Уборка газонов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</si>
  <si>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</si>
  <si>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</si>
  <si>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</si>
  <si>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</si>
  <si>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</si>
  <si>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</si>
  <si>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</si>
  <si>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</si>
  <si>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>Влажное подметание лестничных клеток 2-5 этажа</t>
  </si>
  <si>
    <t>Мытье лестничных  площадок и маршей 1-5 этаж.</t>
  </si>
  <si>
    <t>Подметание территории с усовершенствованным покрытием асф.: крыльца, контейнерн пл., проезд, тротуар</t>
  </si>
  <si>
    <t>Дератизация</t>
  </si>
  <si>
    <t>Влажная протирка шкафов для щитов и слаботочн.ус.</t>
  </si>
  <si>
    <t>Прочистка каналов</t>
  </si>
  <si>
    <t>30 раз за сезон</t>
  </si>
  <si>
    <t>35 раз за сезон</t>
  </si>
  <si>
    <t xml:space="preserve">Осмотр рулонной кровли </t>
  </si>
  <si>
    <t>Очистка края кровли от слежавшегося снега со сбрасыванием сосулек (10% от S кровли и козырьки)</t>
  </si>
  <si>
    <t>Очистка водостоков от наледи</t>
  </si>
  <si>
    <t>Очистка внутреннего водостока</t>
  </si>
  <si>
    <t>водосток</t>
  </si>
  <si>
    <t xml:space="preserve"> </t>
  </si>
  <si>
    <t>Очистка урн от мусора</t>
  </si>
  <si>
    <t>Снятие показаний эл.счетчика коммунального назначения</t>
  </si>
  <si>
    <t>Устройство хомута диаметром до 50 мм</t>
  </si>
  <si>
    <t>Смена трубопроводов на полипропиленовые трубы PN25 диаметром 25 мм</t>
  </si>
  <si>
    <t>м</t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</si>
  <si>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</si>
  <si>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</si>
  <si>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</si>
  <si>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</si>
  <si>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АКТ №1</t>
  </si>
  <si>
    <t>5 раз в год</t>
  </si>
  <si>
    <t>АКТ №2</t>
  </si>
  <si>
    <t>156 раз в год</t>
  </si>
  <si>
    <t>104 раза в год</t>
  </si>
  <si>
    <t xml:space="preserve">24 раза в год </t>
  </si>
  <si>
    <t>Водоотлив из подвала электрическими (механическими) насосами (100 м3 воды)</t>
  </si>
  <si>
    <t>10 м3</t>
  </si>
  <si>
    <t>Внеплановая проверка вентканалов</t>
  </si>
  <si>
    <t>52 раза в сезон</t>
  </si>
  <si>
    <t>78 раз за сезон</t>
  </si>
  <si>
    <t>Итого затраты за месяц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</si>
  <si>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д.9а</t>
    </r>
  </si>
  <si>
    <t>за период с 01.01.2018 г. по 31.01.2018 г.</t>
  </si>
  <si>
    <t>Сдвигание снега в дни снегопада</t>
  </si>
  <si>
    <t>Очистка вручную от снега и наледи люков каналиационных и водопроводных колодцев</t>
  </si>
  <si>
    <t>2 раза в месяц</t>
  </si>
  <si>
    <t>Работы автовышки</t>
  </si>
  <si>
    <t>маш-час</t>
  </si>
  <si>
    <t>Очистка  от мусора</t>
  </si>
  <si>
    <t>Водоснабжение, канализация</t>
  </si>
  <si>
    <t>ТО внутренних сетей водопровода и канализации</t>
  </si>
  <si>
    <t>руб/м2 в мес</t>
  </si>
  <si>
    <t>Смена светодиодных светильников (со стоимостью светильника)</t>
  </si>
  <si>
    <t>Смена выключателей</t>
  </si>
  <si>
    <t>Смена плавкой вставки в электрощитке</t>
  </si>
  <si>
    <t>Смена светодиодных светильников н.о.</t>
  </si>
  <si>
    <t xml:space="preserve">Снятие показаний с общедомовых приборов учёта </t>
  </si>
  <si>
    <t>182 раза</t>
  </si>
  <si>
    <t>за период с 01.02.2018 г. по 28.02.2018 г.</t>
  </si>
  <si>
    <r>
      <t xml:space="preserve">    Собственники помещений в многоквартирном доме, расположенном по адресу: пгт.Ярега, ул.Строительная, д.9а,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21.12.2017г.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</si>
  <si>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Утепление плиты перекрытия минеральной ватой УРСА</t>
  </si>
  <si>
    <t>1 мЗ</t>
  </si>
  <si>
    <t>Смена дверных приборов - пружины</t>
  </si>
  <si>
    <t>АКТ №3</t>
  </si>
  <si>
    <t>за период с 01.03.2018 г. по 31.03.2018 г.</t>
  </si>
  <si>
    <t>III. Содержание общего имущества МКД</t>
  </si>
  <si>
    <t>IV. Прочие услуги</t>
  </si>
  <si>
    <t>Очистка канализационной сети внутренней</t>
  </si>
  <si>
    <t>1м</t>
  </si>
  <si>
    <t>Ремонт и регулировка доводчика (со стоимостью доводчика)</t>
  </si>
  <si>
    <t>1шт.</t>
  </si>
  <si>
    <t>Смена светодиодных светильников в.о.</t>
  </si>
  <si>
    <t>Ремонт групповых щитков на лестничной клетке без ремонта автоматов</t>
  </si>
  <si>
    <t>Смена арматуры - вентилей и клапанов обратных муфтовых диаметром до 20 мм</t>
  </si>
  <si>
    <t>1 шт</t>
  </si>
  <si>
    <t>Внеплановый осмотр электросетей,арматуры и электооборудования на лестничных клетках</t>
  </si>
  <si>
    <t>Внеплановый осмотр вводных электрических щитков</t>
  </si>
  <si>
    <t>100шт</t>
  </si>
  <si>
    <t>за период с 01.04.2018 г. по 30.04.2018 г.</t>
  </si>
  <si>
    <t>Смена дверных приборов - петли</t>
  </si>
  <si>
    <t>АКТ №4</t>
  </si>
  <si>
    <t>АКТ №5</t>
  </si>
  <si>
    <t>за период с 01.05.2018 г. по 31.05.2018 г.</t>
  </si>
  <si>
    <t>2 раза в неделю 104 раза в год</t>
  </si>
  <si>
    <t>1 раз в неделю 52 раза в год</t>
  </si>
  <si>
    <t>12 раз в год</t>
  </si>
  <si>
    <t>Смена трубопроводов на полипропиленовые трубы PN25 диаметром 20 мм</t>
  </si>
  <si>
    <t>Муфта разъемная 20*1/2 НР</t>
  </si>
  <si>
    <t>Муфта разъемная 20*1/2 ВР</t>
  </si>
  <si>
    <t>Муфта разъемная 25*3/4 ВР</t>
  </si>
  <si>
    <t>Муфта разъемная 25*3/4 НР</t>
  </si>
  <si>
    <t>Муфта разъемная 32*25 ВР</t>
  </si>
  <si>
    <t>Муфта разъемная 32*25 НР</t>
  </si>
  <si>
    <t>Колено 25-90º</t>
  </si>
  <si>
    <t>Тройник 25</t>
  </si>
  <si>
    <t>Смена внутренних трубопроводов Dу32*5,4</t>
  </si>
  <si>
    <t xml:space="preserve"> м</t>
  </si>
  <si>
    <t>Смена арматуры - вентилей и клапанов обратных муфтовых диаметром до 32 мм</t>
  </si>
  <si>
    <t>Прочистка ливневки от засора</t>
  </si>
  <si>
    <t>1 м</t>
  </si>
  <si>
    <t>Смена арматуры - вентилей ПП Dу 25</t>
  </si>
  <si>
    <t>АКТ №6</t>
  </si>
  <si>
    <t>за период с 01.06.2018 г. по 30.06.2018 г.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</si>
  <si>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</si>
  <si>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</si>
  <si>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Установка хомута д=до 50 мм</t>
  </si>
  <si>
    <t>Муфта переходная 32*25</t>
  </si>
  <si>
    <t>*21</t>
  </si>
  <si>
    <t>*21-справочно</t>
  </si>
  <si>
    <t>*24</t>
  </si>
  <si>
    <t>*24-справочно</t>
  </si>
  <si>
    <t>*25</t>
  </si>
  <si>
    <t>*25-справочно</t>
  </si>
  <si>
    <t>*20</t>
  </si>
  <si>
    <t>*20-справочно</t>
  </si>
  <si>
    <t>2. Всего за период с 01.06.2018 по 30.06.2018 выполнено работ (оказано услуг) на общую сумму: 96257,34 руб.</t>
  </si>
  <si>
    <t>( девяносто шесть тысяч двести пятьдесят семь рублей 34 копейки)</t>
  </si>
  <si>
    <t>2. Всего за период с 01.05.2018 по 31.05.2018 выполнено работ (оказано услуг) на общую сумму: 269389,58руб.</t>
  </si>
  <si>
    <t>(двести шестьдесят девять тысяч триста восемьдесят девять рублей 58 копеек)</t>
  </si>
  <si>
    <t>*48</t>
  </si>
  <si>
    <t>*48-справочно</t>
  </si>
  <si>
    <t>ООО «Движение»</t>
  </si>
  <si>
    <t>за период с 01.07.2018 г. по 31.07.2018 г.</t>
  </si>
  <si>
    <t>Внеплановый осмотр кровли рулонной</t>
  </si>
  <si>
    <t>Внеплановый осмотр электросетей, армазуры и электрооборудования на лестничных клетках</t>
  </si>
  <si>
    <t>Монтаж светодиодных светильников Н.О.</t>
  </si>
  <si>
    <t>2. Всего за период с 01.07.2018 по 31.07.2018 выполнено работ (оказано услуг) на общую сумму: 95284,64 руб.</t>
  </si>
  <si>
    <t>( девяносто пять тысяч двести восемьдесят четыре рубля  64 копейки)</t>
  </si>
  <si>
    <t>за период с 01.08.2018 г. по 31.08.2018 г.</t>
  </si>
  <si>
    <t>АКТ №8</t>
  </si>
  <si>
    <t>АКТ №7</t>
  </si>
  <si>
    <t>Прибили лист железа</t>
  </si>
  <si>
    <t>1 лист</t>
  </si>
  <si>
    <t>Ремонт ступеней деревянных (3 под)</t>
  </si>
  <si>
    <t>10 ступ.</t>
  </si>
  <si>
    <t>Доска обрезная 4м*150*40</t>
  </si>
  <si>
    <t>450м2</t>
  </si>
  <si>
    <t>Ремонт магнитных пускателей</t>
  </si>
  <si>
    <t>Внеплановый осмотр стен</t>
  </si>
  <si>
    <t>100мЗ</t>
  </si>
  <si>
    <t>*18</t>
  </si>
  <si>
    <t>*18-справочно</t>
  </si>
  <si>
    <t xml:space="preserve">приемки оказанных услуг и выполненных работ по содержанию и текущему ремонту
общего имущества в многоквартирном доме №9а по ул.Строительная пгт.Ярега
</t>
  </si>
  <si>
    <t>Ремонт рулонной кровли</t>
  </si>
  <si>
    <t>АКТ №9</t>
  </si>
  <si>
    <t>за период с 01.09.2018 г. по 30.09.2018 г.</t>
  </si>
  <si>
    <t>Щебень</t>
  </si>
  <si>
    <t>2м3</t>
  </si>
  <si>
    <t>1шт</t>
  </si>
  <si>
    <t>Тройник 32*20</t>
  </si>
  <si>
    <t>Муфта 32</t>
  </si>
  <si>
    <t>Колено 32-90º</t>
  </si>
  <si>
    <t>Тройник 32*32*20</t>
  </si>
  <si>
    <t>2. Всего за период с 01.08.2018 по 31.08.2018 выполнено работ (оказано услуг) на общую сумму: 370456,12 руб.</t>
  </si>
  <si>
    <t>(триста семьдесят тысяч четыреста пятьдесят шесть рублей 12 копеек)</t>
  </si>
  <si>
    <t>АКТ №10</t>
  </si>
  <si>
    <t>за период с 01.10.2018 г. по 31.10.2018 г.</t>
  </si>
  <si>
    <t>2. Всего за период с 01.09.2018 по 30.09.2018 выполнено работ (оказано услуг) на общую сумму: 109715,66 руб.</t>
  </si>
  <si>
    <t>(сто девять тысяч семьсот пятнадцать рублей 66 копеек)</t>
  </si>
  <si>
    <t>Смена трубопроводов на полипропиленовые трубы PN20 диаметром 25 мм (с 35 до 27 кв)</t>
  </si>
  <si>
    <t>Смена трубопроводов на полипропиленовые трубы PN20 диаметром 20 мм  (с 35 до 27 кв)</t>
  </si>
  <si>
    <t>12м</t>
  </si>
  <si>
    <t>1,5м</t>
  </si>
  <si>
    <t>Муфта 25</t>
  </si>
  <si>
    <t>Тройник 25*20*25</t>
  </si>
  <si>
    <t>Демонтаж антенны</t>
  </si>
  <si>
    <t>10 м</t>
  </si>
  <si>
    <t>Смена внутренних трубопроводов Dу32*5,4 (кв. 65)</t>
  </si>
  <si>
    <t>2м</t>
  </si>
  <si>
    <t>Установка дверного полотна на петли</t>
  </si>
  <si>
    <t>полотно</t>
  </si>
  <si>
    <t>*19</t>
  </si>
  <si>
    <t>*19-справочно</t>
  </si>
  <si>
    <t>2. Всего за период с 01.10.2018 по 31.10.2018 выполнено работ (оказано услуг) на общую сумму: 112470,89 руб.</t>
  </si>
  <si>
    <t>(сто двенадцать тысяч четыреста семьдесят рублей 89 копеек)</t>
  </si>
  <si>
    <t>АКТ №11</t>
  </si>
  <si>
    <t>за период с 01.11.2018 г. по 30.11.2018 г.</t>
  </si>
  <si>
    <t>Осмотр водопроводов, канализации, отопления в квартирах</t>
  </si>
  <si>
    <t>100 кв.</t>
  </si>
  <si>
    <t xml:space="preserve">Смена сгонов у трубопроводов диаметром до 20 мм </t>
  </si>
  <si>
    <t>1 сгон</t>
  </si>
  <si>
    <t>за период с 01.12.2018 г. по 31.12.2018 г.</t>
  </si>
  <si>
    <t>Осмотр СО ( в начале и конце отопительного сезона дек.,янв., февр.)</t>
  </si>
  <si>
    <t>1 раз в месяц (5 раз за сезон)</t>
  </si>
  <si>
    <t>Смена трубопроводов на полипропиленовые трубы PN25 диаметром 25 мм (36кв, 7кв)</t>
  </si>
  <si>
    <t>3м и 4м</t>
  </si>
  <si>
    <t>АКТ №12</t>
  </si>
  <si>
    <t>Ремонт и регулировка оводчика ( без стоимости доводчика)</t>
  </si>
  <si>
    <t>16 м</t>
  </si>
  <si>
    <t xml:space="preserve">Смена трубопроводов на полипропиленовые трубы PN20 диаметром 20 мм  </t>
  </si>
  <si>
    <t>Смена трубопроводов на полипропиленовые трубы PN25 диаметром 20 мм ( с чердака до 8 кв)</t>
  </si>
  <si>
    <t>Колено 20-90</t>
  </si>
  <si>
    <t>Колено 20-45</t>
  </si>
  <si>
    <t>Отвод 20</t>
  </si>
  <si>
    <t>Ниппель 1/2</t>
  </si>
  <si>
    <t>Муфта 25*20</t>
  </si>
  <si>
    <t>Муфта 20</t>
  </si>
  <si>
    <t>Тройник 20</t>
  </si>
  <si>
    <r>
      <t xml:space="preserve">    Собственники помещений в многоквартирном доме, расположенном по адресу: пгт.Ярега, ул.Строительная, д.9а,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24.04.2018г. стороны, и ООО «Движение»,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</si>
  <si>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    Собственники помещений в многоквартирном доме, расположенном по адресу: пгт.Ярега, ул.Строительная, д.9а,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24.04.2018г.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</si>
  <si>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*22</t>
  </si>
  <si>
    <t>*22-справочно</t>
  </si>
  <si>
    <t>2. Всего за период с 01.01.2018 по 31.01.2018 выполнено работ (оказано услуг) на общую сумму: 108 851,25 руб.</t>
  </si>
  <si>
    <t>(сто восемь тысяч восемьсот пятьдесят один рубль 25 копеек)</t>
  </si>
  <si>
    <t>2. Всего за период с 01.02.2018 по 28.02.2018 выполнено работ (оказано услуг) на общую сумму: 114242,56 руб.</t>
  </si>
  <si>
    <t>(сто четырнадцать тысяч двести сорок два рубля 56 копеек)</t>
  </si>
  <si>
    <t>2. Всего за период с 01.03.2018 по 31.03.2018 выполнено работ (оказано услуг) на общую сумму: 94973,69 руб.</t>
  </si>
  <si>
    <t>(девяносто четыре тысячи девятьсот семьдесят три рубля 69 копеек)</t>
  </si>
  <si>
    <t>2. Всего за период с 01.04.2018 по 30.04.2018 выполнено работ (оказано услуг) на общую сумму: 109656,94 руб.</t>
  </si>
  <si>
    <t>(сто девять тысяч шестьсот пятьдесят шесть рублей 94 копейки)</t>
  </si>
  <si>
    <t>2. Всего за период с 01.11.2018 по 30.11.2018 выполнено работ (оказано услуг) на общую сумму: 64954,29 руб.</t>
  </si>
  <si>
    <t>(шестьдесят четыре тысячи девятьсот пятьдесят четыре рубля 29 копеек)</t>
  </si>
  <si>
    <t>2 раза</t>
  </si>
  <si>
    <t>1 раз</t>
  </si>
  <si>
    <t>2. Всего за период с 01.12.2018 по 31.12.2018 выполнено работ (оказано услуг) на общую сумму: 110052,79 руб.</t>
  </si>
  <si>
    <t>( сто десять тысяч пятьдесят два рубля 79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</si>
</sst>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0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9" fillId="0" borderId="3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4" fontId="20" fillId="2" borderId="3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0" fillId="2" borderId="3" xfId="0" applyNumberFormat="1" applyFont="1" applyFill="1" applyBorder="1" applyAlignment="1" applyProtection="1">
      <alignment horizontal="center" vertical="center"/>
    </xf>
    <xf numFmtId="4" fontId="20" fillId="2" borderId="7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4" fillId="0" borderId="0" xfId="0" applyFont="1"/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4" fontId="20" fillId="3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center" vertical="center" wrapText="1"/>
    </xf>
    <xf numFmtId="4" fontId="20" fillId="3" borderId="3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1" fillId="0" borderId="6" xfId="0" applyFont="1" applyBorder="1" applyAlignment="1"/>
    <xf numFmtId="0" fontId="0" fillId="0" borderId="6" xfId="0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1"/>
  <sheetViews>
    <sheetView topLeftCell="A86" workbookViewId="0">
      <selection activeCell="B102" sqref="B102:G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82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99" t="s">
        <v>132</v>
      </c>
      <c r="B3" s="199"/>
      <c r="C3" s="199"/>
      <c r="D3" s="199"/>
      <c r="E3" s="199"/>
      <c r="F3" s="199"/>
      <c r="G3" s="199"/>
      <c r="H3" s="199"/>
      <c r="I3" s="199"/>
      <c r="J3" s="3"/>
      <c r="K3" s="3"/>
      <c r="L3" s="3"/>
    </row>
    <row r="4" spans="1:13" ht="31.5" customHeight="1">
      <c r="A4" s="200" t="s">
        <v>245</v>
      </c>
      <c r="B4" s="200"/>
      <c r="C4" s="200"/>
      <c r="D4" s="200"/>
      <c r="E4" s="200"/>
      <c r="F4" s="200"/>
      <c r="G4" s="200"/>
      <c r="H4" s="200"/>
      <c r="I4" s="200"/>
    </row>
    <row r="5" spans="1:13" ht="15.75">
      <c r="A5" s="199" t="s">
        <v>145</v>
      </c>
      <c r="B5" s="201"/>
      <c r="C5" s="201"/>
      <c r="D5" s="201"/>
      <c r="E5" s="201"/>
      <c r="F5" s="201"/>
      <c r="G5" s="201"/>
      <c r="H5" s="201"/>
      <c r="I5" s="201"/>
      <c r="J5" s="2"/>
      <c r="K5" s="2"/>
      <c r="L5" s="2"/>
      <c r="M5" s="2"/>
    </row>
    <row r="6" spans="1:13" ht="15.75">
      <c r="A6" s="2"/>
      <c r="B6" s="55"/>
      <c r="C6" s="55"/>
      <c r="D6" s="55"/>
      <c r="E6" s="55"/>
      <c r="F6" s="55"/>
      <c r="G6" s="55"/>
      <c r="H6" s="55"/>
      <c r="I6" s="31">
        <v>43131</v>
      </c>
      <c r="J6" s="2"/>
      <c r="K6" s="2"/>
      <c r="L6" s="2"/>
      <c r="M6" s="2"/>
    </row>
    <row r="7" spans="1:13" ht="15.75">
      <c r="B7" s="54"/>
      <c r="C7" s="54"/>
      <c r="D7" s="54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02" t="s">
        <v>162</v>
      </c>
      <c r="B8" s="202"/>
      <c r="C8" s="202"/>
      <c r="D8" s="202"/>
      <c r="E8" s="202"/>
      <c r="F8" s="202"/>
      <c r="G8" s="202"/>
      <c r="H8" s="202"/>
      <c r="I8" s="20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03" t="s">
        <v>144</v>
      </c>
      <c r="B10" s="203"/>
      <c r="C10" s="203"/>
      <c r="D10" s="203"/>
      <c r="E10" s="203"/>
      <c r="F10" s="203"/>
      <c r="G10" s="203"/>
      <c r="H10" s="203"/>
      <c r="I10" s="20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4" t="s">
        <v>57</v>
      </c>
      <c r="B14" s="204"/>
      <c r="C14" s="204"/>
      <c r="D14" s="204"/>
      <c r="E14" s="204"/>
      <c r="F14" s="204"/>
      <c r="G14" s="204"/>
      <c r="H14" s="204"/>
      <c r="I14" s="204"/>
      <c r="J14" s="8"/>
      <c r="K14" s="8"/>
      <c r="L14" s="8"/>
      <c r="M14" s="8"/>
    </row>
    <row r="15" spans="1:13" ht="15" customHeight="1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  <c r="J15" s="8"/>
      <c r="K15" s="8"/>
      <c r="L15" s="8"/>
      <c r="M15" s="8"/>
    </row>
    <row r="16" spans="1:13" ht="15.75" customHeight="1">
      <c r="A16" s="30">
        <v>1</v>
      </c>
      <c r="B16" s="63" t="s">
        <v>83</v>
      </c>
      <c r="C16" s="64" t="s">
        <v>84</v>
      </c>
      <c r="D16" s="63" t="s">
        <v>135</v>
      </c>
      <c r="E16" s="65">
        <v>143.78</v>
      </c>
      <c r="F16" s="66">
        <f>SUM(E16*156/100)</f>
        <v>224.29679999999999</v>
      </c>
      <c r="G16" s="66">
        <v>230</v>
      </c>
      <c r="H16" s="67">
        <f t="shared" ref="H16:H24" si="0">SUM(F16*G16/1000)</f>
        <v>51.588263999999995</v>
      </c>
      <c r="I16" s="13">
        <f>F16/12*G16</f>
        <v>4299.0219999999999</v>
      </c>
      <c r="J16" s="22"/>
      <c r="K16" s="8"/>
      <c r="L16" s="8"/>
      <c r="M16" s="8"/>
    </row>
    <row r="17" spans="1:13" ht="15.75" customHeight="1">
      <c r="A17" s="30">
        <v>2</v>
      </c>
      <c r="B17" s="63" t="s">
        <v>109</v>
      </c>
      <c r="C17" s="64" t="s">
        <v>84</v>
      </c>
      <c r="D17" s="63" t="s">
        <v>136</v>
      </c>
      <c r="E17" s="65">
        <v>575.12</v>
      </c>
      <c r="F17" s="66">
        <f>SUM(E17*104/100)</f>
        <v>598.12480000000005</v>
      </c>
      <c r="G17" s="66">
        <v>230</v>
      </c>
      <c r="H17" s="67">
        <f t="shared" si="0"/>
        <v>137.568704</v>
      </c>
      <c r="I17" s="13">
        <f>F17/12*G17</f>
        <v>11464.058666666668</v>
      </c>
      <c r="J17" s="23"/>
      <c r="K17" s="8"/>
      <c r="L17" s="8"/>
      <c r="M17" s="8"/>
    </row>
    <row r="18" spans="1:13" ht="15.75" customHeight="1">
      <c r="A18" s="30">
        <v>3</v>
      </c>
      <c r="B18" s="63" t="s">
        <v>110</v>
      </c>
      <c r="C18" s="64" t="s">
        <v>84</v>
      </c>
      <c r="D18" s="63" t="s">
        <v>137</v>
      </c>
      <c r="E18" s="65">
        <v>718.9</v>
      </c>
      <c r="F18" s="66">
        <f>SUM(E18*24/100)</f>
        <v>172.53599999999997</v>
      </c>
      <c r="G18" s="66">
        <v>661.67</v>
      </c>
      <c r="H18" s="67">
        <f t="shared" si="0"/>
        <v>114.16189511999997</v>
      </c>
      <c r="I18" s="13">
        <f>F18/12*G18</f>
        <v>9513.4912599999989</v>
      </c>
      <c r="J18" s="23"/>
      <c r="K18" s="8"/>
      <c r="L18" s="8"/>
      <c r="M18" s="8"/>
    </row>
    <row r="19" spans="1:13" ht="15.75" hidden="1" customHeight="1">
      <c r="A19" s="30"/>
      <c r="B19" s="63" t="s">
        <v>91</v>
      </c>
      <c r="C19" s="64" t="s">
        <v>92</v>
      </c>
      <c r="D19" s="63" t="s">
        <v>93</v>
      </c>
      <c r="E19" s="65">
        <v>42.2</v>
      </c>
      <c r="F19" s="66">
        <f>SUM(E19/10)</f>
        <v>4.2200000000000006</v>
      </c>
      <c r="G19" s="66">
        <v>223.17</v>
      </c>
      <c r="H19" s="67">
        <f t="shared" si="0"/>
        <v>0.9417774000000001</v>
      </c>
      <c r="I19" s="13">
        <f>F19*G19</f>
        <v>941.77740000000006</v>
      </c>
      <c r="J19" s="23"/>
      <c r="K19" s="8"/>
      <c r="L19" s="8"/>
      <c r="M19" s="8"/>
    </row>
    <row r="20" spans="1:13" ht="15.75" hidden="1" customHeight="1">
      <c r="A20" s="30">
        <v>4</v>
      </c>
      <c r="B20" s="63" t="s">
        <v>94</v>
      </c>
      <c r="C20" s="64" t="s">
        <v>84</v>
      </c>
      <c r="D20" s="63" t="s">
        <v>41</v>
      </c>
      <c r="E20" s="65">
        <v>14</v>
      </c>
      <c r="F20" s="66">
        <f>SUM(E20*2/100)</f>
        <v>0.28000000000000003</v>
      </c>
      <c r="G20" s="66">
        <v>285.76</v>
      </c>
      <c r="H20" s="67">
        <f t="shared" si="0"/>
        <v>8.0012799999999995E-2</v>
      </c>
      <c r="I20" s="13">
        <f>F20/2*G20</f>
        <v>40.006399999999999</v>
      </c>
      <c r="J20" s="23"/>
      <c r="K20" s="8"/>
      <c r="L20" s="8"/>
      <c r="M20" s="8"/>
    </row>
    <row r="21" spans="1:13" ht="15.75" hidden="1" customHeight="1">
      <c r="A21" s="30">
        <v>5</v>
      </c>
      <c r="B21" s="63" t="s">
        <v>95</v>
      </c>
      <c r="C21" s="64" t="s">
        <v>84</v>
      </c>
      <c r="D21" s="63" t="s">
        <v>41</v>
      </c>
      <c r="E21" s="65">
        <v>6</v>
      </c>
      <c r="F21" s="66">
        <f>SUM(E21*2/100)</f>
        <v>0.12</v>
      </c>
      <c r="G21" s="66">
        <v>283.44</v>
      </c>
      <c r="H21" s="67">
        <f>SUM(F21*G21/1000)</f>
        <v>3.4012799999999996E-2</v>
      </c>
      <c r="I21" s="13">
        <f>F21/2*G21</f>
        <v>17.006399999999999</v>
      </c>
      <c r="J21" s="23"/>
      <c r="K21" s="8"/>
      <c r="L21" s="8"/>
      <c r="M21" s="8"/>
    </row>
    <row r="22" spans="1:13" ht="15.75" hidden="1" customHeight="1">
      <c r="A22" s="30"/>
      <c r="B22" s="63" t="s">
        <v>96</v>
      </c>
      <c r="C22" s="64" t="s">
        <v>51</v>
      </c>
      <c r="D22" s="63" t="s">
        <v>93</v>
      </c>
      <c r="E22" s="65">
        <v>640</v>
      </c>
      <c r="F22" s="66">
        <f>SUM(E22/100)</f>
        <v>6.4</v>
      </c>
      <c r="G22" s="66">
        <v>353.14</v>
      </c>
      <c r="H22" s="67">
        <f t="shared" si="0"/>
        <v>2.2600959999999999</v>
      </c>
      <c r="I22" s="13">
        <f t="shared" ref="I22:I25" si="1">F22*G22</f>
        <v>2260.096</v>
      </c>
      <c r="J22" s="23"/>
      <c r="K22" s="8"/>
      <c r="L22" s="8"/>
      <c r="M22" s="8"/>
    </row>
    <row r="23" spans="1:13" ht="15.75" hidden="1" customHeight="1">
      <c r="A23" s="30"/>
      <c r="B23" s="63" t="s">
        <v>97</v>
      </c>
      <c r="C23" s="64" t="s">
        <v>51</v>
      </c>
      <c r="D23" s="63" t="s">
        <v>93</v>
      </c>
      <c r="E23" s="68">
        <v>49</v>
      </c>
      <c r="F23" s="66">
        <f>SUM(E23/100)</f>
        <v>0.49</v>
      </c>
      <c r="G23" s="66">
        <v>58.08</v>
      </c>
      <c r="H23" s="67">
        <f t="shared" si="0"/>
        <v>2.84592E-2</v>
      </c>
      <c r="I23" s="13">
        <f t="shared" si="1"/>
        <v>28.459199999999999</v>
      </c>
      <c r="J23" s="23"/>
      <c r="K23" s="8"/>
      <c r="L23" s="8"/>
      <c r="M23" s="8"/>
    </row>
    <row r="24" spans="1:13" ht="15.75" hidden="1" customHeight="1">
      <c r="A24" s="30"/>
      <c r="B24" s="63" t="s">
        <v>98</v>
      </c>
      <c r="C24" s="64" t="s">
        <v>51</v>
      </c>
      <c r="D24" s="63" t="s">
        <v>52</v>
      </c>
      <c r="E24" s="65">
        <v>19</v>
      </c>
      <c r="F24" s="66">
        <f>SUM(E24/100)</f>
        <v>0.19</v>
      </c>
      <c r="G24" s="66">
        <v>283.44</v>
      </c>
      <c r="H24" s="67">
        <f t="shared" si="0"/>
        <v>5.3853600000000001E-2</v>
      </c>
      <c r="I24" s="13">
        <f t="shared" si="1"/>
        <v>53.8536</v>
      </c>
      <c r="J24" s="23"/>
      <c r="K24" s="8"/>
      <c r="L24" s="8"/>
      <c r="M24" s="8"/>
    </row>
    <row r="25" spans="1:13" ht="15.75" hidden="1" customHeight="1">
      <c r="A25" s="30"/>
      <c r="B25" s="63" t="s">
        <v>113</v>
      </c>
      <c r="C25" s="64" t="s">
        <v>51</v>
      </c>
      <c r="D25" s="63" t="s">
        <v>52</v>
      </c>
      <c r="E25" s="65">
        <v>19</v>
      </c>
      <c r="F25" s="66">
        <f>E25/100</f>
        <v>0.19</v>
      </c>
      <c r="G25" s="66">
        <v>283.44</v>
      </c>
      <c r="H25" s="67">
        <f>G25*F25/1000</f>
        <v>5.3853600000000001E-2</v>
      </c>
      <c r="I25" s="13">
        <f t="shared" si="1"/>
        <v>53.8536</v>
      </c>
      <c r="J25" s="23"/>
      <c r="K25" s="8"/>
      <c r="L25" s="8"/>
      <c r="M25" s="8"/>
    </row>
    <row r="26" spans="1:13" ht="15.75" customHeight="1">
      <c r="A26" s="30">
        <v>4</v>
      </c>
      <c r="B26" s="63" t="s">
        <v>62</v>
      </c>
      <c r="C26" s="64" t="s">
        <v>33</v>
      </c>
      <c r="D26" s="63" t="s">
        <v>160</v>
      </c>
      <c r="E26" s="65">
        <v>0.1</v>
      </c>
      <c r="F26" s="66">
        <f>SUM(E26*182)</f>
        <v>18.2</v>
      </c>
      <c r="G26" s="66">
        <v>264.85000000000002</v>
      </c>
      <c r="H26" s="67">
        <f>SUM(F26*G26/1000)</f>
        <v>4.8202700000000007</v>
      </c>
      <c r="I26" s="13">
        <f>F26/12*G26</f>
        <v>401.68916666666667</v>
      </c>
      <c r="J26" s="23"/>
      <c r="K26" s="8"/>
    </row>
    <row r="27" spans="1:13" ht="15.75" customHeight="1">
      <c r="A27" s="30">
        <v>5</v>
      </c>
      <c r="B27" s="71" t="s">
        <v>23</v>
      </c>
      <c r="C27" s="64" t="s">
        <v>24</v>
      </c>
      <c r="D27" s="63"/>
      <c r="E27" s="65">
        <v>4731.7</v>
      </c>
      <c r="F27" s="66">
        <f>SUM(E27*12)</f>
        <v>56780.399999999994</v>
      </c>
      <c r="G27" s="66">
        <v>3.52</v>
      </c>
      <c r="H27" s="67">
        <f>SUM(F27*G27/1000)</f>
        <v>199.86700799999997</v>
      </c>
      <c r="I27" s="13">
        <f>F27/12*G27</f>
        <v>16655.583999999999</v>
      </c>
      <c r="J27" s="24"/>
    </row>
    <row r="28" spans="1:13" ht="15.75" customHeight="1">
      <c r="A28" s="184" t="s">
        <v>81</v>
      </c>
      <c r="B28" s="184"/>
      <c r="C28" s="184"/>
      <c r="D28" s="184"/>
      <c r="E28" s="184"/>
      <c r="F28" s="184"/>
      <c r="G28" s="184"/>
      <c r="H28" s="184"/>
      <c r="I28" s="184"/>
      <c r="J28" s="23"/>
      <c r="K28" s="8"/>
      <c r="L28" s="8"/>
      <c r="M28" s="8"/>
    </row>
    <row r="29" spans="1:13" ht="15.75" hidden="1" customHeight="1">
      <c r="A29" s="30"/>
      <c r="B29" s="83" t="s">
        <v>28</v>
      </c>
      <c r="C29" s="64"/>
      <c r="D29" s="63"/>
      <c r="E29" s="65"/>
      <c r="F29" s="66"/>
      <c r="G29" s="66"/>
      <c r="H29" s="67"/>
      <c r="I29" s="13"/>
      <c r="J29" s="24"/>
    </row>
    <row r="30" spans="1:13" ht="15.75" hidden="1" customHeight="1">
      <c r="A30" s="30"/>
      <c r="B30" s="63" t="s">
        <v>100</v>
      </c>
      <c r="C30" s="64" t="s">
        <v>86</v>
      </c>
      <c r="D30" s="63" t="s">
        <v>141</v>
      </c>
      <c r="E30" s="66">
        <v>436.6</v>
      </c>
      <c r="F30" s="66">
        <f>SUM(E30*52/1000)</f>
        <v>22.703200000000002</v>
      </c>
      <c r="G30" s="66">
        <v>204.44</v>
      </c>
      <c r="H30" s="67">
        <f t="shared" ref="H30:H36" si="2">SUM(F30*G30/1000)</f>
        <v>4.641442208</v>
      </c>
      <c r="I30" s="13">
        <f>F30/6*G30</f>
        <v>773.57370133333336</v>
      </c>
      <c r="J30" s="24"/>
    </row>
    <row r="31" spans="1:13" ht="31.5" hidden="1" customHeight="1">
      <c r="A31" s="30"/>
      <c r="B31" s="63" t="s">
        <v>111</v>
      </c>
      <c r="C31" s="64" t="s">
        <v>86</v>
      </c>
      <c r="D31" s="63" t="s">
        <v>142</v>
      </c>
      <c r="E31" s="66">
        <v>54.4</v>
      </c>
      <c r="F31" s="66">
        <f>SUM(E31*78/1000)</f>
        <v>4.2431999999999999</v>
      </c>
      <c r="G31" s="66">
        <v>339.21</v>
      </c>
      <c r="H31" s="67">
        <f t="shared" si="2"/>
        <v>1.4393358719999998</v>
      </c>
      <c r="I31" s="13">
        <f t="shared" ref="I31:I34" si="3">F31/6*G31</f>
        <v>239.88931199999996</v>
      </c>
      <c r="J31" s="23"/>
      <c r="K31" s="8"/>
      <c r="L31" s="8"/>
      <c r="M31" s="8"/>
    </row>
    <row r="32" spans="1:13" ht="15.75" hidden="1" customHeight="1">
      <c r="A32" s="30"/>
      <c r="B32" s="63" t="s">
        <v>27</v>
      </c>
      <c r="C32" s="64" t="s">
        <v>86</v>
      </c>
      <c r="D32" s="63" t="s">
        <v>52</v>
      </c>
      <c r="E32" s="66">
        <v>436.6</v>
      </c>
      <c r="F32" s="66">
        <f>SUM(E32/1000)</f>
        <v>0.43660000000000004</v>
      </c>
      <c r="G32" s="66">
        <v>3961.23</v>
      </c>
      <c r="H32" s="67">
        <f t="shared" si="2"/>
        <v>1.7294730180000002</v>
      </c>
      <c r="I32" s="13">
        <f>F32*G32</f>
        <v>1729.4730180000001</v>
      </c>
      <c r="J32" s="23"/>
      <c r="K32" s="8"/>
      <c r="L32" s="8"/>
      <c r="M32" s="8"/>
    </row>
    <row r="33" spans="1:14" ht="15.75" hidden="1" customHeight="1">
      <c r="A33" s="30"/>
      <c r="B33" s="63" t="s">
        <v>123</v>
      </c>
      <c r="C33" s="64" t="s">
        <v>39</v>
      </c>
      <c r="D33" s="63" t="s">
        <v>61</v>
      </c>
      <c r="E33" s="66">
        <v>4</v>
      </c>
      <c r="F33" s="66">
        <f>E33*155/100</f>
        <v>6.2</v>
      </c>
      <c r="G33" s="66">
        <v>1707.63</v>
      </c>
      <c r="H33" s="67">
        <f>G33*F33/1000</f>
        <v>10.587306</v>
      </c>
      <c r="I33" s="13">
        <f t="shared" si="3"/>
        <v>1764.5510000000004</v>
      </c>
      <c r="J33" s="23"/>
      <c r="K33" s="8"/>
      <c r="L33" s="8"/>
      <c r="M33" s="8"/>
    </row>
    <row r="34" spans="1:14" ht="15.75" hidden="1" customHeight="1">
      <c r="A34" s="30"/>
      <c r="B34" s="63" t="s">
        <v>99</v>
      </c>
      <c r="C34" s="64" t="s">
        <v>31</v>
      </c>
      <c r="D34" s="63" t="s">
        <v>61</v>
      </c>
      <c r="E34" s="70">
        <f>1/3</f>
        <v>0.33333333333333331</v>
      </c>
      <c r="F34" s="66">
        <f>155/3</f>
        <v>51.666666666666664</v>
      </c>
      <c r="G34" s="66">
        <v>74.349999999999994</v>
      </c>
      <c r="H34" s="67">
        <f>SUM(G34*155/3/1000)</f>
        <v>3.8414166666666665</v>
      </c>
      <c r="I34" s="13">
        <f t="shared" si="3"/>
        <v>640.23611111111109</v>
      </c>
      <c r="J34" s="23"/>
      <c r="K34" s="8"/>
      <c r="L34" s="8"/>
      <c r="M34" s="8"/>
    </row>
    <row r="35" spans="1:14" ht="15.75" hidden="1" customHeight="1">
      <c r="A35" s="30"/>
      <c r="B35" s="63" t="s">
        <v>63</v>
      </c>
      <c r="C35" s="64" t="s">
        <v>33</v>
      </c>
      <c r="D35" s="63" t="s">
        <v>65</v>
      </c>
      <c r="E35" s="65"/>
      <c r="F35" s="66">
        <v>2</v>
      </c>
      <c r="G35" s="66">
        <v>250.92</v>
      </c>
      <c r="H35" s="67">
        <f t="shared" si="2"/>
        <v>0.50183999999999995</v>
      </c>
      <c r="I35" s="13">
        <v>0</v>
      </c>
      <c r="J35" s="24"/>
    </row>
    <row r="36" spans="1:14" ht="15.75" hidden="1" customHeight="1">
      <c r="A36" s="30"/>
      <c r="B36" s="63" t="s">
        <v>64</v>
      </c>
      <c r="C36" s="64" t="s">
        <v>32</v>
      </c>
      <c r="D36" s="63" t="s">
        <v>65</v>
      </c>
      <c r="E36" s="65"/>
      <c r="F36" s="66">
        <v>1</v>
      </c>
      <c r="G36" s="66">
        <v>1490.31</v>
      </c>
      <c r="H36" s="67">
        <f t="shared" si="2"/>
        <v>1.49031</v>
      </c>
      <c r="I36" s="13">
        <v>0</v>
      </c>
      <c r="J36" s="24"/>
    </row>
    <row r="37" spans="1:14" ht="15.75" customHeight="1">
      <c r="A37" s="30"/>
      <c r="B37" s="83" t="s">
        <v>5</v>
      </c>
      <c r="C37" s="64"/>
      <c r="D37" s="63"/>
      <c r="E37" s="65"/>
      <c r="F37" s="66"/>
      <c r="G37" s="66"/>
      <c r="H37" s="67" t="s">
        <v>122</v>
      </c>
      <c r="I37" s="13"/>
      <c r="J37" s="24"/>
      <c r="L37" s="19"/>
      <c r="M37" s="20"/>
      <c r="N37" s="21"/>
    </row>
    <row r="38" spans="1:14" ht="15.75" customHeight="1">
      <c r="A38" s="30">
        <v>6</v>
      </c>
      <c r="B38" s="63" t="s">
        <v>26</v>
      </c>
      <c r="C38" s="64" t="s">
        <v>32</v>
      </c>
      <c r="D38" s="63"/>
      <c r="E38" s="65"/>
      <c r="F38" s="66">
        <v>5</v>
      </c>
      <c r="G38" s="66">
        <v>2003</v>
      </c>
      <c r="H38" s="67">
        <f t="shared" ref="H38:H44" si="4">SUM(F38*G38/1000)</f>
        <v>10.015000000000001</v>
      </c>
      <c r="I38" s="13">
        <f t="shared" ref="I38:I44" si="5">F38/6*G38</f>
        <v>1669.1666666666667</v>
      </c>
      <c r="J38" s="24"/>
      <c r="L38" s="19"/>
      <c r="M38" s="20"/>
      <c r="N38" s="21"/>
    </row>
    <row r="39" spans="1:14" ht="15.75" customHeight="1">
      <c r="A39" s="30">
        <v>7</v>
      </c>
      <c r="B39" s="63" t="s">
        <v>146</v>
      </c>
      <c r="C39" s="64" t="s">
        <v>29</v>
      </c>
      <c r="D39" s="63" t="s">
        <v>115</v>
      </c>
      <c r="E39" s="65">
        <v>54.4</v>
      </c>
      <c r="F39" s="66">
        <f>E39*30/1000</f>
        <v>1.6319999999999999</v>
      </c>
      <c r="G39" s="66">
        <v>2757.78</v>
      </c>
      <c r="H39" s="67">
        <f t="shared" si="4"/>
        <v>4.50069696</v>
      </c>
      <c r="I39" s="13">
        <f t="shared" si="5"/>
        <v>750.11615999999992</v>
      </c>
      <c r="J39" s="24"/>
      <c r="L39" s="19"/>
      <c r="M39" s="20"/>
      <c r="N39" s="21"/>
    </row>
    <row r="40" spans="1:14" ht="15.75" customHeight="1">
      <c r="A40" s="30">
        <v>8</v>
      </c>
      <c r="B40" s="63" t="s">
        <v>66</v>
      </c>
      <c r="C40" s="64" t="s">
        <v>29</v>
      </c>
      <c r="D40" s="63" t="s">
        <v>85</v>
      </c>
      <c r="E40" s="66">
        <v>54.4</v>
      </c>
      <c r="F40" s="66">
        <f>SUM(E40*155/1000)</f>
        <v>8.4320000000000004</v>
      </c>
      <c r="G40" s="66">
        <v>460.02</v>
      </c>
      <c r="H40" s="67">
        <f t="shared" si="4"/>
        <v>3.87888864</v>
      </c>
      <c r="I40" s="13">
        <f t="shared" si="5"/>
        <v>646.48144000000002</v>
      </c>
      <c r="J40" s="24"/>
      <c r="L40" s="19"/>
      <c r="M40" s="20"/>
      <c r="N40" s="21"/>
    </row>
    <row r="41" spans="1:14" ht="47.25" customHeight="1">
      <c r="A41" s="30">
        <v>9</v>
      </c>
      <c r="B41" s="63" t="s">
        <v>78</v>
      </c>
      <c r="C41" s="64" t="s">
        <v>86</v>
      </c>
      <c r="D41" s="63" t="s">
        <v>116</v>
      </c>
      <c r="E41" s="66">
        <v>31.2</v>
      </c>
      <c r="F41" s="66">
        <f>SUM(E41*35/1000)</f>
        <v>1.0920000000000001</v>
      </c>
      <c r="G41" s="66">
        <v>7611.16</v>
      </c>
      <c r="H41" s="67">
        <f t="shared" si="4"/>
        <v>8.3113867199999998</v>
      </c>
      <c r="I41" s="13">
        <f t="shared" si="5"/>
        <v>1385.2311200000001</v>
      </c>
      <c r="J41" s="24"/>
      <c r="L41" s="19"/>
      <c r="M41" s="20"/>
      <c r="N41" s="21"/>
    </row>
    <row r="42" spans="1:14" ht="15.75" hidden="1" customHeight="1">
      <c r="A42" s="30">
        <v>10</v>
      </c>
      <c r="B42" s="63" t="s">
        <v>87</v>
      </c>
      <c r="C42" s="64" t="s">
        <v>86</v>
      </c>
      <c r="D42" s="63" t="s">
        <v>67</v>
      </c>
      <c r="E42" s="66">
        <v>54.4</v>
      </c>
      <c r="F42" s="66">
        <f>SUM(E42*45/1000)</f>
        <v>2.448</v>
      </c>
      <c r="G42" s="66">
        <v>562.25</v>
      </c>
      <c r="H42" s="67">
        <f t="shared" si="4"/>
        <v>1.3763879999999999</v>
      </c>
      <c r="I42" s="13">
        <f>F42/7.5*G42</f>
        <v>183.51839999999999</v>
      </c>
      <c r="J42" s="24"/>
      <c r="L42" s="19"/>
      <c r="M42" s="20"/>
      <c r="N42" s="21"/>
    </row>
    <row r="43" spans="1:14" ht="15.75" hidden="1" customHeight="1">
      <c r="A43" s="30">
        <v>11</v>
      </c>
      <c r="B43" s="63" t="s">
        <v>68</v>
      </c>
      <c r="C43" s="64" t="s">
        <v>33</v>
      </c>
      <c r="D43" s="63"/>
      <c r="E43" s="65"/>
      <c r="F43" s="66">
        <v>0.9</v>
      </c>
      <c r="G43" s="66">
        <v>974.83</v>
      </c>
      <c r="H43" s="67">
        <f t="shared" si="4"/>
        <v>0.8773470000000001</v>
      </c>
      <c r="I43" s="13">
        <f>F43/7.5*G43</f>
        <v>116.97960000000002</v>
      </c>
      <c r="J43" s="24"/>
      <c r="L43" s="19"/>
      <c r="M43" s="20"/>
      <c r="N43" s="21"/>
    </row>
    <row r="44" spans="1:14" ht="15.75" customHeight="1">
      <c r="A44" s="30">
        <v>10</v>
      </c>
      <c r="B44" s="47" t="s">
        <v>147</v>
      </c>
      <c r="C44" s="49" t="s">
        <v>29</v>
      </c>
      <c r="D44" s="63" t="s">
        <v>148</v>
      </c>
      <c r="E44" s="65">
        <v>3</v>
      </c>
      <c r="F44" s="66">
        <f>SUM(E44*12/1000)</f>
        <v>3.5999999999999997E-2</v>
      </c>
      <c r="G44" s="66">
        <v>260.2</v>
      </c>
      <c r="H44" s="67">
        <f t="shared" si="4"/>
        <v>9.3671999999999991E-3</v>
      </c>
      <c r="I44" s="13">
        <f t="shared" si="5"/>
        <v>1.5611999999999997</v>
      </c>
      <c r="J44" s="24"/>
      <c r="L44" s="19"/>
      <c r="M44" s="20"/>
      <c r="N44" s="21"/>
    </row>
    <row r="45" spans="1:14" ht="15.75" customHeight="1">
      <c r="A45" s="185" t="s">
        <v>128</v>
      </c>
      <c r="B45" s="186"/>
      <c r="C45" s="186"/>
      <c r="D45" s="186"/>
      <c r="E45" s="186"/>
      <c r="F45" s="186"/>
      <c r="G45" s="186"/>
      <c r="H45" s="186"/>
      <c r="I45" s="187"/>
      <c r="J45" s="24"/>
      <c r="L45" s="19"/>
      <c r="M45" s="20"/>
      <c r="N45" s="21"/>
    </row>
    <row r="46" spans="1:14" ht="15.75" hidden="1" customHeight="1">
      <c r="A46" s="30"/>
      <c r="B46" s="63" t="s">
        <v>117</v>
      </c>
      <c r="C46" s="64" t="s">
        <v>86</v>
      </c>
      <c r="D46" s="63" t="s">
        <v>41</v>
      </c>
      <c r="E46" s="65">
        <v>1320.9</v>
      </c>
      <c r="F46" s="66">
        <f>SUM(E46*2/1000)</f>
        <v>2.6418000000000004</v>
      </c>
      <c r="G46" s="13">
        <v>1114.1300000000001</v>
      </c>
      <c r="H46" s="67">
        <f t="shared" ref="H46:H54" si="6">SUM(F46*G46/1000)</f>
        <v>2.943308634000001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63" t="s">
        <v>34</v>
      </c>
      <c r="C47" s="64" t="s">
        <v>86</v>
      </c>
      <c r="D47" s="63" t="s">
        <v>41</v>
      </c>
      <c r="E47" s="65">
        <v>52</v>
      </c>
      <c r="F47" s="66">
        <f>E47*2/1000</f>
        <v>0.104</v>
      </c>
      <c r="G47" s="13">
        <v>4419.05</v>
      </c>
      <c r="H47" s="67">
        <f t="shared" si="6"/>
        <v>0.45958120000000002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63" t="s">
        <v>35</v>
      </c>
      <c r="C48" s="64" t="s">
        <v>86</v>
      </c>
      <c r="D48" s="63" t="s">
        <v>41</v>
      </c>
      <c r="E48" s="65">
        <v>1520.8</v>
      </c>
      <c r="F48" s="66">
        <f>SUM(E48*2/1000)</f>
        <v>3.0415999999999999</v>
      </c>
      <c r="G48" s="13">
        <v>1803.69</v>
      </c>
      <c r="H48" s="67">
        <f t="shared" si="6"/>
        <v>5.4861035039999999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63" t="s">
        <v>36</v>
      </c>
      <c r="C49" s="64" t="s">
        <v>86</v>
      </c>
      <c r="D49" s="63" t="s">
        <v>41</v>
      </c>
      <c r="E49" s="65">
        <v>3433.81</v>
      </c>
      <c r="F49" s="66">
        <f>SUM(E49*2/1000)</f>
        <v>6.8676199999999996</v>
      </c>
      <c r="G49" s="13">
        <v>1243.43</v>
      </c>
      <c r="H49" s="67">
        <f t="shared" si="6"/>
        <v>8.5394047365999999</v>
      </c>
      <c r="I49" s="13">
        <v>0</v>
      </c>
      <c r="J49" s="24"/>
      <c r="L49" s="19"/>
      <c r="M49" s="20"/>
      <c r="N49" s="21"/>
    </row>
    <row r="50" spans="1:22" ht="15.75" customHeight="1">
      <c r="A50" s="30">
        <v>11</v>
      </c>
      <c r="B50" s="63" t="s">
        <v>54</v>
      </c>
      <c r="C50" s="64" t="s">
        <v>86</v>
      </c>
      <c r="D50" s="63" t="s">
        <v>133</v>
      </c>
      <c r="E50" s="65">
        <v>4731.7</v>
      </c>
      <c r="F50" s="66">
        <f>SUM(E50*5/1000)</f>
        <v>23.6585</v>
      </c>
      <c r="G50" s="13">
        <v>1803.69</v>
      </c>
      <c r="H50" s="67">
        <f t="shared" si="6"/>
        <v>42.672599865000002</v>
      </c>
      <c r="I50" s="13">
        <f>F50/5*G50</f>
        <v>8534.5199730000004</v>
      </c>
      <c r="J50" s="24"/>
      <c r="L50" s="19"/>
      <c r="M50" s="20"/>
      <c r="N50" s="21"/>
    </row>
    <row r="51" spans="1:22" ht="31.5" hidden="1" customHeight="1">
      <c r="A51" s="30"/>
      <c r="B51" s="63" t="s">
        <v>88</v>
      </c>
      <c r="C51" s="64" t="s">
        <v>86</v>
      </c>
      <c r="D51" s="63" t="s">
        <v>41</v>
      </c>
      <c r="E51" s="65">
        <v>4731.7</v>
      </c>
      <c r="F51" s="66">
        <f>SUM(E51*2/1000)</f>
        <v>9.4634</v>
      </c>
      <c r="G51" s="13">
        <v>1591.6</v>
      </c>
      <c r="H51" s="67">
        <f t="shared" si="6"/>
        <v>15.061947439999999</v>
      </c>
      <c r="I51" s="13">
        <v>0</v>
      </c>
      <c r="J51" s="24"/>
      <c r="L51" s="19"/>
      <c r="M51" s="20"/>
      <c r="N51" s="21"/>
    </row>
    <row r="52" spans="1:22" ht="31.5" hidden="1" customHeight="1">
      <c r="A52" s="30"/>
      <c r="B52" s="63" t="s">
        <v>89</v>
      </c>
      <c r="C52" s="64" t="s">
        <v>37</v>
      </c>
      <c r="D52" s="63" t="s">
        <v>41</v>
      </c>
      <c r="E52" s="65">
        <v>20</v>
      </c>
      <c r="F52" s="66">
        <f>SUM(E52*2/100)</f>
        <v>0.4</v>
      </c>
      <c r="G52" s="13">
        <v>4058.32</v>
      </c>
      <c r="H52" s="67">
        <f>SUM(F52*G52/1000)</f>
        <v>1.6233280000000001</v>
      </c>
      <c r="I52" s="13">
        <v>0</v>
      </c>
      <c r="J52" s="24"/>
      <c r="L52" s="19"/>
      <c r="M52" s="20"/>
      <c r="N52" s="21"/>
    </row>
    <row r="53" spans="1:22" ht="15.75" hidden="1" customHeight="1">
      <c r="A53" s="30"/>
      <c r="B53" s="63" t="s">
        <v>38</v>
      </c>
      <c r="C53" s="64" t="s">
        <v>39</v>
      </c>
      <c r="D53" s="63" t="s">
        <v>41</v>
      </c>
      <c r="E53" s="65">
        <v>1</v>
      </c>
      <c r="F53" s="66">
        <v>0.02</v>
      </c>
      <c r="G53" s="13">
        <v>7412.92</v>
      </c>
      <c r="H53" s="67">
        <f t="shared" si="6"/>
        <v>0.14825839999999998</v>
      </c>
      <c r="I53" s="13">
        <v>0</v>
      </c>
      <c r="J53" s="24"/>
      <c r="L53" s="19"/>
      <c r="M53" s="20"/>
      <c r="N53" s="21"/>
    </row>
    <row r="54" spans="1:22" ht="15.75" hidden="1" customHeight="1">
      <c r="A54" s="30"/>
      <c r="B54" s="63" t="s">
        <v>40</v>
      </c>
      <c r="C54" s="64" t="s">
        <v>101</v>
      </c>
      <c r="D54" s="63" t="s">
        <v>52</v>
      </c>
      <c r="E54" s="65">
        <v>160</v>
      </c>
      <c r="F54" s="66">
        <f>SUM(E54)</f>
        <v>160</v>
      </c>
      <c r="G54" s="13">
        <v>86.15</v>
      </c>
      <c r="H54" s="67">
        <f t="shared" si="6"/>
        <v>13.784000000000001</v>
      </c>
      <c r="I54" s="13">
        <v>0</v>
      </c>
      <c r="J54" s="24"/>
      <c r="L54" s="19"/>
    </row>
    <row r="55" spans="1:22" ht="15.75" customHeight="1">
      <c r="A55" s="185" t="s">
        <v>129</v>
      </c>
      <c r="B55" s="186"/>
      <c r="C55" s="186"/>
      <c r="D55" s="186"/>
      <c r="E55" s="186"/>
      <c r="F55" s="186"/>
      <c r="G55" s="186"/>
      <c r="H55" s="186"/>
      <c r="I55" s="187"/>
    </row>
    <row r="56" spans="1:22" ht="15.75" customHeight="1">
      <c r="A56" s="30"/>
      <c r="B56" s="83" t="s">
        <v>42</v>
      </c>
      <c r="C56" s="64"/>
      <c r="D56" s="63"/>
      <c r="E56" s="65"/>
      <c r="F56" s="66"/>
      <c r="G56" s="66"/>
      <c r="H56" s="67"/>
      <c r="I56" s="13"/>
    </row>
    <row r="57" spans="1:22" ht="31.5" hidden="1" customHeight="1">
      <c r="A57" s="30">
        <v>14</v>
      </c>
      <c r="B57" s="63" t="s">
        <v>118</v>
      </c>
      <c r="C57" s="64" t="s">
        <v>84</v>
      </c>
      <c r="D57" s="63" t="s">
        <v>102</v>
      </c>
      <c r="E57" s="65">
        <v>107.21</v>
      </c>
      <c r="F57" s="66">
        <f>SUM(E57*6/100)</f>
        <v>6.4325999999999999</v>
      </c>
      <c r="G57" s="13">
        <v>2029.3</v>
      </c>
      <c r="H57" s="67">
        <f>SUM(F57*G57/1000)</f>
        <v>13.053675180000001</v>
      </c>
      <c r="I57" s="13">
        <f>F57/6*G57</f>
        <v>2175.6125299999999</v>
      </c>
    </row>
    <row r="58" spans="1:22" ht="15.75" hidden="1" customHeight="1">
      <c r="A58" s="30"/>
      <c r="B58" s="72" t="s">
        <v>120</v>
      </c>
      <c r="C58" s="73" t="s">
        <v>121</v>
      </c>
      <c r="D58" s="72" t="s">
        <v>41</v>
      </c>
      <c r="E58" s="74">
        <v>4</v>
      </c>
      <c r="F58" s="75">
        <v>0.8</v>
      </c>
      <c r="G58" s="13">
        <v>237.1</v>
      </c>
      <c r="H58" s="67">
        <f t="shared" ref="H58:H59" si="7">SUM(F58*G58/1000)</f>
        <v>0.18968000000000002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0">
        <v>12</v>
      </c>
      <c r="B59" s="63" t="s">
        <v>119</v>
      </c>
      <c r="C59" s="64" t="s">
        <v>84</v>
      </c>
      <c r="D59" s="63" t="s">
        <v>102</v>
      </c>
      <c r="E59" s="65">
        <v>3.8</v>
      </c>
      <c r="F59" s="66">
        <f>SUM(E59*6/100)</f>
        <v>0.22799999999999998</v>
      </c>
      <c r="G59" s="13">
        <v>2029.3</v>
      </c>
      <c r="H59" s="67">
        <f t="shared" si="7"/>
        <v>0.46268039999999994</v>
      </c>
      <c r="I59" s="13">
        <f>F59/6*G59</f>
        <v>77.113399999999999</v>
      </c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0"/>
      <c r="B60" s="63" t="s">
        <v>149</v>
      </c>
      <c r="C60" s="64" t="s">
        <v>150</v>
      </c>
      <c r="D60" s="63" t="s">
        <v>65</v>
      </c>
      <c r="E60" s="65"/>
      <c r="F60" s="66">
        <v>3</v>
      </c>
      <c r="G60" s="13">
        <v>1582.05</v>
      </c>
      <c r="H60" s="67">
        <f>SUM(F60*G60/1000)</f>
        <v>4.7461499999999992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0"/>
      <c r="B61" s="84" t="s">
        <v>43</v>
      </c>
      <c r="C61" s="73"/>
      <c r="D61" s="72"/>
      <c r="E61" s="74"/>
      <c r="F61" s="75"/>
      <c r="G61" s="13"/>
      <c r="H61" s="76"/>
      <c r="I61" s="13"/>
      <c r="J61" s="5"/>
      <c r="K61" s="5"/>
      <c r="L61" s="5"/>
      <c r="M61" s="5"/>
      <c r="N61" s="5"/>
      <c r="O61" s="5"/>
      <c r="P61" s="5"/>
      <c r="Q61" s="5"/>
      <c r="R61" s="181"/>
      <c r="S61" s="181"/>
      <c r="T61" s="181"/>
      <c r="U61" s="181"/>
    </row>
    <row r="62" spans="1:22" ht="15.75" hidden="1" customHeight="1">
      <c r="A62" s="30"/>
      <c r="B62" s="72" t="s">
        <v>151</v>
      </c>
      <c r="C62" s="73" t="s">
        <v>51</v>
      </c>
      <c r="D62" s="72" t="s">
        <v>52</v>
      </c>
      <c r="E62" s="74">
        <v>660.45</v>
      </c>
      <c r="F62" s="75">
        <f>E62/100</f>
        <v>6.6045000000000007</v>
      </c>
      <c r="G62" s="13">
        <v>1040.8399999999999</v>
      </c>
      <c r="H62" s="76">
        <f>F62*G62/1000</f>
        <v>6.87422778</v>
      </c>
      <c r="I62" s="13">
        <v>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customHeight="1">
      <c r="A63" s="30">
        <v>13</v>
      </c>
      <c r="B63" s="72" t="s">
        <v>112</v>
      </c>
      <c r="C63" s="73" t="s">
        <v>25</v>
      </c>
      <c r="D63" s="72" t="s">
        <v>30</v>
      </c>
      <c r="E63" s="74">
        <v>200</v>
      </c>
      <c r="F63" s="77">
        <f>E63*12</f>
        <v>2400</v>
      </c>
      <c r="G63" s="57">
        <v>1.2</v>
      </c>
      <c r="H63" s="75">
        <f>F63*G63/1000</f>
        <v>2.88</v>
      </c>
      <c r="I63" s="13">
        <f>F63/12*G63</f>
        <v>240</v>
      </c>
    </row>
    <row r="64" spans="1:22" ht="15.75" customHeight="1">
      <c r="A64" s="30"/>
      <c r="B64" s="84" t="s">
        <v>44</v>
      </c>
      <c r="C64" s="73"/>
      <c r="D64" s="72"/>
      <c r="E64" s="74"/>
      <c r="F64" s="77"/>
      <c r="G64" s="77"/>
      <c r="H64" s="75" t="s">
        <v>122</v>
      </c>
      <c r="I64" s="13"/>
    </row>
    <row r="65" spans="1:9" ht="15.75" customHeight="1">
      <c r="A65" s="30">
        <v>14</v>
      </c>
      <c r="B65" s="14" t="s">
        <v>45</v>
      </c>
      <c r="C65" s="16" t="s">
        <v>101</v>
      </c>
      <c r="D65" s="14" t="s">
        <v>65</v>
      </c>
      <c r="E65" s="18">
        <v>10</v>
      </c>
      <c r="F65" s="66">
        <f>SUM(E65)</f>
        <v>10</v>
      </c>
      <c r="G65" s="13">
        <v>291.68</v>
      </c>
      <c r="H65" s="78">
        <f t="shared" ref="H65:H83" si="8">SUM(F65*G65/1000)</f>
        <v>2.9168000000000003</v>
      </c>
      <c r="I65" s="13">
        <f>G65</f>
        <v>291.68</v>
      </c>
    </row>
    <row r="66" spans="1:9" ht="15.75" hidden="1" customHeight="1">
      <c r="A66" s="30"/>
      <c r="B66" s="14" t="s">
        <v>46</v>
      </c>
      <c r="C66" s="16" t="s">
        <v>101</v>
      </c>
      <c r="D66" s="14" t="s">
        <v>65</v>
      </c>
      <c r="E66" s="18">
        <v>9</v>
      </c>
      <c r="F66" s="66">
        <f>SUM(E66)</f>
        <v>9</v>
      </c>
      <c r="G66" s="13">
        <v>100.01</v>
      </c>
      <c r="H66" s="78">
        <f t="shared" si="8"/>
        <v>0.90009000000000006</v>
      </c>
      <c r="I66" s="13">
        <v>0</v>
      </c>
    </row>
    <row r="67" spans="1:9" ht="15.75" hidden="1" customHeight="1">
      <c r="A67" s="30"/>
      <c r="B67" s="14" t="s">
        <v>47</v>
      </c>
      <c r="C67" s="16" t="s">
        <v>103</v>
      </c>
      <c r="D67" s="14" t="s">
        <v>52</v>
      </c>
      <c r="E67" s="65">
        <v>19836</v>
      </c>
      <c r="F67" s="13">
        <f>SUM(E67/100)</f>
        <v>198.36</v>
      </c>
      <c r="G67" s="13">
        <v>278.24</v>
      </c>
      <c r="H67" s="78">
        <f t="shared" si="8"/>
        <v>55.191686400000009</v>
      </c>
      <c r="I67" s="13">
        <f>F67*G67</f>
        <v>55191.686400000006</v>
      </c>
    </row>
    <row r="68" spans="1:9" ht="15.75" hidden="1" customHeight="1">
      <c r="A68" s="30"/>
      <c r="B68" s="14" t="s">
        <v>48</v>
      </c>
      <c r="C68" s="16" t="s">
        <v>104</v>
      </c>
      <c r="D68" s="14"/>
      <c r="E68" s="65">
        <v>19836</v>
      </c>
      <c r="F68" s="13">
        <f>SUM(E68/1000)</f>
        <v>19.835999999999999</v>
      </c>
      <c r="G68" s="13">
        <v>216.68</v>
      </c>
      <c r="H68" s="78">
        <f t="shared" si="8"/>
        <v>4.2980644799999999</v>
      </c>
      <c r="I68" s="13">
        <f t="shared" ref="I68:I72" si="9">F68*G68</f>
        <v>4298.06448</v>
      </c>
    </row>
    <row r="69" spans="1:9" ht="15.75" hidden="1" customHeight="1">
      <c r="A69" s="30"/>
      <c r="B69" s="14" t="s">
        <v>49</v>
      </c>
      <c r="C69" s="16" t="s">
        <v>73</v>
      </c>
      <c r="D69" s="14" t="s">
        <v>52</v>
      </c>
      <c r="E69" s="65">
        <v>3155</v>
      </c>
      <c r="F69" s="13">
        <f>SUM(E69/100)</f>
        <v>31.55</v>
      </c>
      <c r="G69" s="13">
        <v>2720.94</v>
      </c>
      <c r="H69" s="78">
        <f t="shared" si="8"/>
        <v>85.845657000000003</v>
      </c>
      <c r="I69" s="13">
        <f t="shared" si="9"/>
        <v>85845.657000000007</v>
      </c>
    </row>
    <row r="70" spans="1:9" ht="15.75" hidden="1" customHeight="1">
      <c r="A70" s="30"/>
      <c r="B70" s="79" t="s">
        <v>105</v>
      </c>
      <c r="C70" s="16" t="s">
        <v>33</v>
      </c>
      <c r="D70" s="14"/>
      <c r="E70" s="65">
        <v>34.5</v>
      </c>
      <c r="F70" s="13">
        <f>SUM(E70)</f>
        <v>34.5</v>
      </c>
      <c r="G70" s="13">
        <v>44.31</v>
      </c>
      <c r="H70" s="78">
        <f t="shared" si="8"/>
        <v>1.5286950000000001</v>
      </c>
      <c r="I70" s="13">
        <f t="shared" si="9"/>
        <v>1528.6950000000002</v>
      </c>
    </row>
    <row r="71" spans="1:9" ht="15.75" hidden="1" customHeight="1">
      <c r="A71" s="30"/>
      <c r="B71" s="79" t="s">
        <v>106</v>
      </c>
      <c r="C71" s="16" t="s">
        <v>33</v>
      </c>
      <c r="D71" s="14"/>
      <c r="E71" s="65">
        <v>34.5</v>
      </c>
      <c r="F71" s="13">
        <f t="shared" ref="F71:F72" si="10">SUM(E71)</f>
        <v>34.5</v>
      </c>
      <c r="G71" s="13">
        <v>47.79</v>
      </c>
      <c r="H71" s="78">
        <f t="shared" si="8"/>
        <v>1.648755</v>
      </c>
      <c r="I71" s="13">
        <f t="shared" si="9"/>
        <v>1648.7549999999999</v>
      </c>
    </row>
    <row r="72" spans="1:9" ht="15.75" hidden="1" customHeight="1">
      <c r="A72" s="30"/>
      <c r="B72" s="14" t="s">
        <v>55</v>
      </c>
      <c r="C72" s="16" t="s">
        <v>56</v>
      </c>
      <c r="D72" s="14" t="s">
        <v>52</v>
      </c>
      <c r="E72" s="18">
        <v>5</v>
      </c>
      <c r="F72" s="13">
        <f t="shared" si="10"/>
        <v>5</v>
      </c>
      <c r="G72" s="13">
        <v>53.32</v>
      </c>
      <c r="H72" s="78">
        <f t="shared" si="8"/>
        <v>0.2666</v>
      </c>
      <c r="I72" s="13">
        <f t="shared" si="9"/>
        <v>266.60000000000002</v>
      </c>
    </row>
    <row r="73" spans="1:9" ht="15.75" customHeight="1">
      <c r="A73" s="30"/>
      <c r="B73" s="102" t="s">
        <v>152</v>
      </c>
      <c r="C73" s="49"/>
      <c r="D73" s="14"/>
      <c r="E73" s="18"/>
      <c r="F73" s="13"/>
      <c r="G73" s="13"/>
      <c r="H73" s="78"/>
      <c r="I73" s="13"/>
    </row>
    <row r="74" spans="1:9" ht="15.75" customHeight="1">
      <c r="A74" s="30">
        <v>15</v>
      </c>
      <c r="B74" s="14" t="s">
        <v>153</v>
      </c>
      <c r="C74" s="30" t="s">
        <v>154</v>
      </c>
      <c r="D74" s="14" t="s">
        <v>65</v>
      </c>
      <c r="E74" s="18">
        <v>4731.7</v>
      </c>
      <c r="F74" s="13">
        <f>SUM(E74*12)</f>
        <v>56780.399999999994</v>
      </c>
      <c r="G74" s="13">
        <v>2.2799999999999998</v>
      </c>
      <c r="H74" s="78">
        <f t="shared" ref="H74" si="11">SUM(F74*G74/1000)</f>
        <v>129.45931199999998</v>
      </c>
      <c r="I74" s="13">
        <f>F74/12*G74</f>
        <v>10788.275999999998</v>
      </c>
    </row>
    <row r="75" spans="1:9" ht="15.75" customHeight="1">
      <c r="A75" s="30"/>
      <c r="B75" s="92" t="s">
        <v>69</v>
      </c>
      <c r="C75" s="16"/>
      <c r="D75" s="14"/>
      <c r="E75" s="18"/>
      <c r="F75" s="13"/>
      <c r="G75" s="13"/>
      <c r="H75" s="78" t="s">
        <v>122</v>
      </c>
      <c r="I75" s="13"/>
    </row>
    <row r="76" spans="1:9" ht="31.5" hidden="1" customHeight="1">
      <c r="A76" s="30"/>
      <c r="B76" s="14" t="s">
        <v>155</v>
      </c>
      <c r="C76" s="16" t="s">
        <v>101</v>
      </c>
      <c r="D76" s="14" t="s">
        <v>65</v>
      </c>
      <c r="E76" s="18">
        <v>1</v>
      </c>
      <c r="F76" s="13">
        <v>1</v>
      </c>
      <c r="G76" s="13">
        <v>1543.4</v>
      </c>
      <c r="H76" s="78">
        <f t="shared" ref="H76:H79" si="12">SUM(F76*G76/1000)</f>
        <v>1.5434000000000001</v>
      </c>
      <c r="I76" s="13">
        <v>0</v>
      </c>
    </row>
    <row r="77" spans="1:9" ht="15.75" hidden="1" customHeight="1">
      <c r="A77" s="30">
        <v>19</v>
      </c>
      <c r="B77" s="47" t="s">
        <v>156</v>
      </c>
      <c r="C77" s="49" t="s">
        <v>101</v>
      </c>
      <c r="D77" s="14" t="s">
        <v>65</v>
      </c>
      <c r="E77" s="18">
        <v>4</v>
      </c>
      <c r="F77" s="13">
        <v>1</v>
      </c>
      <c r="G77" s="13">
        <v>130.96</v>
      </c>
      <c r="H77" s="78">
        <f>SUM(F77*G77/1000)</f>
        <v>0.13096000000000002</v>
      </c>
      <c r="I77" s="13">
        <v>0</v>
      </c>
    </row>
    <row r="78" spans="1:9" ht="15.75" hidden="1" customHeight="1">
      <c r="A78" s="30"/>
      <c r="B78" s="14" t="s">
        <v>70</v>
      </c>
      <c r="C78" s="16" t="s">
        <v>71</v>
      </c>
      <c r="D78" s="14" t="s">
        <v>65</v>
      </c>
      <c r="E78" s="18">
        <v>8</v>
      </c>
      <c r="F78" s="13">
        <f>E78/10</f>
        <v>0.8</v>
      </c>
      <c r="G78" s="13">
        <v>657.87</v>
      </c>
      <c r="H78" s="78">
        <f t="shared" si="12"/>
        <v>0.5262960000000001</v>
      </c>
      <c r="I78" s="13">
        <v>0</v>
      </c>
    </row>
    <row r="79" spans="1:9" ht="15.75" hidden="1" customHeight="1">
      <c r="A79" s="30"/>
      <c r="B79" s="14" t="s">
        <v>157</v>
      </c>
      <c r="C79" s="16" t="s">
        <v>101</v>
      </c>
      <c r="D79" s="14" t="s">
        <v>65</v>
      </c>
      <c r="E79" s="18">
        <v>1</v>
      </c>
      <c r="F79" s="66">
        <f>SUM(E79)</f>
        <v>1</v>
      </c>
      <c r="G79" s="13">
        <v>1118.72</v>
      </c>
      <c r="H79" s="78">
        <f t="shared" si="12"/>
        <v>1.1187199999999999</v>
      </c>
      <c r="I79" s="13">
        <v>0</v>
      </c>
    </row>
    <row r="80" spans="1:9" ht="15.75" hidden="1" customHeight="1">
      <c r="A80" s="30"/>
      <c r="B80" s="47" t="s">
        <v>158</v>
      </c>
      <c r="C80" s="49" t="s">
        <v>101</v>
      </c>
      <c r="D80" s="14" t="s">
        <v>65</v>
      </c>
      <c r="E80" s="18">
        <v>1</v>
      </c>
      <c r="F80" s="57">
        <v>1</v>
      </c>
      <c r="G80" s="13">
        <v>3757.02</v>
      </c>
      <c r="H80" s="78">
        <f>SUM(F80*G80/1000)</f>
        <v>3.7570199999999998</v>
      </c>
      <c r="I80" s="13">
        <v>0</v>
      </c>
    </row>
    <row r="81" spans="1:9" ht="15.75" customHeight="1">
      <c r="A81" s="30">
        <v>16</v>
      </c>
      <c r="B81" s="47" t="s">
        <v>159</v>
      </c>
      <c r="C81" s="49" t="s">
        <v>101</v>
      </c>
      <c r="D81" s="14" t="s">
        <v>30</v>
      </c>
      <c r="E81" s="99">
        <v>2</v>
      </c>
      <c r="F81" s="77">
        <f>E81*12</f>
        <v>24</v>
      </c>
      <c r="G81" s="100">
        <v>53.42</v>
      </c>
      <c r="H81" s="78">
        <f t="shared" ref="H81" si="13">SUM(F81*G81/1000)</f>
        <v>1.2820799999999999</v>
      </c>
      <c r="I81" s="13">
        <f>F81/12*G81</f>
        <v>106.84</v>
      </c>
    </row>
    <row r="82" spans="1:9" ht="15.75" hidden="1" customHeight="1">
      <c r="A82" s="30"/>
      <c r="B82" s="81" t="s">
        <v>72</v>
      </c>
      <c r="C82" s="16"/>
      <c r="D82" s="14"/>
      <c r="E82" s="18"/>
      <c r="F82" s="13"/>
      <c r="G82" s="13" t="s">
        <v>122</v>
      </c>
      <c r="H82" s="78" t="s">
        <v>122</v>
      </c>
      <c r="I82" s="13"/>
    </row>
    <row r="83" spans="1:9" ht="15.75" hidden="1" customHeight="1">
      <c r="A83" s="30"/>
      <c r="B83" s="44" t="s">
        <v>114</v>
      </c>
      <c r="C83" s="16" t="s">
        <v>73</v>
      </c>
      <c r="D83" s="14"/>
      <c r="E83" s="18"/>
      <c r="F83" s="13">
        <v>0.3</v>
      </c>
      <c r="G83" s="13">
        <v>3619.09</v>
      </c>
      <c r="H83" s="78">
        <f t="shared" si="8"/>
        <v>1.0857270000000001</v>
      </c>
      <c r="I83" s="13">
        <v>0</v>
      </c>
    </row>
    <row r="84" spans="1:9" ht="15.75" hidden="1" customHeight="1">
      <c r="A84" s="30"/>
      <c r="B84" s="103" t="s">
        <v>90</v>
      </c>
      <c r="C84" s="81"/>
      <c r="D84" s="32"/>
      <c r="E84" s="33"/>
      <c r="F84" s="69"/>
      <c r="G84" s="69"/>
      <c r="H84" s="82">
        <f>SUM(H57:H83)</f>
        <v>319.70627624000002</v>
      </c>
      <c r="I84" s="69"/>
    </row>
    <row r="85" spans="1:9" ht="15.75" hidden="1" customHeight="1">
      <c r="A85" s="30"/>
      <c r="B85" s="63" t="s">
        <v>107</v>
      </c>
      <c r="C85" s="16"/>
      <c r="D85" s="14"/>
      <c r="E85" s="58"/>
      <c r="F85" s="13">
        <v>1</v>
      </c>
      <c r="G85" s="13">
        <v>20512</v>
      </c>
      <c r="H85" s="78">
        <f>G85*F85/1000</f>
        <v>20.512</v>
      </c>
      <c r="I85" s="13">
        <v>0</v>
      </c>
    </row>
    <row r="86" spans="1:9" ht="15.75" customHeight="1">
      <c r="A86" s="194" t="s">
        <v>130</v>
      </c>
      <c r="B86" s="195"/>
      <c r="C86" s="195"/>
      <c r="D86" s="195"/>
      <c r="E86" s="195"/>
      <c r="F86" s="195"/>
      <c r="G86" s="195"/>
      <c r="H86" s="195"/>
      <c r="I86" s="196"/>
    </row>
    <row r="87" spans="1:9" ht="15.75" customHeight="1">
      <c r="A87" s="30">
        <v>17</v>
      </c>
      <c r="B87" s="63" t="s">
        <v>108</v>
      </c>
      <c r="C87" s="16" t="s">
        <v>53</v>
      </c>
      <c r="D87" s="101"/>
      <c r="E87" s="13">
        <v>4731.7</v>
      </c>
      <c r="F87" s="13">
        <f>SUM(E87*12)</f>
        <v>56780.399999999994</v>
      </c>
      <c r="G87" s="13">
        <v>3.1</v>
      </c>
      <c r="H87" s="78">
        <f>SUM(F87*G87/1000)</f>
        <v>176.01924</v>
      </c>
      <c r="I87" s="13">
        <f>F87/12*G87</f>
        <v>14668.27</v>
      </c>
    </row>
    <row r="88" spans="1:9" ht="31.5" customHeight="1">
      <c r="A88" s="30">
        <v>18</v>
      </c>
      <c r="B88" s="14" t="s">
        <v>74</v>
      </c>
      <c r="C88" s="16"/>
      <c r="D88" s="44"/>
      <c r="E88" s="65">
        <f>E87</f>
        <v>4731.7</v>
      </c>
      <c r="F88" s="13">
        <f>E88*12</f>
        <v>56780.399999999994</v>
      </c>
      <c r="G88" s="13">
        <v>3.5</v>
      </c>
      <c r="H88" s="78">
        <f>F88*G88/1000</f>
        <v>198.73139999999995</v>
      </c>
      <c r="I88" s="13">
        <f>F88/12*G88</f>
        <v>16560.95</v>
      </c>
    </row>
    <row r="89" spans="1:9" ht="15.75" customHeight="1">
      <c r="A89" s="30"/>
      <c r="B89" s="37" t="s">
        <v>76</v>
      </c>
      <c r="C89" s="81"/>
      <c r="D89" s="80"/>
      <c r="E89" s="69"/>
      <c r="F89" s="69"/>
      <c r="G89" s="69"/>
      <c r="H89" s="82">
        <f>H88</f>
        <v>198.73139999999995</v>
      </c>
      <c r="I89" s="69">
        <f>I88+I87+I81+I74+I65+I63+I59+I50+I44+I41+I40+I39+I38+I27+I26+I18+I17+I16</f>
        <v>98054.051052999974</v>
      </c>
    </row>
    <row r="90" spans="1:9" ht="15.75" customHeight="1">
      <c r="A90" s="191" t="s">
        <v>58</v>
      </c>
      <c r="B90" s="192"/>
      <c r="C90" s="192"/>
      <c r="D90" s="192"/>
      <c r="E90" s="192"/>
      <c r="F90" s="192"/>
      <c r="G90" s="192"/>
      <c r="H90" s="192"/>
      <c r="I90" s="193"/>
    </row>
    <row r="91" spans="1:9" ht="15.75" customHeight="1">
      <c r="A91" s="30">
        <v>19</v>
      </c>
      <c r="B91" s="47" t="s">
        <v>125</v>
      </c>
      <c r="C91" s="49" t="s">
        <v>79</v>
      </c>
      <c r="D91" s="14"/>
      <c r="E91" s="18"/>
      <c r="F91" s="13">
        <v>1</v>
      </c>
      <c r="G91" s="13">
        <v>203.68</v>
      </c>
      <c r="H91" s="78">
        <f t="shared" ref="H91" si="14">G91*F91/1000</f>
        <v>0.20368</v>
      </c>
      <c r="I91" s="13">
        <f>G91</f>
        <v>203.68</v>
      </c>
    </row>
    <row r="92" spans="1:9" ht="31.5" customHeight="1">
      <c r="A92" s="30">
        <v>20</v>
      </c>
      <c r="B92" s="47" t="s">
        <v>126</v>
      </c>
      <c r="C92" s="49" t="s">
        <v>127</v>
      </c>
      <c r="D92" s="44"/>
      <c r="E92" s="13"/>
      <c r="F92" s="13">
        <v>8</v>
      </c>
      <c r="G92" s="13">
        <v>1272</v>
      </c>
      <c r="H92" s="78">
        <f>G92*F92/1000</f>
        <v>10.176</v>
      </c>
      <c r="I92" s="13">
        <f>G92*8</f>
        <v>10176</v>
      </c>
    </row>
    <row r="93" spans="1:9" ht="31.5" customHeight="1">
      <c r="A93" s="30">
        <v>21</v>
      </c>
      <c r="B93" s="62" t="s">
        <v>138</v>
      </c>
      <c r="C93" s="30" t="s">
        <v>139</v>
      </c>
      <c r="D93" s="14"/>
      <c r="E93" s="18"/>
      <c r="F93" s="13">
        <f>4/10</f>
        <v>0.4</v>
      </c>
      <c r="G93" s="13">
        <v>326.66000000000003</v>
      </c>
      <c r="H93" s="78">
        <f>G93*F93/1000</f>
        <v>0.130664</v>
      </c>
      <c r="I93" s="13">
        <f>G93*0.4</f>
        <v>130.66400000000002</v>
      </c>
    </row>
    <row r="94" spans="1:9" ht="15.75" customHeight="1">
      <c r="A94" s="30" t="s">
        <v>303</v>
      </c>
      <c r="B94" s="47" t="s">
        <v>124</v>
      </c>
      <c r="C94" s="49" t="s">
        <v>101</v>
      </c>
      <c r="D94" s="14"/>
      <c r="E94" s="18"/>
      <c r="F94" s="13">
        <v>160</v>
      </c>
      <c r="G94" s="13">
        <v>55.55</v>
      </c>
      <c r="H94" s="78">
        <f>G94*F94/1000</f>
        <v>8.8879999999999999</v>
      </c>
      <c r="I94" s="13">
        <f>G94*80</f>
        <v>4444</v>
      </c>
    </row>
    <row r="95" spans="1:9" ht="15.75" customHeight="1">
      <c r="A95" s="30">
        <v>23</v>
      </c>
      <c r="B95" s="50" t="s">
        <v>80</v>
      </c>
      <c r="C95" s="49" t="s">
        <v>101</v>
      </c>
      <c r="D95" s="44"/>
      <c r="E95" s="13"/>
      <c r="F95" s="13">
        <v>1</v>
      </c>
      <c r="G95" s="13">
        <v>197.26</v>
      </c>
      <c r="H95" s="78">
        <f t="shared" ref="H95:H96" si="15">G95*F95/1000</f>
        <v>0.19725999999999999</v>
      </c>
      <c r="I95" s="13">
        <f>G95</f>
        <v>197.26</v>
      </c>
    </row>
    <row r="96" spans="1:9" ht="15.75" customHeight="1">
      <c r="A96" s="30">
        <v>24</v>
      </c>
      <c r="B96" s="63" t="s">
        <v>140</v>
      </c>
      <c r="C96" s="64" t="s">
        <v>101</v>
      </c>
      <c r="D96" s="14"/>
      <c r="E96" s="18"/>
      <c r="F96" s="13">
        <v>1</v>
      </c>
      <c r="G96" s="13">
        <v>89.59</v>
      </c>
      <c r="H96" s="78">
        <f t="shared" si="15"/>
        <v>8.9590000000000003E-2</v>
      </c>
      <c r="I96" s="100">
        <f>G96</f>
        <v>89.59</v>
      </c>
    </row>
    <row r="97" spans="1:9" ht="15.75" customHeight="1">
      <c r="A97" s="30"/>
      <c r="B97" s="42" t="s">
        <v>50</v>
      </c>
      <c r="C97" s="38"/>
      <c r="D97" s="45"/>
      <c r="E97" s="38">
        <v>1</v>
      </c>
      <c r="F97" s="38"/>
      <c r="G97" s="38"/>
      <c r="H97" s="38"/>
      <c r="I97" s="33">
        <f>SUM(I91:I96)-I94</f>
        <v>10797.194000000001</v>
      </c>
    </row>
    <row r="98" spans="1:9" ht="15.75" customHeight="1">
      <c r="A98" s="30"/>
      <c r="B98" s="44" t="s">
        <v>75</v>
      </c>
      <c r="C98" s="15"/>
      <c r="D98" s="15"/>
      <c r="E98" s="39"/>
      <c r="F98" s="39"/>
      <c r="G98" s="40"/>
      <c r="H98" s="40"/>
      <c r="I98" s="17">
        <v>0</v>
      </c>
    </row>
    <row r="99" spans="1:9" ht="15.75" customHeight="1">
      <c r="A99" s="46"/>
      <c r="B99" s="43" t="s">
        <v>143</v>
      </c>
      <c r="C99" s="34"/>
      <c r="D99" s="34"/>
      <c r="E99" s="34"/>
      <c r="F99" s="34"/>
      <c r="G99" s="34"/>
      <c r="H99" s="34"/>
      <c r="I99" s="41">
        <f>I89+I97</f>
        <v>108851.24505299998</v>
      </c>
    </row>
    <row r="100" spans="1:9" ht="15.75" customHeight="1">
      <c r="A100" s="197" t="s">
        <v>304</v>
      </c>
      <c r="B100" s="198"/>
      <c r="C100" s="198"/>
      <c r="D100" s="198"/>
      <c r="E100" s="198"/>
      <c r="F100" s="198"/>
      <c r="G100" s="198"/>
      <c r="H100" s="198"/>
      <c r="I100" s="198"/>
    </row>
    <row r="101" spans="1:9" ht="15.75" customHeight="1">
      <c r="A101" s="188" t="s">
        <v>305</v>
      </c>
      <c r="B101" s="188"/>
      <c r="C101" s="188"/>
      <c r="D101" s="188"/>
      <c r="E101" s="188"/>
      <c r="F101" s="188"/>
      <c r="G101" s="188"/>
      <c r="H101" s="188"/>
      <c r="I101" s="188"/>
    </row>
    <row r="102" spans="1:9" ht="15.75" customHeight="1">
      <c r="A102" s="56"/>
      <c r="B102" s="189" t="s">
        <v>306</v>
      </c>
      <c r="C102" s="189"/>
      <c r="D102" s="189"/>
      <c r="E102" s="189"/>
      <c r="F102" s="189"/>
      <c r="G102" s="189"/>
      <c r="H102" s="61"/>
      <c r="I102" s="3"/>
    </row>
    <row r="103" spans="1:9" ht="15.75" customHeight="1">
      <c r="A103" s="53"/>
      <c r="B103" s="179" t="s">
        <v>6</v>
      </c>
      <c r="C103" s="179"/>
      <c r="D103" s="179"/>
      <c r="E103" s="179"/>
      <c r="F103" s="179"/>
      <c r="G103" s="179"/>
      <c r="H103" s="25"/>
      <c r="I103" s="5"/>
    </row>
    <row r="104" spans="1:9" ht="15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 customHeight="1">
      <c r="A105" s="190" t="s">
        <v>7</v>
      </c>
      <c r="B105" s="190"/>
      <c r="C105" s="190"/>
      <c r="D105" s="190"/>
      <c r="E105" s="190"/>
      <c r="F105" s="190"/>
      <c r="G105" s="190"/>
      <c r="H105" s="190"/>
      <c r="I105" s="190"/>
    </row>
    <row r="106" spans="1:9" ht="15.75" customHeight="1">
      <c r="A106" s="190" t="s">
        <v>8</v>
      </c>
      <c r="B106" s="190"/>
      <c r="C106" s="190"/>
      <c r="D106" s="190"/>
      <c r="E106" s="190"/>
      <c r="F106" s="190"/>
      <c r="G106" s="190"/>
      <c r="H106" s="190"/>
      <c r="I106" s="190"/>
    </row>
    <row r="107" spans="1:9" ht="23.25" customHeight="1">
      <c r="A107" s="183" t="s">
        <v>59</v>
      </c>
      <c r="B107" s="183"/>
      <c r="C107" s="183"/>
      <c r="D107" s="183"/>
      <c r="E107" s="183"/>
      <c r="F107" s="183"/>
      <c r="G107" s="183"/>
      <c r="H107" s="183"/>
      <c r="I107" s="183"/>
    </row>
    <row r="108" spans="1:9" ht="15.75">
      <c r="A108" s="11"/>
    </row>
    <row r="109" spans="1:9" ht="15.75">
      <c r="A109" s="177" t="s">
        <v>9</v>
      </c>
      <c r="B109" s="177"/>
      <c r="C109" s="177"/>
      <c r="D109" s="177"/>
      <c r="E109" s="177"/>
      <c r="F109" s="177"/>
      <c r="G109" s="177"/>
      <c r="H109" s="177"/>
      <c r="I109" s="177"/>
    </row>
    <row r="110" spans="1:9" ht="15.75" customHeight="1">
      <c r="A110" s="4"/>
    </row>
    <row r="111" spans="1:9" ht="15.75" customHeight="1">
      <c r="B111" s="54" t="s">
        <v>10</v>
      </c>
      <c r="C111" s="178" t="s">
        <v>131</v>
      </c>
      <c r="D111" s="178"/>
      <c r="E111" s="178"/>
      <c r="F111" s="59"/>
      <c r="I111" s="52"/>
    </row>
    <row r="112" spans="1:9" ht="15.75" customHeight="1">
      <c r="A112" s="53"/>
      <c r="C112" s="179" t="s">
        <v>11</v>
      </c>
      <c r="D112" s="179"/>
      <c r="E112" s="179"/>
      <c r="F112" s="25"/>
      <c r="I112" s="51" t="s">
        <v>12</v>
      </c>
    </row>
    <row r="113" spans="1:9" ht="15.75" customHeight="1">
      <c r="A113" s="26"/>
      <c r="C113" s="12"/>
      <c r="D113" s="12"/>
      <c r="G113" s="12"/>
      <c r="H113" s="12"/>
    </row>
    <row r="114" spans="1:9" ht="15.75" customHeight="1">
      <c r="B114" s="54" t="s">
        <v>13</v>
      </c>
      <c r="C114" s="180"/>
      <c r="D114" s="180"/>
      <c r="E114" s="180"/>
      <c r="F114" s="60"/>
      <c r="I114" s="52"/>
    </row>
    <row r="115" spans="1:9">
      <c r="A115" s="53"/>
      <c r="C115" s="181" t="s">
        <v>11</v>
      </c>
      <c r="D115" s="181"/>
      <c r="E115" s="181"/>
      <c r="F115" s="53"/>
      <c r="I115" s="51" t="s">
        <v>12</v>
      </c>
    </row>
    <row r="116" spans="1:9" ht="15.75">
      <c r="A116" s="4" t="s">
        <v>14</v>
      </c>
    </row>
    <row r="117" spans="1:9" ht="15.75" customHeight="1">
      <c r="A117" s="182" t="s">
        <v>15</v>
      </c>
      <c r="B117" s="182"/>
      <c r="C117" s="182"/>
      <c r="D117" s="182"/>
      <c r="E117" s="182"/>
      <c r="F117" s="182"/>
      <c r="G117" s="182"/>
      <c r="H117" s="182"/>
      <c r="I117" s="182"/>
    </row>
    <row r="118" spans="1:9" ht="45" customHeight="1">
      <c r="A118" s="176" t="s">
        <v>16</v>
      </c>
      <c r="B118" s="176"/>
      <c r="C118" s="176"/>
      <c r="D118" s="176"/>
      <c r="E118" s="176"/>
      <c r="F118" s="176"/>
      <c r="G118" s="176"/>
      <c r="H118" s="176"/>
      <c r="I118" s="176"/>
    </row>
    <row r="119" spans="1:9" ht="30" customHeight="1">
      <c r="A119" s="176" t="s">
        <v>17</v>
      </c>
      <c r="B119" s="176"/>
      <c r="C119" s="176"/>
      <c r="D119" s="176"/>
      <c r="E119" s="176"/>
      <c r="F119" s="176"/>
      <c r="G119" s="176"/>
      <c r="H119" s="176"/>
      <c r="I119" s="176"/>
    </row>
    <row r="120" spans="1:9" ht="30" customHeight="1">
      <c r="A120" s="176" t="s">
        <v>21</v>
      </c>
      <c r="B120" s="176"/>
      <c r="C120" s="176"/>
      <c r="D120" s="176"/>
      <c r="E120" s="176"/>
      <c r="F120" s="176"/>
      <c r="G120" s="176"/>
      <c r="H120" s="176"/>
      <c r="I120" s="176"/>
    </row>
    <row r="121" spans="1:9" ht="15" customHeight="1">
      <c r="A121" s="176" t="s">
        <v>20</v>
      </c>
      <c r="B121" s="176"/>
      <c r="C121" s="176"/>
      <c r="D121" s="176"/>
      <c r="E121" s="176"/>
      <c r="F121" s="176"/>
      <c r="G121" s="176"/>
      <c r="H121" s="176"/>
      <c r="I121" s="176"/>
    </row>
  </sheetData>
  <autoFilter ref="I12:I56"/>
  <mergeCells count="30">
    <mergeCell ref="R61:U61"/>
    <mergeCell ref="A3:I3"/>
    <mergeCell ref="A4:I4"/>
    <mergeCell ref="A5:I5"/>
    <mergeCell ref="A8:I8"/>
    <mergeCell ref="A10:I10"/>
    <mergeCell ref="A14:I14"/>
    <mergeCell ref="A107:I107"/>
    <mergeCell ref="A15:I15"/>
    <mergeCell ref="A45:I45"/>
    <mergeCell ref="A101:I101"/>
    <mergeCell ref="B102:G102"/>
    <mergeCell ref="B103:G103"/>
    <mergeCell ref="A105:I105"/>
    <mergeCell ref="A106:I106"/>
    <mergeCell ref="A90:I90"/>
    <mergeCell ref="A28:I28"/>
    <mergeCell ref="A55:I55"/>
    <mergeCell ref="A86:I86"/>
    <mergeCell ref="A100:I100"/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31"/>
  <sheetViews>
    <sheetView topLeftCell="A73" workbookViewId="0">
      <selection activeCell="A8" sqref="A8:I8"/>
    </sheetView>
  </sheetViews>
  <sheetFormatPr defaultRowHeight="15"/>
  <cols>
    <col min="1" max="1" width="12.85546875" customWidth="1"/>
    <col min="2" max="2" width="42.28515625" customWidth="1"/>
    <col min="3" max="3" width="18.28515625" customWidth="1"/>
    <col min="4" max="4" width="18.5703125" customWidth="1"/>
    <col min="5" max="6" width="0" hidden="1" customWidth="1"/>
    <col min="7" max="7" width="17.85546875" customWidth="1"/>
    <col min="8" max="8" width="0" hidden="1" customWidth="1"/>
    <col min="9" max="9" width="17.140625" customWidth="1"/>
  </cols>
  <sheetData>
    <row r="1" spans="1:9" ht="15.75">
      <c r="A1" s="28" t="s">
        <v>224</v>
      </c>
      <c r="I1" s="27"/>
    </row>
    <row r="2" spans="1:9" ht="15.75">
      <c r="A2" s="29" t="s">
        <v>60</v>
      </c>
    </row>
    <row r="3" spans="1:9" ht="15.75">
      <c r="A3" s="199" t="s">
        <v>258</v>
      </c>
      <c r="B3" s="199"/>
      <c r="C3" s="199"/>
      <c r="D3" s="199"/>
      <c r="E3" s="199"/>
      <c r="F3" s="199"/>
      <c r="G3" s="199"/>
      <c r="H3" s="199"/>
      <c r="I3" s="199"/>
    </row>
    <row r="4" spans="1:9" ht="34.5" customHeight="1">
      <c r="A4" s="200" t="s">
        <v>245</v>
      </c>
      <c r="B4" s="200"/>
      <c r="C4" s="200"/>
      <c r="D4" s="200"/>
      <c r="E4" s="200"/>
      <c r="F4" s="200"/>
      <c r="G4" s="200"/>
      <c r="H4" s="200"/>
      <c r="I4" s="200"/>
    </row>
    <row r="5" spans="1:9" ht="15.75">
      <c r="A5" s="199" t="s">
        <v>259</v>
      </c>
      <c r="B5" s="201"/>
      <c r="C5" s="201"/>
      <c r="D5" s="201"/>
      <c r="E5" s="201"/>
      <c r="F5" s="201"/>
      <c r="G5" s="201"/>
      <c r="H5" s="201"/>
      <c r="I5" s="201"/>
    </row>
    <row r="6" spans="1:9" ht="15.75">
      <c r="A6" s="2"/>
      <c r="B6" s="156"/>
      <c r="C6" s="156"/>
      <c r="D6" s="156"/>
      <c r="E6" s="156"/>
      <c r="F6" s="156"/>
      <c r="G6" s="156"/>
      <c r="H6" s="156"/>
      <c r="I6" s="31">
        <v>43404</v>
      </c>
    </row>
    <row r="7" spans="1:9" ht="15.75">
      <c r="B7" s="155"/>
      <c r="C7" s="155"/>
      <c r="D7" s="155"/>
      <c r="E7" s="3"/>
      <c r="F7" s="3"/>
      <c r="G7" s="3"/>
      <c r="H7" s="3"/>
    </row>
    <row r="8" spans="1:9" ht="97.5" customHeight="1">
      <c r="A8" s="202" t="s">
        <v>301</v>
      </c>
      <c r="B8" s="202"/>
      <c r="C8" s="202"/>
      <c r="D8" s="202"/>
      <c r="E8" s="202"/>
      <c r="F8" s="202"/>
      <c r="G8" s="202"/>
      <c r="H8" s="202"/>
      <c r="I8" s="202"/>
    </row>
    <row r="9" spans="1:9" ht="15.75">
      <c r="A9" s="4"/>
    </row>
    <row r="10" spans="1:9" ht="74.25" customHeight="1">
      <c r="A10" s="203" t="s">
        <v>144</v>
      </c>
      <c r="B10" s="203"/>
      <c r="C10" s="203"/>
      <c r="D10" s="203"/>
      <c r="E10" s="203"/>
      <c r="F10" s="203"/>
      <c r="G10" s="203"/>
      <c r="H10" s="203"/>
      <c r="I10" s="203"/>
    </row>
    <row r="11" spans="1:9" ht="15.75">
      <c r="A11" s="4"/>
    </row>
    <row r="12" spans="1:9" ht="68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4" t="s">
        <v>57</v>
      </c>
      <c r="B14" s="204"/>
      <c r="C14" s="204"/>
      <c r="D14" s="204"/>
      <c r="E14" s="204"/>
      <c r="F14" s="204"/>
      <c r="G14" s="204"/>
      <c r="H14" s="204"/>
      <c r="I14" s="204"/>
    </row>
    <row r="15" spans="1:9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</row>
    <row r="16" spans="1:9" ht="29.25" customHeight="1">
      <c r="A16" s="30">
        <v>1</v>
      </c>
      <c r="B16" s="63" t="s">
        <v>83</v>
      </c>
      <c r="C16" s="64" t="s">
        <v>84</v>
      </c>
      <c r="D16" s="120" t="s">
        <v>186</v>
      </c>
      <c r="E16" s="65">
        <v>143.78</v>
      </c>
      <c r="F16" s="66">
        <f>SUM(E16*156/100)</f>
        <v>224.29679999999999</v>
      </c>
      <c r="G16" s="123">
        <v>230</v>
      </c>
      <c r="H16" s="67">
        <f t="shared" ref="H16:H24" si="0">SUM(F16*G16/1000)</f>
        <v>51.588263999999995</v>
      </c>
      <c r="I16" s="13">
        <f>149.531/12*G16</f>
        <v>2866.0108333333337</v>
      </c>
    </row>
    <row r="17" spans="1:9" ht="30" customHeight="1">
      <c r="A17" s="30">
        <v>2</v>
      </c>
      <c r="B17" s="63" t="s">
        <v>109</v>
      </c>
      <c r="C17" s="64" t="s">
        <v>84</v>
      </c>
      <c r="D17" s="120" t="s">
        <v>187</v>
      </c>
      <c r="E17" s="65">
        <v>575.12</v>
      </c>
      <c r="F17" s="66">
        <f>SUM(E17*104/100)</f>
        <v>598.12480000000005</v>
      </c>
      <c r="G17" s="123">
        <v>230</v>
      </c>
      <c r="H17" s="67">
        <f t="shared" si="0"/>
        <v>137.568704</v>
      </c>
      <c r="I17" s="13">
        <f>299.062/12*G17</f>
        <v>5732.0216666666674</v>
      </c>
    </row>
    <row r="18" spans="1:9" ht="28.5" customHeight="1">
      <c r="A18" s="30">
        <v>3</v>
      </c>
      <c r="B18" s="63" t="s">
        <v>110</v>
      </c>
      <c r="C18" s="64" t="s">
        <v>84</v>
      </c>
      <c r="D18" s="120" t="s">
        <v>188</v>
      </c>
      <c r="E18" s="65">
        <v>718.9</v>
      </c>
      <c r="F18" s="66">
        <f>SUM(E18*24/100)</f>
        <v>172.53599999999997</v>
      </c>
      <c r="G18" s="123">
        <v>661.67</v>
      </c>
      <c r="H18" s="67">
        <f t="shared" si="0"/>
        <v>114.16189511999997</v>
      </c>
      <c r="I18" s="13">
        <f>86.268/12*G18</f>
        <v>4756.7456299999994</v>
      </c>
    </row>
    <row r="19" spans="1:9" hidden="1">
      <c r="A19" s="30">
        <v>4</v>
      </c>
      <c r="B19" s="63" t="s">
        <v>91</v>
      </c>
      <c r="C19" s="64" t="s">
        <v>92</v>
      </c>
      <c r="D19" s="120" t="s">
        <v>93</v>
      </c>
      <c r="E19" s="65">
        <v>42.2</v>
      </c>
      <c r="F19" s="66">
        <f>SUM(E19/10)</f>
        <v>4.2200000000000006</v>
      </c>
      <c r="G19" s="123">
        <v>223.17</v>
      </c>
      <c r="H19" s="67">
        <f t="shared" si="0"/>
        <v>0.9417774000000001</v>
      </c>
      <c r="I19" s="13">
        <f>G19*4.22</f>
        <v>941.77739999999994</v>
      </c>
    </row>
    <row r="20" spans="1:9" hidden="1">
      <c r="A20" s="30">
        <v>4</v>
      </c>
      <c r="B20" s="63" t="s">
        <v>94</v>
      </c>
      <c r="C20" s="64" t="s">
        <v>84</v>
      </c>
      <c r="D20" s="120" t="s">
        <v>41</v>
      </c>
      <c r="E20" s="65">
        <v>14</v>
      </c>
      <c r="F20" s="66">
        <f>SUM(E20*2/100)</f>
        <v>0.28000000000000003</v>
      </c>
      <c r="G20" s="123">
        <v>285.76</v>
      </c>
      <c r="H20" s="67">
        <f t="shared" si="0"/>
        <v>8.0012799999999995E-2</v>
      </c>
      <c r="I20" s="13">
        <f>0.28/2*G20</f>
        <v>40.006399999999999</v>
      </c>
    </row>
    <row r="21" spans="1:9" hidden="1">
      <c r="A21" s="30">
        <v>5</v>
      </c>
      <c r="B21" s="63" t="s">
        <v>95</v>
      </c>
      <c r="C21" s="64" t="s">
        <v>84</v>
      </c>
      <c r="D21" s="120" t="s">
        <v>41</v>
      </c>
      <c r="E21" s="65">
        <v>6</v>
      </c>
      <c r="F21" s="66">
        <f>SUM(E21*2/100)</f>
        <v>0.12</v>
      </c>
      <c r="G21" s="123">
        <v>283.44</v>
      </c>
      <c r="H21" s="67">
        <f>SUM(F21*G21/1000)</f>
        <v>3.4012799999999996E-2</v>
      </c>
      <c r="I21" s="13">
        <f>F21/2*G21</f>
        <v>17.006399999999999</v>
      </c>
    </row>
    <row r="22" spans="1:9" hidden="1">
      <c r="A22" s="30">
        <v>7</v>
      </c>
      <c r="B22" s="63" t="s">
        <v>96</v>
      </c>
      <c r="C22" s="64" t="s">
        <v>51</v>
      </c>
      <c r="D22" s="120" t="s">
        <v>93</v>
      </c>
      <c r="E22" s="65">
        <v>640</v>
      </c>
      <c r="F22" s="66">
        <f>SUM(E22/100)</f>
        <v>6.4</v>
      </c>
      <c r="G22" s="123">
        <v>353.14</v>
      </c>
      <c r="H22" s="67">
        <f t="shared" si="0"/>
        <v>2.2600959999999999</v>
      </c>
      <c r="I22" s="13">
        <f t="shared" ref="I22:I25" si="1">F22*G22</f>
        <v>2260.096</v>
      </c>
    </row>
    <row r="23" spans="1:9" hidden="1">
      <c r="A23" s="30">
        <v>8</v>
      </c>
      <c r="B23" s="63" t="s">
        <v>97</v>
      </c>
      <c r="C23" s="64" t="s">
        <v>51</v>
      </c>
      <c r="D23" s="120" t="s">
        <v>93</v>
      </c>
      <c r="E23" s="68">
        <v>49</v>
      </c>
      <c r="F23" s="66">
        <f>SUM(E23/100)</f>
        <v>0.49</v>
      </c>
      <c r="G23" s="123">
        <v>58.08</v>
      </c>
      <c r="H23" s="67">
        <f t="shared" si="0"/>
        <v>2.84592E-2</v>
      </c>
      <c r="I23" s="13">
        <f t="shared" si="1"/>
        <v>28.459199999999999</v>
      </c>
    </row>
    <row r="24" spans="1:9" hidden="1">
      <c r="A24" s="30">
        <v>9</v>
      </c>
      <c r="B24" s="63" t="s">
        <v>98</v>
      </c>
      <c r="C24" s="64" t="s">
        <v>51</v>
      </c>
      <c r="D24" s="120" t="s">
        <v>52</v>
      </c>
      <c r="E24" s="65">
        <v>19</v>
      </c>
      <c r="F24" s="66">
        <f>SUM(E24/100)</f>
        <v>0.19</v>
      </c>
      <c r="G24" s="132">
        <v>683.05</v>
      </c>
      <c r="H24" s="67">
        <f t="shared" si="0"/>
        <v>0.12977949999999999</v>
      </c>
      <c r="I24" s="13">
        <f>0.085*G24</f>
        <v>58.059249999999999</v>
      </c>
    </row>
    <row r="25" spans="1:9" ht="30" hidden="1">
      <c r="A25" s="30">
        <v>10</v>
      </c>
      <c r="B25" s="63" t="s">
        <v>113</v>
      </c>
      <c r="C25" s="64" t="s">
        <v>51</v>
      </c>
      <c r="D25" s="120" t="s">
        <v>52</v>
      </c>
      <c r="E25" s="65">
        <v>19</v>
      </c>
      <c r="F25" s="66">
        <f>E25/100</f>
        <v>0.19</v>
      </c>
      <c r="G25" s="123">
        <v>283.44</v>
      </c>
      <c r="H25" s="67">
        <f>G25*F25/1000</f>
        <v>5.3853600000000001E-2</v>
      </c>
      <c r="I25" s="13">
        <f t="shared" si="1"/>
        <v>53.8536</v>
      </c>
    </row>
    <row r="26" spans="1:9" ht="16.5" customHeight="1">
      <c r="A26" s="30">
        <v>4</v>
      </c>
      <c r="B26" s="63" t="s">
        <v>62</v>
      </c>
      <c r="C26" s="64" t="s">
        <v>33</v>
      </c>
      <c r="D26" s="63" t="s">
        <v>160</v>
      </c>
      <c r="E26" s="65">
        <v>0.1</v>
      </c>
      <c r="F26" s="66">
        <f>SUM(E26*182)</f>
        <v>18.2</v>
      </c>
      <c r="G26" s="66">
        <v>264.85000000000002</v>
      </c>
      <c r="H26" s="67">
        <f>SUM(F26*G26/1000)</f>
        <v>4.8202700000000007</v>
      </c>
      <c r="I26" s="13">
        <f>F26/12*G26</f>
        <v>401.68916666666667</v>
      </c>
    </row>
    <row r="27" spans="1:9">
      <c r="A27" s="30">
        <v>5</v>
      </c>
      <c r="B27" s="71" t="s">
        <v>23</v>
      </c>
      <c r="C27" s="64" t="s">
        <v>24</v>
      </c>
      <c r="D27" s="63"/>
      <c r="E27" s="65">
        <v>4731.7</v>
      </c>
      <c r="F27" s="66">
        <f>SUM(E27*12)</f>
        <v>56780.399999999994</v>
      </c>
      <c r="G27" s="66">
        <v>4.5199999999999996</v>
      </c>
      <c r="H27" s="67">
        <f>SUM(F27*G27/1000)</f>
        <v>256.64740799999993</v>
      </c>
      <c r="I27" s="13">
        <f>F27/12*G27</f>
        <v>21387.283999999996</v>
      </c>
    </row>
    <row r="28" spans="1:9">
      <c r="A28" s="184" t="s">
        <v>81</v>
      </c>
      <c r="B28" s="184"/>
      <c r="C28" s="184"/>
      <c r="D28" s="184"/>
      <c r="E28" s="184"/>
      <c r="F28" s="184"/>
      <c r="G28" s="184"/>
      <c r="H28" s="184"/>
      <c r="I28" s="184"/>
    </row>
    <row r="29" spans="1:9" ht="17.25" customHeight="1">
      <c r="A29" s="30"/>
      <c r="B29" s="83" t="s">
        <v>28</v>
      </c>
      <c r="C29" s="64"/>
      <c r="D29" s="63"/>
      <c r="E29" s="65"/>
      <c r="F29" s="66"/>
      <c r="G29" s="66"/>
      <c r="H29" s="67"/>
      <c r="I29" s="13"/>
    </row>
    <row r="30" spans="1:9" ht="16.5" customHeight="1">
      <c r="A30" s="30">
        <v>6</v>
      </c>
      <c r="B30" s="63" t="s">
        <v>100</v>
      </c>
      <c r="C30" s="64" t="s">
        <v>86</v>
      </c>
      <c r="D30" s="63" t="s">
        <v>141</v>
      </c>
      <c r="E30" s="66">
        <v>436.6</v>
      </c>
      <c r="F30" s="66">
        <f>SUM(E30*52/1000)</f>
        <v>22.703200000000002</v>
      </c>
      <c r="G30" s="123">
        <v>204.44</v>
      </c>
      <c r="H30" s="67">
        <f t="shared" ref="H30:H36" si="2">SUM(F30*G30/1000)</f>
        <v>4.641442208</v>
      </c>
      <c r="I30" s="13">
        <f>F30/6*G30</f>
        <v>773.57370133333336</v>
      </c>
    </row>
    <row r="31" spans="1:9" ht="46.5" customHeight="1">
      <c r="A31" s="30">
        <v>7</v>
      </c>
      <c r="B31" s="63" t="s">
        <v>111</v>
      </c>
      <c r="C31" s="64" t="s">
        <v>86</v>
      </c>
      <c r="D31" s="63" t="s">
        <v>142</v>
      </c>
      <c r="E31" s="66">
        <v>54.4</v>
      </c>
      <c r="F31" s="66">
        <f>SUM(E31*78/1000)</f>
        <v>4.2431999999999999</v>
      </c>
      <c r="G31" s="123">
        <v>339.21</v>
      </c>
      <c r="H31" s="67">
        <f t="shared" si="2"/>
        <v>1.4393358719999998</v>
      </c>
      <c r="I31" s="13">
        <f t="shared" ref="I31:I34" si="3">F31/6*G31</f>
        <v>239.88931199999996</v>
      </c>
    </row>
    <row r="32" spans="1:9" hidden="1">
      <c r="A32" s="30">
        <v>15</v>
      </c>
      <c r="B32" s="63" t="s">
        <v>27</v>
      </c>
      <c r="C32" s="64" t="s">
        <v>86</v>
      </c>
      <c r="D32" s="63" t="s">
        <v>52</v>
      </c>
      <c r="E32" s="66">
        <v>436.6</v>
      </c>
      <c r="F32" s="66">
        <f>SUM(E32/1000)</f>
        <v>0.43660000000000004</v>
      </c>
      <c r="G32" s="123">
        <v>3961.23</v>
      </c>
      <c r="H32" s="67">
        <f t="shared" si="2"/>
        <v>1.7294730180000002</v>
      </c>
      <c r="I32" s="13">
        <f>F32*G32</f>
        <v>1729.4730180000001</v>
      </c>
    </row>
    <row r="33" spans="1:9" ht="18" customHeight="1">
      <c r="A33" s="30">
        <v>8</v>
      </c>
      <c r="B33" s="63" t="s">
        <v>123</v>
      </c>
      <c r="C33" s="64" t="s">
        <v>39</v>
      </c>
      <c r="D33" s="63" t="s">
        <v>61</v>
      </c>
      <c r="E33" s="66">
        <v>4</v>
      </c>
      <c r="F33" s="66">
        <f>E33*155/100</f>
        <v>6.2</v>
      </c>
      <c r="G33" s="123">
        <v>1707.63</v>
      </c>
      <c r="H33" s="67">
        <f>G33*F33/1000</f>
        <v>10.587306</v>
      </c>
      <c r="I33" s="13">
        <f t="shared" si="3"/>
        <v>1764.5510000000004</v>
      </c>
    </row>
    <row r="34" spans="1:9" ht="17.25" customHeight="1">
      <c r="A34" s="30">
        <v>9</v>
      </c>
      <c r="B34" s="63" t="s">
        <v>99</v>
      </c>
      <c r="C34" s="64" t="s">
        <v>31</v>
      </c>
      <c r="D34" s="63" t="s">
        <v>61</v>
      </c>
      <c r="E34" s="70">
        <f>1/3</f>
        <v>0.33333333333333331</v>
      </c>
      <c r="F34" s="66">
        <f>155/3</f>
        <v>51.666666666666664</v>
      </c>
      <c r="G34" s="123">
        <v>74.349999999999994</v>
      </c>
      <c r="H34" s="67">
        <f>SUM(G34*155/3/1000)</f>
        <v>3.8414166666666665</v>
      </c>
      <c r="I34" s="13">
        <f t="shared" si="3"/>
        <v>640.23611111111109</v>
      </c>
    </row>
    <row r="35" spans="1:9" hidden="1">
      <c r="A35" s="30"/>
      <c r="B35" s="63" t="s">
        <v>63</v>
      </c>
      <c r="C35" s="64" t="s">
        <v>33</v>
      </c>
      <c r="D35" s="63" t="s">
        <v>65</v>
      </c>
      <c r="E35" s="65"/>
      <c r="F35" s="66">
        <v>2</v>
      </c>
      <c r="G35" s="66">
        <v>250.92</v>
      </c>
      <c r="H35" s="67">
        <f t="shared" si="2"/>
        <v>0.50183999999999995</v>
      </c>
      <c r="I35" s="13">
        <v>0</v>
      </c>
    </row>
    <row r="36" spans="1:9" hidden="1">
      <c r="A36" s="30"/>
      <c r="B36" s="63" t="s">
        <v>64</v>
      </c>
      <c r="C36" s="64" t="s">
        <v>32</v>
      </c>
      <c r="D36" s="63" t="s">
        <v>65</v>
      </c>
      <c r="E36" s="65"/>
      <c r="F36" s="66">
        <v>1</v>
      </c>
      <c r="G36" s="66">
        <v>1490.31</v>
      </c>
      <c r="H36" s="67">
        <f t="shared" si="2"/>
        <v>1.49031</v>
      </c>
      <c r="I36" s="13">
        <v>0</v>
      </c>
    </row>
    <row r="37" spans="1:9" hidden="1">
      <c r="A37" s="30"/>
      <c r="B37" s="83" t="s">
        <v>5</v>
      </c>
      <c r="C37" s="64"/>
      <c r="D37" s="63"/>
      <c r="E37" s="65"/>
      <c r="F37" s="66"/>
      <c r="G37" s="66"/>
      <c r="H37" s="67" t="s">
        <v>122</v>
      </c>
      <c r="I37" s="13"/>
    </row>
    <row r="38" spans="1:9" ht="30" hidden="1">
      <c r="A38" s="30">
        <v>6</v>
      </c>
      <c r="B38" s="63" t="s">
        <v>26</v>
      </c>
      <c r="C38" s="64" t="s">
        <v>32</v>
      </c>
      <c r="D38" s="63"/>
      <c r="E38" s="65"/>
      <c r="F38" s="66">
        <v>5</v>
      </c>
      <c r="G38" s="66">
        <v>2003</v>
      </c>
      <c r="H38" s="67">
        <f t="shared" ref="H38:H44" si="4">SUM(F38*G38/1000)</f>
        <v>10.015000000000001</v>
      </c>
      <c r="I38" s="13">
        <f t="shared" ref="I38:I44" si="5">F38/6*G38</f>
        <v>1669.1666666666667</v>
      </c>
    </row>
    <row r="39" spans="1:9" hidden="1">
      <c r="A39" s="30">
        <v>7</v>
      </c>
      <c r="B39" s="63" t="s">
        <v>146</v>
      </c>
      <c r="C39" s="64" t="s">
        <v>29</v>
      </c>
      <c r="D39" s="63" t="s">
        <v>115</v>
      </c>
      <c r="E39" s="65">
        <v>54.4</v>
      </c>
      <c r="F39" s="66">
        <f>E39*30/1000</f>
        <v>1.6319999999999999</v>
      </c>
      <c r="G39" s="66">
        <v>2757.78</v>
      </c>
      <c r="H39" s="67">
        <f t="shared" si="4"/>
        <v>4.50069696</v>
      </c>
      <c r="I39" s="13">
        <f t="shared" si="5"/>
        <v>750.11615999999992</v>
      </c>
    </row>
    <row r="40" spans="1:9" ht="30" hidden="1">
      <c r="A40" s="30">
        <v>8</v>
      </c>
      <c r="B40" s="63" t="s">
        <v>66</v>
      </c>
      <c r="C40" s="64" t="s">
        <v>29</v>
      </c>
      <c r="D40" s="63" t="s">
        <v>85</v>
      </c>
      <c r="E40" s="66">
        <v>54.4</v>
      </c>
      <c r="F40" s="66">
        <f>SUM(E40*155/1000)</f>
        <v>8.4320000000000004</v>
      </c>
      <c r="G40" s="66">
        <v>460.02</v>
      </c>
      <c r="H40" s="67">
        <f t="shared" si="4"/>
        <v>3.87888864</v>
      </c>
      <c r="I40" s="13">
        <f t="shared" si="5"/>
        <v>646.48144000000002</v>
      </c>
    </row>
    <row r="41" spans="1:9" ht="60" hidden="1">
      <c r="A41" s="30">
        <v>9</v>
      </c>
      <c r="B41" s="63" t="s">
        <v>78</v>
      </c>
      <c r="C41" s="64" t="s">
        <v>86</v>
      </c>
      <c r="D41" s="63" t="s">
        <v>116</v>
      </c>
      <c r="E41" s="66">
        <v>31.2</v>
      </c>
      <c r="F41" s="66">
        <f>SUM(E41*35/1000)</f>
        <v>1.0920000000000001</v>
      </c>
      <c r="G41" s="66">
        <v>7611.16</v>
      </c>
      <c r="H41" s="67">
        <f t="shared" si="4"/>
        <v>8.3113867199999998</v>
      </c>
      <c r="I41" s="13">
        <f t="shared" si="5"/>
        <v>1385.2311200000001</v>
      </c>
    </row>
    <row r="42" spans="1:9" ht="30" hidden="1">
      <c r="A42" s="30">
        <v>10</v>
      </c>
      <c r="B42" s="63" t="s">
        <v>87</v>
      </c>
      <c r="C42" s="64" t="s">
        <v>86</v>
      </c>
      <c r="D42" s="63" t="s">
        <v>67</v>
      </c>
      <c r="E42" s="66">
        <v>54.4</v>
      </c>
      <c r="F42" s="66">
        <f>SUM(E42*45/1000)</f>
        <v>2.448</v>
      </c>
      <c r="G42" s="66">
        <v>562.25</v>
      </c>
      <c r="H42" s="67">
        <f t="shared" si="4"/>
        <v>1.3763879999999999</v>
      </c>
      <c r="I42" s="13">
        <f>(F42/7.5*1.5)*G42</f>
        <v>275.27759999999995</v>
      </c>
    </row>
    <row r="43" spans="1:9" hidden="1">
      <c r="A43" s="30">
        <v>11</v>
      </c>
      <c r="B43" s="63" t="s">
        <v>68</v>
      </c>
      <c r="C43" s="64" t="s">
        <v>33</v>
      </c>
      <c r="D43" s="63"/>
      <c r="E43" s="65"/>
      <c r="F43" s="66">
        <v>0.9</v>
      </c>
      <c r="G43" s="66">
        <v>974.83</v>
      </c>
      <c r="H43" s="67">
        <f t="shared" si="4"/>
        <v>0.8773470000000001</v>
      </c>
      <c r="I43" s="13">
        <f>(F43/7.5*1.5)*G43</f>
        <v>175.46940000000004</v>
      </c>
    </row>
    <row r="44" spans="1:9" ht="30" hidden="1">
      <c r="A44" s="30">
        <v>12</v>
      </c>
      <c r="B44" s="47" t="s">
        <v>147</v>
      </c>
      <c r="C44" s="49" t="s">
        <v>29</v>
      </c>
      <c r="D44" s="63" t="s">
        <v>148</v>
      </c>
      <c r="E44" s="65">
        <v>3</v>
      </c>
      <c r="F44" s="66">
        <f>SUM(E44*12/1000)</f>
        <v>3.5999999999999997E-2</v>
      </c>
      <c r="G44" s="66">
        <v>260.2</v>
      </c>
      <c r="H44" s="67">
        <f t="shared" si="4"/>
        <v>9.3671999999999991E-3</v>
      </c>
      <c r="I44" s="13">
        <f t="shared" si="5"/>
        <v>1.5611999999999997</v>
      </c>
    </row>
    <row r="45" spans="1:9">
      <c r="A45" s="185" t="s">
        <v>128</v>
      </c>
      <c r="B45" s="186"/>
      <c r="C45" s="186"/>
      <c r="D45" s="186"/>
      <c r="E45" s="186"/>
      <c r="F45" s="186"/>
      <c r="G45" s="186"/>
      <c r="H45" s="186"/>
      <c r="I45" s="187"/>
    </row>
    <row r="46" spans="1:9" hidden="1">
      <c r="A46" s="30">
        <v>12</v>
      </c>
      <c r="B46" s="63" t="s">
        <v>117</v>
      </c>
      <c r="C46" s="64" t="s">
        <v>86</v>
      </c>
      <c r="D46" s="63" t="s">
        <v>41</v>
      </c>
      <c r="E46" s="65">
        <v>1320.9</v>
      </c>
      <c r="F46" s="66">
        <f>SUM(E46*2/1000)</f>
        <v>2.6418000000000004</v>
      </c>
      <c r="G46" s="35">
        <v>1114.1300000000001</v>
      </c>
      <c r="H46" s="67">
        <f t="shared" ref="H46:H54" si="6">SUM(F46*G46/1000)</f>
        <v>2.943308634000001</v>
      </c>
      <c r="I46" s="13">
        <f>2.6418/2*G46</f>
        <v>1471.654317</v>
      </c>
    </row>
    <row r="47" spans="1:9" hidden="1">
      <c r="A47" s="30">
        <v>13</v>
      </c>
      <c r="B47" s="63" t="s">
        <v>34</v>
      </c>
      <c r="C47" s="64" t="s">
        <v>86</v>
      </c>
      <c r="D47" s="63" t="s">
        <v>41</v>
      </c>
      <c r="E47" s="65">
        <v>52</v>
      </c>
      <c r="F47" s="66">
        <f>E47*2/1000</f>
        <v>0.104</v>
      </c>
      <c r="G47" s="35">
        <v>4419.05</v>
      </c>
      <c r="H47" s="67">
        <f t="shared" si="6"/>
        <v>0.45958120000000002</v>
      </c>
      <c r="I47" s="13">
        <f>0.104/2*G47</f>
        <v>229.79060000000001</v>
      </c>
    </row>
    <row r="48" spans="1:9" ht="30" hidden="1">
      <c r="A48" s="30">
        <v>14</v>
      </c>
      <c r="B48" s="63" t="s">
        <v>35</v>
      </c>
      <c r="C48" s="64" t="s">
        <v>86</v>
      </c>
      <c r="D48" s="63" t="s">
        <v>41</v>
      </c>
      <c r="E48" s="65">
        <v>1520.8</v>
      </c>
      <c r="F48" s="66">
        <f>SUM(E48*2/1000)</f>
        <v>3.0415999999999999</v>
      </c>
      <c r="G48" s="35">
        <v>1803.69</v>
      </c>
      <c r="H48" s="67">
        <f t="shared" si="6"/>
        <v>5.4861035039999999</v>
      </c>
      <c r="I48" s="13">
        <f>3.0416/2*G48</f>
        <v>2743.0517519999999</v>
      </c>
    </row>
    <row r="49" spans="1:9" hidden="1">
      <c r="A49" s="30">
        <v>15</v>
      </c>
      <c r="B49" s="63" t="s">
        <v>36</v>
      </c>
      <c r="C49" s="64" t="s">
        <v>86</v>
      </c>
      <c r="D49" s="63" t="s">
        <v>41</v>
      </c>
      <c r="E49" s="65">
        <v>3433.81</v>
      </c>
      <c r="F49" s="66">
        <f>SUM(E49*2/1000)</f>
        <v>6.8676199999999996</v>
      </c>
      <c r="G49" s="35">
        <v>1243.43</v>
      </c>
      <c r="H49" s="67">
        <f t="shared" si="6"/>
        <v>8.5394047365999999</v>
      </c>
      <c r="I49" s="13">
        <f>6.86762/2*G49</f>
        <v>4269.7023682999998</v>
      </c>
    </row>
    <row r="50" spans="1:9" hidden="1">
      <c r="A50" s="30">
        <v>16</v>
      </c>
      <c r="B50" s="63" t="s">
        <v>54</v>
      </c>
      <c r="C50" s="64" t="s">
        <v>86</v>
      </c>
      <c r="D50" s="63" t="s">
        <v>133</v>
      </c>
      <c r="E50" s="65">
        <v>4731.7</v>
      </c>
      <c r="F50" s="66">
        <f>SUM(E50*5/1000)</f>
        <v>23.6585</v>
      </c>
      <c r="G50" s="35">
        <v>1803.69</v>
      </c>
      <c r="H50" s="67">
        <f t="shared" si="6"/>
        <v>42.672599865000002</v>
      </c>
      <c r="I50" s="13">
        <f>F50/5*G50</f>
        <v>8534.5199730000004</v>
      </c>
    </row>
    <row r="51" spans="1:9" ht="34.5" customHeight="1">
      <c r="A51" s="30">
        <v>10</v>
      </c>
      <c r="B51" s="63" t="s">
        <v>88</v>
      </c>
      <c r="C51" s="64" t="s">
        <v>86</v>
      </c>
      <c r="D51" s="63" t="s">
        <v>41</v>
      </c>
      <c r="E51" s="65">
        <v>4731.7</v>
      </c>
      <c r="F51" s="66">
        <f>SUM(E51*2/1000)</f>
        <v>9.4634</v>
      </c>
      <c r="G51" s="35">
        <v>1591.6</v>
      </c>
      <c r="H51" s="67">
        <f t="shared" si="6"/>
        <v>15.061947439999999</v>
      </c>
      <c r="I51" s="13">
        <f>9.4634/2*G51</f>
        <v>7530.97372</v>
      </c>
    </row>
    <row r="52" spans="1:9" ht="33.75" customHeight="1">
      <c r="A52" s="30">
        <v>11</v>
      </c>
      <c r="B52" s="63" t="s">
        <v>89</v>
      </c>
      <c r="C52" s="64" t="s">
        <v>37</v>
      </c>
      <c r="D52" s="63" t="s">
        <v>41</v>
      </c>
      <c r="E52" s="65">
        <v>20</v>
      </c>
      <c r="F52" s="66">
        <f>SUM(E52*2/100)</f>
        <v>0.4</v>
      </c>
      <c r="G52" s="35">
        <v>4058.32</v>
      </c>
      <c r="H52" s="67">
        <f>SUM(F52*G52/1000)</f>
        <v>1.6233280000000001</v>
      </c>
      <c r="I52" s="13">
        <f>0.4/2*G52</f>
        <v>811.6640000000001</v>
      </c>
    </row>
    <row r="53" spans="1:9" ht="16.5" customHeight="1">
      <c r="A53" s="30">
        <v>12</v>
      </c>
      <c r="B53" s="63" t="s">
        <v>38</v>
      </c>
      <c r="C53" s="64" t="s">
        <v>39</v>
      </c>
      <c r="D53" s="63" t="s">
        <v>41</v>
      </c>
      <c r="E53" s="65">
        <v>1</v>
      </c>
      <c r="F53" s="66">
        <v>0.02</v>
      </c>
      <c r="G53" s="35">
        <v>7412.92</v>
      </c>
      <c r="H53" s="67">
        <f t="shared" si="6"/>
        <v>0.14825839999999998</v>
      </c>
      <c r="I53" s="13">
        <f>0.02/2*G53</f>
        <v>74.129199999999997</v>
      </c>
    </row>
    <row r="54" spans="1:9" hidden="1">
      <c r="A54" s="30">
        <v>10</v>
      </c>
      <c r="B54" s="63" t="s">
        <v>40</v>
      </c>
      <c r="C54" s="64" t="s">
        <v>101</v>
      </c>
      <c r="D54" s="63" t="s">
        <v>52</v>
      </c>
      <c r="E54" s="65">
        <v>160</v>
      </c>
      <c r="F54" s="66">
        <f>SUM(E54)</f>
        <v>160</v>
      </c>
      <c r="G54" s="124">
        <v>86.15</v>
      </c>
      <c r="H54" s="67">
        <f t="shared" si="6"/>
        <v>13.784000000000001</v>
      </c>
      <c r="I54" s="13">
        <f>G54*160</f>
        <v>13784</v>
      </c>
    </row>
    <row r="55" spans="1:9">
      <c r="A55" s="185" t="s">
        <v>129</v>
      </c>
      <c r="B55" s="186"/>
      <c r="C55" s="186"/>
      <c r="D55" s="186"/>
      <c r="E55" s="186"/>
      <c r="F55" s="186"/>
      <c r="G55" s="186"/>
      <c r="H55" s="186"/>
      <c r="I55" s="187"/>
    </row>
    <row r="56" spans="1:9" hidden="1">
      <c r="A56" s="30"/>
      <c r="B56" s="83" t="s">
        <v>42</v>
      </c>
      <c r="C56" s="64"/>
      <c r="D56" s="63"/>
      <c r="E56" s="65"/>
      <c r="F56" s="66"/>
      <c r="G56" s="66"/>
      <c r="H56" s="67"/>
      <c r="I56" s="13"/>
    </row>
    <row r="57" spans="1:9" ht="45" hidden="1">
      <c r="A57" s="30">
        <v>14</v>
      </c>
      <c r="B57" s="63" t="s">
        <v>118</v>
      </c>
      <c r="C57" s="64" t="s">
        <v>84</v>
      </c>
      <c r="D57" s="63" t="s">
        <v>102</v>
      </c>
      <c r="E57" s="65">
        <v>107.21</v>
      </c>
      <c r="F57" s="66">
        <f>SUM(E57*6/100)</f>
        <v>6.4325999999999999</v>
      </c>
      <c r="G57" s="13">
        <v>2029.3</v>
      </c>
      <c r="H57" s="67">
        <f>SUM(F57*G57/1000)</f>
        <v>13.053675180000001</v>
      </c>
      <c r="I57" s="13">
        <f>F57/6*G57</f>
        <v>2175.6125299999999</v>
      </c>
    </row>
    <row r="58" spans="1:9" hidden="1">
      <c r="A58" s="30">
        <v>14</v>
      </c>
      <c r="B58" s="72" t="s">
        <v>120</v>
      </c>
      <c r="C58" s="73" t="s">
        <v>121</v>
      </c>
      <c r="D58" s="72" t="s">
        <v>41</v>
      </c>
      <c r="E58" s="74">
        <v>4</v>
      </c>
      <c r="F58" s="75">
        <v>0.8</v>
      </c>
      <c r="G58" s="13">
        <v>237.1</v>
      </c>
      <c r="H58" s="67">
        <f t="shared" ref="H58:H59" si="7">SUM(F58*G58/1000)</f>
        <v>0.18968000000000002</v>
      </c>
      <c r="I58" s="13">
        <f>F58/2*G58</f>
        <v>94.84</v>
      </c>
    </row>
    <row r="59" spans="1:9" hidden="1">
      <c r="A59" s="30">
        <v>15</v>
      </c>
      <c r="B59" s="63" t="s">
        <v>119</v>
      </c>
      <c r="C59" s="64" t="s">
        <v>84</v>
      </c>
      <c r="D59" s="63" t="s">
        <v>102</v>
      </c>
      <c r="E59" s="65">
        <v>3.8</v>
      </c>
      <c r="F59" s="66">
        <f>SUM(E59*6/100)</f>
        <v>0.22799999999999998</v>
      </c>
      <c r="G59" s="13">
        <v>2029.3</v>
      </c>
      <c r="H59" s="67">
        <f t="shared" si="7"/>
        <v>0.46268039999999994</v>
      </c>
      <c r="I59" s="13">
        <f>F59/6*G59</f>
        <v>77.113399999999999</v>
      </c>
    </row>
    <row r="60" spans="1:9" hidden="1">
      <c r="A60" s="30">
        <v>11</v>
      </c>
      <c r="B60" s="63" t="s">
        <v>149</v>
      </c>
      <c r="C60" s="64" t="s">
        <v>150</v>
      </c>
      <c r="D60" s="63" t="s">
        <v>65</v>
      </c>
      <c r="E60" s="65"/>
      <c r="F60" s="66">
        <v>3</v>
      </c>
      <c r="G60" s="13">
        <v>1582.05</v>
      </c>
      <c r="H60" s="67">
        <f>SUM(F60*G60/1000)</f>
        <v>4.7461499999999992</v>
      </c>
      <c r="I60" s="13">
        <f>G60*10</f>
        <v>15820.5</v>
      </c>
    </row>
    <row r="61" spans="1:9" ht="16.5" customHeight="1">
      <c r="A61" s="30"/>
      <c r="B61" s="84" t="s">
        <v>43</v>
      </c>
      <c r="C61" s="73"/>
      <c r="D61" s="72"/>
      <c r="E61" s="74"/>
      <c r="F61" s="75"/>
      <c r="G61" s="13"/>
      <c r="H61" s="76"/>
      <c r="I61" s="13"/>
    </row>
    <row r="62" spans="1:9" hidden="1">
      <c r="A62" s="30">
        <v>18</v>
      </c>
      <c r="B62" s="72" t="s">
        <v>151</v>
      </c>
      <c r="C62" s="73" t="s">
        <v>51</v>
      </c>
      <c r="D62" s="72" t="s">
        <v>52</v>
      </c>
      <c r="E62" s="74">
        <v>660.45</v>
      </c>
      <c r="F62" s="75">
        <f>E62/100</f>
        <v>6.6045000000000007</v>
      </c>
      <c r="G62" s="13">
        <v>1040.8399999999999</v>
      </c>
      <c r="H62" s="76">
        <f>F62*G62/1000</f>
        <v>6.87422778</v>
      </c>
      <c r="I62" s="13">
        <f>G62*(1.2/100)</f>
        <v>12.490079999999999</v>
      </c>
    </row>
    <row r="63" spans="1:9" ht="17.25" customHeight="1">
      <c r="A63" s="30">
        <v>13</v>
      </c>
      <c r="B63" s="72" t="s">
        <v>112</v>
      </c>
      <c r="C63" s="73" t="s">
        <v>25</v>
      </c>
      <c r="D63" s="72" t="s">
        <v>30</v>
      </c>
      <c r="E63" s="74">
        <v>200</v>
      </c>
      <c r="F63" s="77">
        <f>E63*12</f>
        <v>2400</v>
      </c>
      <c r="G63" s="57">
        <v>2.8</v>
      </c>
      <c r="H63" s="75">
        <f>F63*G63/1000</f>
        <v>6.72</v>
      </c>
      <c r="I63" s="13">
        <f>2856/12*G63</f>
        <v>666.4</v>
      </c>
    </row>
    <row r="64" spans="1:9" ht="15.75" customHeight="1">
      <c r="A64" s="30"/>
      <c r="B64" s="84" t="s">
        <v>44</v>
      </c>
      <c r="C64" s="73"/>
      <c r="D64" s="72"/>
      <c r="E64" s="74"/>
      <c r="F64" s="77"/>
      <c r="G64" s="77"/>
      <c r="H64" s="75" t="s">
        <v>122</v>
      </c>
      <c r="I64" s="13"/>
    </row>
    <row r="65" spans="1:9" ht="15" customHeight="1">
      <c r="A65" s="30">
        <v>14</v>
      </c>
      <c r="B65" s="14" t="s">
        <v>45</v>
      </c>
      <c r="C65" s="16" t="s">
        <v>101</v>
      </c>
      <c r="D65" s="44" t="s">
        <v>65</v>
      </c>
      <c r="E65" s="18">
        <v>10</v>
      </c>
      <c r="F65" s="66">
        <f>SUM(E65)</f>
        <v>10</v>
      </c>
      <c r="G65" s="13">
        <v>291.68</v>
      </c>
      <c r="H65" s="78">
        <f t="shared" ref="H65:H83" si="8">SUM(F65*G65/1000)</f>
        <v>2.9168000000000003</v>
      </c>
      <c r="I65" s="13">
        <f>G65*4</f>
        <v>1166.72</v>
      </c>
    </row>
    <row r="66" spans="1:9" hidden="1">
      <c r="A66" s="30"/>
      <c r="B66" s="14" t="s">
        <v>46</v>
      </c>
      <c r="C66" s="16" t="s">
        <v>101</v>
      </c>
      <c r="D66" s="14" t="s">
        <v>65</v>
      </c>
      <c r="E66" s="18">
        <v>9</v>
      </c>
      <c r="F66" s="66">
        <f>SUM(E66)</f>
        <v>9</v>
      </c>
      <c r="G66" s="13">
        <v>100.01</v>
      </c>
      <c r="H66" s="78">
        <f t="shared" si="8"/>
        <v>0.90009000000000006</v>
      </c>
      <c r="I66" s="13">
        <v>0</v>
      </c>
    </row>
    <row r="67" spans="1:9" hidden="1">
      <c r="A67" s="30">
        <v>16</v>
      </c>
      <c r="B67" s="14" t="s">
        <v>47</v>
      </c>
      <c r="C67" s="16" t="s">
        <v>103</v>
      </c>
      <c r="D67" s="14" t="s">
        <v>52</v>
      </c>
      <c r="E67" s="65">
        <v>19836</v>
      </c>
      <c r="F67" s="13">
        <f>SUM(E67/100)</f>
        <v>198.36</v>
      </c>
      <c r="G67" s="13">
        <v>278.24</v>
      </c>
      <c r="H67" s="78">
        <f t="shared" si="8"/>
        <v>55.191686400000009</v>
      </c>
      <c r="I67" s="13">
        <f>F67*G67</f>
        <v>55191.686400000006</v>
      </c>
    </row>
    <row r="68" spans="1:9" ht="30" hidden="1">
      <c r="A68" s="30">
        <v>27</v>
      </c>
      <c r="B68" s="14" t="s">
        <v>48</v>
      </c>
      <c r="C68" s="16" t="s">
        <v>104</v>
      </c>
      <c r="D68" s="14"/>
      <c r="E68" s="65">
        <v>19836</v>
      </c>
      <c r="F68" s="13">
        <f>SUM(E68/1000)</f>
        <v>19.835999999999999</v>
      </c>
      <c r="G68" s="13">
        <v>216.68</v>
      </c>
      <c r="H68" s="78">
        <f t="shared" si="8"/>
        <v>4.2980644799999999</v>
      </c>
      <c r="I68" s="13">
        <f t="shared" ref="I68:I72" si="9">F68*G68</f>
        <v>4298.06448</v>
      </c>
    </row>
    <row r="69" spans="1:9" hidden="1">
      <c r="A69" s="30">
        <v>28</v>
      </c>
      <c r="B69" s="14" t="s">
        <v>49</v>
      </c>
      <c r="C69" s="16" t="s">
        <v>73</v>
      </c>
      <c r="D69" s="14" t="s">
        <v>52</v>
      </c>
      <c r="E69" s="65">
        <v>3155</v>
      </c>
      <c r="F69" s="13">
        <f>SUM(E69/100)</f>
        <v>31.55</v>
      </c>
      <c r="G69" s="13">
        <v>2720.94</v>
      </c>
      <c r="H69" s="78">
        <f t="shared" si="8"/>
        <v>85.845657000000003</v>
      </c>
      <c r="I69" s="13">
        <f t="shared" si="9"/>
        <v>85845.657000000007</v>
      </c>
    </row>
    <row r="70" spans="1:9" hidden="1">
      <c r="A70" s="30">
        <v>29</v>
      </c>
      <c r="B70" s="79" t="s">
        <v>105</v>
      </c>
      <c r="C70" s="16" t="s">
        <v>33</v>
      </c>
      <c r="D70" s="14"/>
      <c r="E70" s="65">
        <v>34.5</v>
      </c>
      <c r="F70" s="13">
        <f>SUM(E70)</f>
        <v>34.5</v>
      </c>
      <c r="G70" s="13">
        <v>44.31</v>
      </c>
      <c r="H70" s="78">
        <f t="shared" si="8"/>
        <v>1.5286950000000001</v>
      </c>
      <c r="I70" s="13">
        <f t="shared" si="9"/>
        <v>1528.6950000000002</v>
      </c>
    </row>
    <row r="71" spans="1:9" ht="30" hidden="1">
      <c r="A71" s="30">
        <v>30</v>
      </c>
      <c r="B71" s="79" t="s">
        <v>106</v>
      </c>
      <c r="C71" s="16" t="s">
        <v>33</v>
      </c>
      <c r="D71" s="14"/>
      <c r="E71" s="65">
        <v>34.5</v>
      </c>
      <c r="F71" s="13">
        <f t="shared" ref="F71:F72" si="10">SUM(E71)</f>
        <v>34.5</v>
      </c>
      <c r="G71" s="13">
        <v>47.79</v>
      </c>
      <c r="H71" s="78">
        <f t="shared" si="8"/>
        <v>1.648755</v>
      </c>
      <c r="I71" s="13">
        <f t="shared" si="9"/>
        <v>1648.7549999999999</v>
      </c>
    </row>
    <row r="72" spans="1:9" ht="30" hidden="1">
      <c r="A72" s="30">
        <v>19</v>
      </c>
      <c r="B72" s="14" t="s">
        <v>55</v>
      </c>
      <c r="C72" s="16" t="s">
        <v>56</v>
      </c>
      <c r="D72" s="14" t="s">
        <v>52</v>
      </c>
      <c r="E72" s="18">
        <v>5</v>
      </c>
      <c r="F72" s="13">
        <f t="shared" si="10"/>
        <v>5</v>
      </c>
      <c r="G72" s="13">
        <v>65.42</v>
      </c>
      <c r="H72" s="78">
        <f t="shared" si="8"/>
        <v>0.3271</v>
      </c>
      <c r="I72" s="13">
        <f t="shared" si="9"/>
        <v>327.10000000000002</v>
      </c>
    </row>
    <row r="73" spans="1:9" ht="15.75" customHeight="1">
      <c r="A73" s="30"/>
      <c r="B73" s="102" t="s">
        <v>152</v>
      </c>
      <c r="C73" s="49"/>
      <c r="D73" s="14"/>
      <c r="E73" s="18"/>
      <c r="F73" s="13"/>
      <c r="G73" s="13"/>
      <c r="H73" s="78"/>
      <c r="I73" s="13"/>
    </row>
    <row r="74" spans="1:9" ht="30" customHeight="1">
      <c r="A74" s="30">
        <v>15</v>
      </c>
      <c r="B74" s="14" t="s">
        <v>153</v>
      </c>
      <c r="C74" s="30" t="s">
        <v>154</v>
      </c>
      <c r="D74" s="44" t="s">
        <v>65</v>
      </c>
      <c r="E74" s="18">
        <v>4731.7</v>
      </c>
      <c r="F74" s="13">
        <f>SUM(E74*12)</f>
        <v>56780.399999999994</v>
      </c>
      <c r="G74" s="13">
        <v>2.2799999999999998</v>
      </c>
      <c r="H74" s="78">
        <f t="shared" ref="H74" si="11">SUM(F74*G74/1000)</f>
        <v>129.45931199999998</v>
      </c>
      <c r="I74" s="13">
        <f>F74/12*G74</f>
        <v>10788.275999999998</v>
      </c>
    </row>
    <row r="75" spans="1:9" ht="15" customHeight="1">
      <c r="A75" s="30"/>
      <c r="B75" s="157" t="s">
        <v>69</v>
      </c>
      <c r="C75" s="16"/>
      <c r="D75" s="14"/>
      <c r="E75" s="18"/>
      <c r="F75" s="13"/>
      <c r="G75" s="13"/>
      <c r="H75" s="78" t="s">
        <v>122</v>
      </c>
      <c r="I75" s="13"/>
    </row>
    <row r="76" spans="1:9" ht="30" hidden="1">
      <c r="A76" s="30"/>
      <c r="B76" s="14" t="s">
        <v>155</v>
      </c>
      <c r="C76" s="16" t="s">
        <v>101</v>
      </c>
      <c r="D76" s="14" t="s">
        <v>65</v>
      </c>
      <c r="E76" s="18">
        <v>1</v>
      </c>
      <c r="F76" s="13">
        <v>1</v>
      </c>
      <c r="G76" s="13">
        <v>1543.4</v>
      </c>
      <c r="H76" s="78">
        <f t="shared" ref="H76:H79" si="12">SUM(F76*G76/1000)</f>
        <v>1.5434000000000001</v>
      </c>
      <c r="I76" s="13">
        <v>0</v>
      </c>
    </row>
    <row r="77" spans="1:9" hidden="1">
      <c r="A77" s="30">
        <v>19</v>
      </c>
      <c r="B77" s="47" t="s">
        <v>156</v>
      </c>
      <c r="C77" s="49" t="s">
        <v>101</v>
      </c>
      <c r="D77" s="14" t="s">
        <v>65</v>
      </c>
      <c r="E77" s="18">
        <v>4</v>
      </c>
      <c r="F77" s="13">
        <v>1</v>
      </c>
      <c r="G77" s="13">
        <v>130.96</v>
      </c>
      <c r="H77" s="78">
        <f>SUM(F77*G77/1000)</f>
        <v>0.13096000000000002</v>
      </c>
      <c r="I77" s="13">
        <v>0</v>
      </c>
    </row>
    <row r="78" spans="1:9" hidden="1">
      <c r="A78" s="30">
        <v>13</v>
      </c>
      <c r="B78" s="14" t="s">
        <v>70</v>
      </c>
      <c r="C78" s="16" t="s">
        <v>71</v>
      </c>
      <c r="D78" s="44" t="s">
        <v>65</v>
      </c>
      <c r="E78" s="18">
        <v>8</v>
      </c>
      <c r="F78" s="13">
        <f>E78/10</f>
        <v>0.8</v>
      </c>
      <c r="G78" s="13">
        <v>657.87</v>
      </c>
      <c r="H78" s="78">
        <f t="shared" si="12"/>
        <v>0.5262960000000001</v>
      </c>
      <c r="I78" s="13">
        <f>G78*0.2</f>
        <v>131.57400000000001</v>
      </c>
    </row>
    <row r="79" spans="1:9" hidden="1">
      <c r="A79" s="30"/>
      <c r="B79" s="14" t="s">
        <v>157</v>
      </c>
      <c r="C79" s="16" t="s">
        <v>101</v>
      </c>
      <c r="D79" s="14" t="s">
        <v>65</v>
      </c>
      <c r="E79" s="18">
        <v>1</v>
      </c>
      <c r="F79" s="66">
        <f>SUM(E79)</f>
        <v>1</v>
      </c>
      <c r="G79" s="13">
        <v>1118.72</v>
      </c>
      <c r="H79" s="78">
        <f t="shared" si="12"/>
        <v>1.1187199999999999</v>
      </c>
      <c r="I79" s="13">
        <v>0</v>
      </c>
    </row>
    <row r="80" spans="1:9" hidden="1">
      <c r="A80" s="30"/>
      <c r="B80" s="47" t="s">
        <v>158</v>
      </c>
      <c r="C80" s="49" t="s">
        <v>101</v>
      </c>
      <c r="D80" s="14" t="s">
        <v>65</v>
      </c>
      <c r="E80" s="18">
        <v>1</v>
      </c>
      <c r="F80" s="57">
        <v>1</v>
      </c>
      <c r="G80" s="13">
        <v>3757.02</v>
      </c>
      <c r="H80" s="78">
        <f>SUM(F80*G80/1000)</f>
        <v>3.7570199999999998</v>
      </c>
      <c r="I80" s="13">
        <v>0</v>
      </c>
    </row>
    <row r="81" spans="1:9" ht="30.75" customHeight="1">
      <c r="A81" s="30">
        <v>16</v>
      </c>
      <c r="B81" s="47" t="s">
        <v>159</v>
      </c>
      <c r="C81" s="49" t="s">
        <v>101</v>
      </c>
      <c r="D81" s="14" t="s">
        <v>30</v>
      </c>
      <c r="E81" s="99">
        <v>2</v>
      </c>
      <c r="F81" s="77">
        <f>E81*12</f>
        <v>24</v>
      </c>
      <c r="G81" s="100">
        <v>53.42</v>
      </c>
      <c r="H81" s="78">
        <f t="shared" ref="H81" si="13">SUM(F81*G81/1000)</f>
        <v>1.2820799999999999</v>
      </c>
      <c r="I81" s="13">
        <f>G81*2</f>
        <v>106.84</v>
      </c>
    </row>
    <row r="82" spans="1:9" hidden="1">
      <c r="A82" s="30"/>
      <c r="B82" s="81" t="s">
        <v>72</v>
      </c>
      <c r="C82" s="16"/>
      <c r="D82" s="14"/>
      <c r="E82" s="18"/>
      <c r="F82" s="13"/>
      <c r="G82" s="13" t="s">
        <v>122</v>
      </c>
      <c r="H82" s="78" t="s">
        <v>122</v>
      </c>
      <c r="I82" s="13"/>
    </row>
    <row r="83" spans="1:9" hidden="1">
      <c r="A83" s="30"/>
      <c r="B83" s="44" t="s">
        <v>114</v>
      </c>
      <c r="C83" s="16" t="s">
        <v>73</v>
      </c>
      <c r="D83" s="14"/>
      <c r="E83" s="18"/>
      <c r="F83" s="13">
        <v>0.3</v>
      </c>
      <c r="G83" s="13">
        <v>3619.09</v>
      </c>
      <c r="H83" s="78">
        <f t="shared" si="8"/>
        <v>1.0857270000000001</v>
      </c>
      <c r="I83" s="13">
        <v>0</v>
      </c>
    </row>
    <row r="84" spans="1:9" ht="28.5" hidden="1">
      <c r="A84" s="30"/>
      <c r="B84" s="103" t="s">
        <v>90</v>
      </c>
      <c r="C84" s="81"/>
      <c r="D84" s="32"/>
      <c r="E84" s="33"/>
      <c r="F84" s="69"/>
      <c r="G84" s="69"/>
      <c r="H84" s="82">
        <f>SUM(H57:H83)</f>
        <v>323.6067762400001</v>
      </c>
      <c r="I84" s="69"/>
    </row>
    <row r="85" spans="1:9" hidden="1">
      <c r="A85" s="30"/>
      <c r="B85" s="63" t="s">
        <v>107</v>
      </c>
      <c r="C85" s="16"/>
      <c r="D85" s="14"/>
      <c r="E85" s="58"/>
      <c r="F85" s="13">
        <v>1</v>
      </c>
      <c r="G85" s="13">
        <v>20512</v>
      </c>
      <c r="H85" s="78">
        <f>G85*F85/1000</f>
        <v>20.512</v>
      </c>
      <c r="I85" s="13">
        <v>0</v>
      </c>
    </row>
    <row r="86" spans="1:9">
      <c r="A86" s="194" t="s">
        <v>169</v>
      </c>
      <c r="B86" s="195"/>
      <c r="C86" s="195"/>
      <c r="D86" s="195"/>
      <c r="E86" s="195"/>
      <c r="F86" s="195"/>
      <c r="G86" s="195"/>
      <c r="H86" s="195"/>
      <c r="I86" s="196"/>
    </row>
    <row r="87" spans="1:9" ht="15" customHeight="1">
      <c r="A87" s="30">
        <v>17</v>
      </c>
      <c r="B87" s="63" t="s">
        <v>108</v>
      </c>
      <c r="C87" s="16" t="s">
        <v>53</v>
      </c>
      <c r="D87" s="101"/>
      <c r="E87" s="13">
        <v>4731.7</v>
      </c>
      <c r="F87" s="13">
        <f>SUM(E87*12)</f>
        <v>56780.399999999994</v>
      </c>
      <c r="G87" s="13">
        <v>3.1</v>
      </c>
      <c r="H87" s="78">
        <f>SUM(F87*G87/1000)</f>
        <v>176.01924</v>
      </c>
      <c r="I87" s="13">
        <f>F87/12*G87</f>
        <v>14668.27</v>
      </c>
    </row>
    <row r="88" spans="1:9" ht="30.75" customHeight="1">
      <c r="A88" s="30">
        <v>18</v>
      </c>
      <c r="B88" s="14" t="s">
        <v>74</v>
      </c>
      <c r="C88" s="16"/>
      <c r="D88" s="44"/>
      <c r="E88" s="65">
        <f>E87</f>
        <v>4731.7</v>
      </c>
      <c r="F88" s="13">
        <f>E88*12</f>
        <v>56780.399999999994</v>
      </c>
      <c r="G88" s="13">
        <v>3.5</v>
      </c>
      <c r="H88" s="78">
        <f>F88*G88/1000</f>
        <v>198.73139999999995</v>
      </c>
      <c r="I88" s="13">
        <f>F88/12*G88</f>
        <v>16560.95</v>
      </c>
    </row>
    <row r="89" spans="1:9">
      <c r="A89" s="30"/>
      <c r="B89" s="37" t="s">
        <v>76</v>
      </c>
      <c r="C89" s="81"/>
      <c r="D89" s="80"/>
      <c r="E89" s="69"/>
      <c r="F89" s="69"/>
      <c r="G89" s="69"/>
      <c r="H89" s="82">
        <f>H88</f>
        <v>198.73139999999995</v>
      </c>
      <c r="I89" s="69">
        <f>I88+I87+I81+I74+I65+I63+I53+I52+I51+I34+I33+I31+I30+I27+I26+I18+I17+I16</f>
        <v>90936.224341111112</v>
      </c>
    </row>
    <row r="90" spans="1:9">
      <c r="A90" s="191" t="s">
        <v>58</v>
      </c>
      <c r="B90" s="192"/>
      <c r="C90" s="192"/>
      <c r="D90" s="192"/>
      <c r="E90" s="192"/>
      <c r="F90" s="192"/>
      <c r="G90" s="192"/>
      <c r="H90" s="192"/>
      <c r="I90" s="193"/>
    </row>
    <row r="91" spans="1:9" ht="33" customHeight="1">
      <c r="A91" s="30" t="s">
        <v>274</v>
      </c>
      <c r="B91" s="47" t="s">
        <v>124</v>
      </c>
      <c r="C91" s="49" t="s">
        <v>101</v>
      </c>
      <c r="D91" s="44"/>
      <c r="E91" s="35"/>
      <c r="F91" s="35"/>
      <c r="G91" s="35">
        <v>55.55</v>
      </c>
      <c r="H91" s="35"/>
      <c r="I91" s="13">
        <f>G91*80</f>
        <v>4444</v>
      </c>
    </row>
    <row r="92" spans="1:9" ht="36.75" customHeight="1">
      <c r="A92" s="30">
        <v>20</v>
      </c>
      <c r="B92" s="47" t="s">
        <v>262</v>
      </c>
      <c r="C92" s="49" t="s">
        <v>127</v>
      </c>
      <c r="D92" s="16" t="s">
        <v>264</v>
      </c>
      <c r="E92" s="35"/>
      <c r="F92" s="35"/>
      <c r="G92" s="35">
        <v>1206</v>
      </c>
      <c r="H92" s="35"/>
      <c r="I92" s="13">
        <f>G92*12</f>
        <v>14472</v>
      </c>
    </row>
    <row r="93" spans="1:9" ht="36.75" customHeight="1">
      <c r="A93" s="30">
        <v>21</v>
      </c>
      <c r="B93" s="47" t="s">
        <v>263</v>
      </c>
      <c r="C93" s="49" t="s">
        <v>127</v>
      </c>
      <c r="D93" s="16" t="s">
        <v>265</v>
      </c>
      <c r="E93" s="35"/>
      <c r="F93" s="35"/>
      <c r="G93" s="35">
        <v>1146</v>
      </c>
      <c r="H93" s="35"/>
      <c r="I93" s="13">
        <f>G93*1.5</f>
        <v>1719</v>
      </c>
    </row>
    <row r="94" spans="1:9">
      <c r="A94" s="30">
        <v>22</v>
      </c>
      <c r="B94" s="47" t="s">
        <v>190</v>
      </c>
      <c r="C94" s="49" t="s">
        <v>101</v>
      </c>
      <c r="D94" s="16"/>
      <c r="E94" s="35"/>
      <c r="F94" s="35"/>
      <c r="G94" s="35">
        <v>95.25</v>
      </c>
      <c r="H94" s="35"/>
      <c r="I94" s="13">
        <f>G94*4</f>
        <v>381</v>
      </c>
    </row>
    <row r="95" spans="1:9">
      <c r="A95" s="30">
        <v>23</v>
      </c>
      <c r="B95" s="47" t="s">
        <v>266</v>
      </c>
      <c r="C95" s="49" t="s">
        <v>101</v>
      </c>
      <c r="D95" s="44"/>
      <c r="E95" s="35"/>
      <c r="F95" s="35"/>
      <c r="G95" s="35">
        <v>5.42</v>
      </c>
      <c r="H95" s="35"/>
      <c r="I95" s="13">
        <f>G95*5</f>
        <v>27.1</v>
      </c>
    </row>
    <row r="96" spans="1:9">
      <c r="A96" s="30">
        <v>24</v>
      </c>
      <c r="B96" s="47" t="s">
        <v>267</v>
      </c>
      <c r="C96" s="49" t="s">
        <v>101</v>
      </c>
      <c r="D96" s="16"/>
      <c r="E96" s="35"/>
      <c r="F96" s="35"/>
      <c r="G96" s="35">
        <v>12.8</v>
      </c>
      <c r="H96" s="35"/>
      <c r="I96" s="13">
        <f>G96*2</f>
        <v>25.6</v>
      </c>
    </row>
    <row r="97" spans="1:9">
      <c r="A97" s="30">
        <v>25</v>
      </c>
      <c r="B97" s="112" t="s">
        <v>170</v>
      </c>
      <c r="C97" s="113" t="s">
        <v>171</v>
      </c>
      <c r="D97" s="44"/>
      <c r="E97" s="35"/>
      <c r="F97" s="35"/>
      <c r="G97" s="13">
        <v>134.12</v>
      </c>
      <c r="H97" s="35"/>
      <c r="I97" s="13">
        <f>G97*5</f>
        <v>670.6</v>
      </c>
    </row>
    <row r="98" spans="1:9" ht="30">
      <c r="A98" s="30">
        <v>26</v>
      </c>
      <c r="B98" s="112" t="s">
        <v>270</v>
      </c>
      <c r="C98" s="113" t="s">
        <v>199</v>
      </c>
      <c r="D98" s="16" t="s">
        <v>271</v>
      </c>
      <c r="E98" s="35"/>
      <c r="F98" s="35"/>
      <c r="G98" s="13">
        <v>802.98</v>
      </c>
      <c r="H98" s="35"/>
      <c r="I98" s="13">
        <f>G98*2</f>
        <v>1605.96</v>
      </c>
    </row>
    <row r="99" spans="1:9">
      <c r="A99" s="30">
        <v>27</v>
      </c>
      <c r="B99" s="112" t="s">
        <v>268</v>
      </c>
      <c r="C99" s="113" t="s">
        <v>269</v>
      </c>
      <c r="D99" s="44"/>
      <c r="E99" s="35"/>
      <c r="F99" s="35"/>
      <c r="G99" s="13">
        <v>689.15</v>
      </c>
      <c r="H99" s="35"/>
      <c r="I99" s="13">
        <f>G99*1.5</f>
        <v>1033.7249999999999</v>
      </c>
    </row>
    <row r="100" spans="1:9" ht="30">
      <c r="A100" s="30">
        <v>28</v>
      </c>
      <c r="B100" s="47" t="s">
        <v>77</v>
      </c>
      <c r="C100" s="49" t="s">
        <v>101</v>
      </c>
      <c r="D100" s="44"/>
      <c r="E100" s="35"/>
      <c r="F100" s="35"/>
      <c r="G100" s="35">
        <v>197.48</v>
      </c>
      <c r="H100" s="35"/>
      <c r="I100" s="13">
        <f>G100*1</f>
        <v>197.48</v>
      </c>
    </row>
    <row r="101" spans="1:9">
      <c r="A101" s="30">
        <v>29</v>
      </c>
      <c r="B101" s="112" t="s">
        <v>272</v>
      </c>
      <c r="C101" s="113" t="s">
        <v>273</v>
      </c>
      <c r="D101" s="44"/>
      <c r="E101" s="35"/>
      <c r="F101" s="35"/>
      <c r="G101" s="35">
        <v>842.69</v>
      </c>
      <c r="H101" s="35"/>
      <c r="I101" s="13">
        <f>G101*1</f>
        <v>842.69</v>
      </c>
    </row>
    <row r="102" spans="1:9">
      <c r="A102" s="30">
        <v>30</v>
      </c>
      <c r="B102" s="112" t="s">
        <v>194</v>
      </c>
      <c r="C102" s="113" t="s">
        <v>101</v>
      </c>
      <c r="D102" s="44"/>
      <c r="E102" s="35"/>
      <c r="F102" s="35"/>
      <c r="G102" s="35">
        <v>196.01</v>
      </c>
      <c r="H102" s="35"/>
      <c r="I102" s="13">
        <f>G102*2</f>
        <v>392.02</v>
      </c>
    </row>
    <row r="103" spans="1:9">
      <c r="A103" s="30">
        <v>31</v>
      </c>
      <c r="B103" s="112" t="s">
        <v>209</v>
      </c>
      <c r="C103" s="113" t="s">
        <v>101</v>
      </c>
      <c r="D103" s="44"/>
      <c r="E103" s="35"/>
      <c r="F103" s="35"/>
      <c r="G103" s="35">
        <v>8.44</v>
      </c>
      <c r="H103" s="35"/>
      <c r="I103" s="13">
        <f>G103*1</f>
        <v>8.44</v>
      </c>
    </row>
    <row r="104" spans="1:9">
      <c r="A104" s="30">
        <v>32</v>
      </c>
      <c r="B104" s="112" t="s">
        <v>255</v>
      </c>
      <c r="C104" s="113" t="s">
        <v>101</v>
      </c>
      <c r="D104" s="44"/>
      <c r="E104" s="35"/>
      <c r="F104" s="35"/>
      <c r="G104" s="35">
        <v>20.350000000000001</v>
      </c>
      <c r="H104" s="35"/>
      <c r="I104" s="13">
        <f>G104*2</f>
        <v>40.700000000000003</v>
      </c>
    </row>
    <row r="105" spans="1:9">
      <c r="A105" s="30">
        <v>33</v>
      </c>
      <c r="B105" s="112" t="s">
        <v>226</v>
      </c>
      <c r="C105" s="113" t="s">
        <v>29</v>
      </c>
      <c r="D105" s="44"/>
      <c r="E105" s="35"/>
      <c r="F105" s="35"/>
      <c r="G105" s="35">
        <v>1158.7</v>
      </c>
      <c r="H105" s="35"/>
      <c r="I105" s="13">
        <f>G105*0.07</f>
        <v>81.109000000000009</v>
      </c>
    </row>
    <row r="106" spans="1:9" ht="45">
      <c r="A106" s="30">
        <v>34</v>
      </c>
      <c r="B106" s="112" t="s">
        <v>227</v>
      </c>
      <c r="C106" s="113" t="s">
        <v>37</v>
      </c>
      <c r="D106" s="44"/>
      <c r="E106" s="35"/>
      <c r="F106" s="35"/>
      <c r="G106" s="35">
        <v>3724.37</v>
      </c>
      <c r="H106" s="35"/>
      <c r="I106" s="13">
        <f>G106*0.01</f>
        <v>37.243699999999997</v>
      </c>
    </row>
    <row r="107" spans="1:9" ht="18.75" customHeight="1">
      <c r="A107" s="30"/>
      <c r="B107" s="32" t="s">
        <v>50</v>
      </c>
      <c r="C107" s="38"/>
      <c r="D107" s="45"/>
      <c r="E107" s="38">
        <v>1</v>
      </c>
      <c r="F107" s="38"/>
      <c r="G107" s="38"/>
      <c r="H107" s="38"/>
      <c r="I107" s="33">
        <f>SUM(I92:I106)</f>
        <v>21534.667699999991</v>
      </c>
    </row>
    <row r="108" spans="1:9">
      <c r="A108" s="30"/>
      <c r="B108" s="44" t="s">
        <v>75</v>
      </c>
      <c r="C108" s="15"/>
      <c r="D108" s="15"/>
      <c r="E108" s="39"/>
      <c r="F108" s="39"/>
      <c r="G108" s="40"/>
      <c r="H108" s="40"/>
      <c r="I108" s="17">
        <v>0</v>
      </c>
    </row>
    <row r="109" spans="1:9">
      <c r="A109" s="46"/>
      <c r="B109" s="43" t="s">
        <v>143</v>
      </c>
      <c r="C109" s="34"/>
      <c r="D109" s="34"/>
      <c r="E109" s="34"/>
      <c r="F109" s="34"/>
      <c r="G109" s="34"/>
      <c r="H109" s="34"/>
      <c r="I109" s="41">
        <f>I89+I107</f>
        <v>112470.8920411111</v>
      </c>
    </row>
    <row r="110" spans="1:9">
      <c r="A110" s="197" t="s">
        <v>275</v>
      </c>
      <c r="B110" s="198"/>
      <c r="C110" s="198"/>
      <c r="D110" s="198"/>
      <c r="E110" s="198"/>
      <c r="F110" s="198"/>
      <c r="G110" s="198"/>
      <c r="H110" s="198"/>
      <c r="I110" s="198"/>
    </row>
    <row r="111" spans="1:9" ht="15.75">
      <c r="A111" s="188" t="s">
        <v>276</v>
      </c>
      <c r="B111" s="188"/>
      <c r="C111" s="188"/>
      <c r="D111" s="188"/>
      <c r="E111" s="188"/>
      <c r="F111" s="188"/>
      <c r="G111" s="188"/>
      <c r="H111" s="188"/>
      <c r="I111" s="188"/>
    </row>
    <row r="112" spans="1:9" ht="15.75">
      <c r="A112" s="56"/>
      <c r="B112" s="189" t="s">
        <v>277</v>
      </c>
      <c r="C112" s="189"/>
      <c r="D112" s="189"/>
      <c r="E112" s="189"/>
      <c r="F112" s="189"/>
      <c r="G112" s="189"/>
      <c r="H112" s="61"/>
      <c r="I112" s="3"/>
    </row>
    <row r="113" spans="1:9">
      <c r="A113" s="154"/>
      <c r="B113" s="179" t="s">
        <v>6</v>
      </c>
      <c r="C113" s="179"/>
      <c r="D113" s="179"/>
      <c r="E113" s="179"/>
      <c r="F113" s="179"/>
      <c r="G113" s="179"/>
      <c r="H113" s="25"/>
      <c r="I113" s="5"/>
    </row>
    <row r="114" spans="1:9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ht="15.75">
      <c r="A115" s="190" t="s">
        <v>7</v>
      </c>
      <c r="B115" s="190"/>
      <c r="C115" s="190"/>
      <c r="D115" s="190"/>
      <c r="E115" s="190"/>
      <c r="F115" s="190"/>
      <c r="G115" s="190"/>
      <c r="H115" s="190"/>
      <c r="I115" s="190"/>
    </row>
    <row r="116" spans="1:9" ht="15.75">
      <c r="A116" s="190" t="s">
        <v>8</v>
      </c>
      <c r="B116" s="190"/>
      <c r="C116" s="190"/>
      <c r="D116" s="190"/>
      <c r="E116" s="190"/>
      <c r="F116" s="190"/>
      <c r="G116" s="190"/>
      <c r="H116" s="190"/>
      <c r="I116" s="190"/>
    </row>
    <row r="117" spans="1:9" ht="15.75">
      <c r="A117" s="183" t="s">
        <v>59</v>
      </c>
      <c r="B117" s="183"/>
      <c r="C117" s="183"/>
      <c r="D117" s="183"/>
      <c r="E117" s="183"/>
      <c r="F117" s="183"/>
      <c r="G117" s="183"/>
      <c r="H117" s="183"/>
      <c r="I117" s="183"/>
    </row>
    <row r="118" spans="1:9" ht="15.75">
      <c r="A118" s="11"/>
    </row>
    <row r="119" spans="1:9" ht="15.75">
      <c r="A119" s="177" t="s">
        <v>9</v>
      </c>
      <c r="B119" s="177"/>
      <c r="C119" s="177"/>
      <c r="D119" s="177"/>
      <c r="E119" s="177"/>
      <c r="F119" s="177"/>
      <c r="G119" s="177"/>
      <c r="H119" s="177"/>
      <c r="I119" s="177"/>
    </row>
    <row r="120" spans="1:9" ht="15.75">
      <c r="A120" s="4"/>
    </row>
    <row r="121" spans="1:9" ht="15.75">
      <c r="B121" s="155" t="s">
        <v>10</v>
      </c>
      <c r="C121" s="178" t="s">
        <v>131</v>
      </c>
      <c r="D121" s="178"/>
      <c r="E121" s="178"/>
      <c r="F121" s="59"/>
      <c r="I121" s="153"/>
    </row>
    <row r="122" spans="1:9">
      <c r="A122" s="154"/>
      <c r="C122" s="179" t="s">
        <v>11</v>
      </c>
      <c r="D122" s="179"/>
      <c r="E122" s="179"/>
      <c r="F122" s="25"/>
      <c r="I122" s="152" t="s">
        <v>12</v>
      </c>
    </row>
    <row r="123" spans="1:9" ht="15.75">
      <c r="A123" s="26"/>
      <c r="C123" s="12"/>
      <c r="D123" s="12"/>
      <c r="G123" s="12"/>
      <c r="H123" s="12"/>
    </row>
    <row r="124" spans="1:9" ht="15.75">
      <c r="B124" s="155" t="s">
        <v>13</v>
      </c>
      <c r="C124" s="180"/>
      <c r="D124" s="180"/>
      <c r="E124" s="180"/>
      <c r="F124" s="60"/>
      <c r="I124" s="153"/>
    </row>
    <row r="125" spans="1:9">
      <c r="A125" s="154"/>
      <c r="C125" s="181" t="s">
        <v>11</v>
      </c>
      <c r="D125" s="181"/>
      <c r="E125" s="181"/>
      <c r="F125" s="154"/>
      <c r="I125" s="152" t="s">
        <v>12</v>
      </c>
    </row>
    <row r="126" spans="1:9" ht="15.75">
      <c r="A126" s="4" t="s">
        <v>14</v>
      </c>
    </row>
    <row r="127" spans="1:9">
      <c r="A127" s="182" t="s">
        <v>15</v>
      </c>
      <c r="B127" s="182"/>
      <c r="C127" s="182"/>
      <c r="D127" s="182"/>
      <c r="E127" s="182"/>
      <c r="F127" s="182"/>
      <c r="G127" s="182"/>
      <c r="H127" s="182"/>
      <c r="I127" s="182"/>
    </row>
    <row r="128" spans="1:9" ht="40.5" customHeight="1">
      <c r="A128" s="176" t="s">
        <v>16</v>
      </c>
      <c r="B128" s="176"/>
      <c r="C128" s="176"/>
      <c r="D128" s="176"/>
      <c r="E128" s="176"/>
      <c r="F128" s="176"/>
      <c r="G128" s="176"/>
      <c r="H128" s="176"/>
      <c r="I128" s="176"/>
    </row>
    <row r="129" spans="1:9" ht="33.75" customHeight="1">
      <c r="A129" s="176" t="s">
        <v>17</v>
      </c>
      <c r="B129" s="176"/>
      <c r="C129" s="176"/>
      <c r="D129" s="176"/>
      <c r="E129" s="176"/>
      <c r="F129" s="176"/>
      <c r="G129" s="176"/>
      <c r="H129" s="176"/>
      <c r="I129" s="176"/>
    </row>
    <row r="130" spans="1:9" ht="36" customHeight="1">
      <c r="A130" s="176" t="s">
        <v>21</v>
      </c>
      <c r="B130" s="176"/>
      <c r="C130" s="176"/>
      <c r="D130" s="176"/>
      <c r="E130" s="176"/>
      <c r="F130" s="176"/>
      <c r="G130" s="176"/>
      <c r="H130" s="176"/>
      <c r="I130" s="176"/>
    </row>
    <row r="131" spans="1:9" ht="15.75">
      <c r="A131" s="176" t="s">
        <v>20</v>
      </c>
      <c r="B131" s="176"/>
      <c r="C131" s="176"/>
      <c r="D131" s="176"/>
      <c r="E131" s="176"/>
      <c r="F131" s="176"/>
      <c r="G131" s="176"/>
      <c r="H131" s="176"/>
      <c r="I131" s="176"/>
    </row>
  </sheetData>
  <mergeCells count="29">
    <mergeCell ref="A90:I90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5:I55"/>
    <mergeCell ref="A86:I86"/>
    <mergeCell ref="C125:E125"/>
    <mergeCell ref="A110:I110"/>
    <mergeCell ref="A111:I111"/>
    <mergeCell ref="B112:G112"/>
    <mergeCell ref="B113:G113"/>
    <mergeCell ref="A115:I115"/>
    <mergeCell ref="A116:I116"/>
    <mergeCell ref="A117:I117"/>
    <mergeCell ref="A119:I119"/>
    <mergeCell ref="C121:E121"/>
    <mergeCell ref="C122:E122"/>
    <mergeCell ref="C124:E124"/>
    <mergeCell ref="A127:I127"/>
    <mergeCell ref="A128:I128"/>
    <mergeCell ref="A129:I129"/>
    <mergeCell ref="A130:I130"/>
    <mergeCell ref="A131:I131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20"/>
  <sheetViews>
    <sheetView workbookViewId="0">
      <selection activeCell="E6" sqref="E1:E1048576"/>
    </sheetView>
  </sheetViews>
  <sheetFormatPr defaultRowHeight="15"/>
  <cols>
    <col min="1" max="1" width="11.28515625" customWidth="1"/>
    <col min="2" max="2" width="45.7109375" customWidth="1"/>
    <col min="3" max="3" width="15.28515625" customWidth="1"/>
    <col min="4" max="4" width="16" customWidth="1"/>
    <col min="5" max="5" width="9.5703125" hidden="1" customWidth="1"/>
    <col min="6" max="6" width="8.140625" hidden="1" customWidth="1"/>
    <col min="7" max="7" width="13.85546875" customWidth="1"/>
    <col min="8" max="8" width="0" hidden="1" customWidth="1"/>
    <col min="9" max="9" width="15" customWidth="1"/>
  </cols>
  <sheetData>
    <row r="1" spans="1:9" ht="15.75">
      <c r="A1" s="28" t="s">
        <v>224</v>
      </c>
      <c r="I1" s="27"/>
    </row>
    <row r="2" spans="1:9" ht="15.75">
      <c r="A2" s="29" t="s">
        <v>60</v>
      </c>
    </row>
    <row r="3" spans="1:9" ht="15.75">
      <c r="A3" s="199" t="s">
        <v>278</v>
      </c>
      <c r="B3" s="199"/>
      <c r="C3" s="199"/>
      <c r="D3" s="199"/>
      <c r="E3" s="199"/>
      <c r="F3" s="199"/>
      <c r="G3" s="199"/>
      <c r="H3" s="199"/>
      <c r="I3" s="199"/>
    </row>
    <row r="4" spans="1:9" ht="31.5" customHeight="1">
      <c r="A4" s="200" t="s">
        <v>245</v>
      </c>
      <c r="B4" s="200"/>
      <c r="C4" s="200"/>
      <c r="D4" s="200"/>
      <c r="E4" s="200"/>
      <c r="F4" s="200"/>
      <c r="G4" s="200"/>
      <c r="H4" s="200"/>
      <c r="I4" s="200"/>
    </row>
    <row r="5" spans="1:9" ht="15.75">
      <c r="A5" s="199" t="s">
        <v>279</v>
      </c>
      <c r="B5" s="201"/>
      <c r="C5" s="201"/>
      <c r="D5" s="201"/>
      <c r="E5" s="201"/>
      <c r="F5" s="201"/>
      <c r="G5" s="201"/>
      <c r="H5" s="201"/>
      <c r="I5" s="201"/>
    </row>
    <row r="6" spans="1:9" ht="15.75">
      <c r="A6" s="2"/>
      <c r="B6" s="159"/>
      <c r="C6" s="159"/>
      <c r="D6" s="159"/>
      <c r="E6" s="159"/>
      <c r="F6" s="159"/>
      <c r="G6" s="159"/>
      <c r="H6" s="159"/>
      <c r="I6" s="31">
        <v>43434</v>
      </c>
    </row>
    <row r="7" spans="1:9" ht="15.75">
      <c r="B7" s="161"/>
      <c r="C7" s="161"/>
      <c r="D7" s="161"/>
      <c r="E7" s="3"/>
      <c r="F7" s="3"/>
      <c r="G7" s="3"/>
      <c r="H7" s="3"/>
    </row>
    <row r="8" spans="1:9" ht="102" customHeight="1">
      <c r="A8" s="202" t="s">
        <v>301</v>
      </c>
      <c r="B8" s="202"/>
      <c r="C8" s="202"/>
      <c r="D8" s="202"/>
      <c r="E8" s="202"/>
      <c r="F8" s="202"/>
      <c r="G8" s="202"/>
      <c r="H8" s="202"/>
      <c r="I8" s="202"/>
    </row>
    <row r="9" spans="1:9" ht="15.75">
      <c r="A9" s="4"/>
    </row>
    <row r="10" spans="1:9" ht="72.75" customHeight="1">
      <c r="A10" s="203" t="s">
        <v>144</v>
      </c>
      <c r="B10" s="203"/>
      <c r="C10" s="203"/>
      <c r="D10" s="203"/>
      <c r="E10" s="203"/>
      <c r="F10" s="203"/>
      <c r="G10" s="203"/>
      <c r="H10" s="203"/>
      <c r="I10" s="203"/>
    </row>
    <row r="11" spans="1:9" ht="15.75">
      <c r="A11" s="4"/>
    </row>
    <row r="12" spans="1:9" ht="83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4" t="s">
        <v>57</v>
      </c>
      <c r="B14" s="204"/>
      <c r="C14" s="204"/>
      <c r="D14" s="204"/>
      <c r="E14" s="204"/>
      <c r="F14" s="204"/>
      <c r="G14" s="204"/>
      <c r="H14" s="204"/>
      <c r="I14" s="204"/>
    </row>
    <row r="15" spans="1:9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</row>
    <row r="16" spans="1:9" ht="18" customHeight="1">
      <c r="A16" s="30">
        <v>1</v>
      </c>
      <c r="B16" s="63" t="s">
        <v>83</v>
      </c>
      <c r="C16" s="64" t="s">
        <v>84</v>
      </c>
      <c r="D16" s="120" t="s">
        <v>186</v>
      </c>
      <c r="E16" s="65">
        <v>143.78</v>
      </c>
      <c r="F16" s="66">
        <f>SUM(E16*156/100)</f>
        <v>224.29679999999999</v>
      </c>
      <c r="G16" s="123">
        <v>230</v>
      </c>
      <c r="H16" s="67">
        <f t="shared" ref="H16:H24" si="0">SUM(F16*G16/1000)</f>
        <v>51.588263999999995</v>
      </c>
      <c r="I16" s="13">
        <f>149.531/12*G16</f>
        <v>2866.0108333333337</v>
      </c>
    </row>
    <row r="17" spans="1:9" ht="31.5" customHeight="1">
      <c r="A17" s="30">
        <v>2</v>
      </c>
      <c r="B17" s="63" t="s">
        <v>109</v>
      </c>
      <c r="C17" s="64" t="s">
        <v>84</v>
      </c>
      <c r="D17" s="120" t="s">
        <v>187</v>
      </c>
      <c r="E17" s="65">
        <v>575.12</v>
      </c>
      <c r="F17" s="66">
        <f>SUM(E17*104/100)</f>
        <v>598.12480000000005</v>
      </c>
      <c r="G17" s="123">
        <v>230</v>
      </c>
      <c r="H17" s="67">
        <f t="shared" si="0"/>
        <v>137.568704</v>
      </c>
      <c r="I17" s="13">
        <f>299.062/12*G17</f>
        <v>5732.0216666666674</v>
      </c>
    </row>
    <row r="18" spans="1:9" ht="30.75" customHeight="1">
      <c r="A18" s="30">
        <v>3</v>
      </c>
      <c r="B18" s="63" t="s">
        <v>110</v>
      </c>
      <c r="C18" s="64" t="s">
        <v>84</v>
      </c>
      <c r="D18" s="120" t="s">
        <v>188</v>
      </c>
      <c r="E18" s="65">
        <v>718.9</v>
      </c>
      <c r="F18" s="66">
        <f>SUM(E18*24/100)</f>
        <v>172.53599999999997</v>
      </c>
      <c r="G18" s="123">
        <v>661.67</v>
      </c>
      <c r="H18" s="67">
        <f t="shared" si="0"/>
        <v>114.16189511999997</v>
      </c>
      <c r="I18" s="13">
        <f>86.268/12*G18</f>
        <v>4756.7456299999994</v>
      </c>
    </row>
    <row r="19" spans="1:9" hidden="1">
      <c r="A19" s="30">
        <v>4</v>
      </c>
      <c r="B19" s="63" t="s">
        <v>91</v>
      </c>
      <c r="C19" s="64" t="s">
        <v>92</v>
      </c>
      <c r="D19" s="120" t="s">
        <v>93</v>
      </c>
      <c r="E19" s="65">
        <v>42.2</v>
      </c>
      <c r="F19" s="66">
        <f>SUM(E19/10)</f>
        <v>4.2200000000000006</v>
      </c>
      <c r="G19" s="123">
        <v>223.17</v>
      </c>
      <c r="H19" s="67">
        <f t="shared" si="0"/>
        <v>0.9417774000000001</v>
      </c>
      <c r="I19" s="13">
        <f>G19*4.22</f>
        <v>941.77739999999994</v>
      </c>
    </row>
    <row r="20" spans="1:9" hidden="1">
      <c r="A20" s="30">
        <v>4</v>
      </c>
      <c r="B20" s="63" t="s">
        <v>94</v>
      </c>
      <c r="C20" s="64" t="s">
        <v>84</v>
      </c>
      <c r="D20" s="120" t="s">
        <v>41</v>
      </c>
      <c r="E20" s="65">
        <v>14</v>
      </c>
      <c r="F20" s="66">
        <f>SUM(E20*2/100)</f>
        <v>0.28000000000000003</v>
      </c>
      <c r="G20" s="123">
        <v>285.76</v>
      </c>
      <c r="H20" s="67">
        <f t="shared" si="0"/>
        <v>8.0012799999999995E-2</v>
      </c>
      <c r="I20" s="13">
        <f>0.28/2*G20</f>
        <v>40.006399999999999</v>
      </c>
    </row>
    <row r="21" spans="1:9" hidden="1">
      <c r="A21" s="30">
        <v>5</v>
      </c>
      <c r="B21" s="63" t="s">
        <v>95</v>
      </c>
      <c r="C21" s="64" t="s">
        <v>84</v>
      </c>
      <c r="D21" s="120" t="s">
        <v>41</v>
      </c>
      <c r="E21" s="65">
        <v>6</v>
      </c>
      <c r="F21" s="66">
        <f>SUM(E21*2/100)</f>
        <v>0.12</v>
      </c>
      <c r="G21" s="123">
        <v>283.44</v>
      </c>
      <c r="H21" s="67">
        <f>SUM(F21*G21/1000)</f>
        <v>3.4012799999999996E-2</v>
      </c>
      <c r="I21" s="13">
        <f>F21/2*G21</f>
        <v>17.006399999999999</v>
      </c>
    </row>
    <row r="22" spans="1:9" hidden="1">
      <c r="A22" s="30">
        <v>7</v>
      </c>
      <c r="B22" s="63" t="s">
        <v>96</v>
      </c>
      <c r="C22" s="64" t="s">
        <v>51</v>
      </c>
      <c r="D22" s="120" t="s">
        <v>93</v>
      </c>
      <c r="E22" s="65">
        <v>640</v>
      </c>
      <c r="F22" s="66">
        <f>SUM(E22/100)</f>
        <v>6.4</v>
      </c>
      <c r="G22" s="123">
        <v>353.14</v>
      </c>
      <c r="H22" s="67">
        <f t="shared" si="0"/>
        <v>2.2600959999999999</v>
      </c>
      <c r="I22" s="13">
        <f t="shared" ref="I22:I25" si="1">F22*G22</f>
        <v>2260.096</v>
      </c>
    </row>
    <row r="23" spans="1:9" hidden="1">
      <c r="A23" s="30">
        <v>8</v>
      </c>
      <c r="B23" s="63" t="s">
        <v>97</v>
      </c>
      <c r="C23" s="64" t="s">
        <v>51</v>
      </c>
      <c r="D23" s="120" t="s">
        <v>93</v>
      </c>
      <c r="E23" s="68">
        <v>49</v>
      </c>
      <c r="F23" s="66">
        <f>SUM(E23/100)</f>
        <v>0.49</v>
      </c>
      <c r="G23" s="123">
        <v>58.08</v>
      </c>
      <c r="H23" s="67">
        <f t="shared" si="0"/>
        <v>2.84592E-2</v>
      </c>
      <c r="I23" s="13">
        <f t="shared" si="1"/>
        <v>28.459199999999999</v>
      </c>
    </row>
    <row r="24" spans="1:9" hidden="1">
      <c r="A24" s="30">
        <v>9</v>
      </c>
      <c r="B24" s="63" t="s">
        <v>98</v>
      </c>
      <c r="C24" s="64" t="s">
        <v>51</v>
      </c>
      <c r="D24" s="120" t="s">
        <v>52</v>
      </c>
      <c r="E24" s="65">
        <v>19</v>
      </c>
      <c r="F24" s="66">
        <f>SUM(E24/100)</f>
        <v>0.19</v>
      </c>
      <c r="G24" s="132">
        <v>683.05</v>
      </c>
      <c r="H24" s="67">
        <f t="shared" si="0"/>
        <v>0.12977949999999999</v>
      </c>
      <c r="I24" s="13">
        <f>0.085*G24</f>
        <v>58.059249999999999</v>
      </c>
    </row>
    <row r="25" spans="1:9" ht="30" hidden="1">
      <c r="A25" s="30">
        <v>10</v>
      </c>
      <c r="B25" s="63" t="s">
        <v>113</v>
      </c>
      <c r="C25" s="64" t="s">
        <v>51</v>
      </c>
      <c r="D25" s="120" t="s">
        <v>52</v>
      </c>
      <c r="E25" s="65">
        <v>19</v>
      </c>
      <c r="F25" s="66">
        <f>E25/100</f>
        <v>0.19</v>
      </c>
      <c r="G25" s="123">
        <v>283.44</v>
      </c>
      <c r="H25" s="67">
        <f>G25*F25/1000</f>
        <v>5.3853600000000001E-2</v>
      </c>
      <c r="I25" s="13">
        <f t="shared" si="1"/>
        <v>53.8536</v>
      </c>
    </row>
    <row r="26" spans="1:9" ht="17.25" customHeight="1">
      <c r="A26" s="30">
        <v>4</v>
      </c>
      <c r="B26" s="63" t="s">
        <v>62</v>
      </c>
      <c r="C26" s="64" t="s">
        <v>33</v>
      </c>
      <c r="D26" s="63" t="s">
        <v>160</v>
      </c>
      <c r="E26" s="65">
        <v>0.1</v>
      </c>
      <c r="F26" s="66">
        <f>SUM(E26*182)</f>
        <v>18.2</v>
      </c>
      <c r="G26" s="66">
        <v>264.85000000000002</v>
      </c>
      <c r="H26" s="67">
        <f>SUM(F26*G26/1000)</f>
        <v>4.8202700000000007</v>
      </c>
      <c r="I26" s="13">
        <f>F26/12*G26</f>
        <v>401.68916666666667</v>
      </c>
    </row>
    <row r="27" spans="1:9" hidden="1">
      <c r="A27" s="30">
        <v>5</v>
      </c>
      <c r="B27" s="71" t="s">
        <v>23</v>
      </c>
      <c r="C27" s="64" t="s">
        <v>24</v>
      </c>
      <c r="D27" s="63"/>
      <c r="E27" s="65">
        <v>4731.7</v>
      </c>
      <c r="F27" s="66">
        <f>SUM(E27*12)</f>
        <v>56780.399999999994</v>
      </c>
      <c r="G27" s="66">
        <v>4.5199999999999996</v>
      </c>
      <c r="H27" s="67">
        <f>SUM(F27*G27/1000)</f>
        <v>256.64740799999993</v>
      </c>
      <c r="I27" s="13">
        <f>F27/12*G27</f>
        <v>21387.283999999996</v>
      </c>
    </row>
    <row r="28" spans="1:9" ht="15.75" customHeight="1">
      <c r="A28" s="184" t="s">
        <v>81</v>
      </c>
      <c r="B28" s="184"/>
      <c r="C28" s="184"/>
      <c r="D28" s="184"/>
      <c r="E28" s="184"/>
      <c r="F28" s="184"/>
      <c r="G28" s="184"/>
      <c r="H28" s="184"/>
      <c r="I28" s="184"/>
    </row>
    <row r="29" spans="1:9" ht="33.75" hidden="1" customHeight="1">
      <c r="A29" s="30"/>
      <c r="B29" s="83" t="s">
        <v>28</v>
      </c>
      <c r="C29" s="64"/>
      <c r="D29" s="63"/>
      <c r="E29" s="65"/>
      <c r="F29" s="66"/>
      <c r="G29" s="66"/>
      <c r="H29" s="67"/>
      <c r="I29" s="13"/>
    </row>
    <row r="30" spans="1:9" ht="31.5" hidden="1" customHeight="1">
      <c r="A30" s="30">
        <v>6</v>
      </c>
      <c r="B30" s="63" t="s">
        <v>100</v>
      </c>
      <c r="C30" s="64" t="s">
        <v>86</v>
      </c>
      <c r="D30" s="63" t="s">
        <v>141</v>
      </c>
      <c r="E30" s="66">
        <v>436.6</v>
      </c>
      <c r="F30" s="66">
        <f>SUM(E30*52/1000)</f>
        <v>22.703200000000002</v>
      </c>
      <c r="G30" s="123">
        <v>204.44</v>
      </c>
      <c r="H30" s="67">
        <f t="shared" ref="H30:H36" si="2">SUM(F30*G30/1000)</f>
        <v>4.641442208</v>
      </c>
      <c r="I30" s="13">
        <f>F30/6*G30</f>
        <v>773.57370133333336</v>
      </c>
    </row>
    <row r="31" spans="1:9" ht="25.5" hidden="1" customHeight="1">
      <c r="A31" s="30">
        <v>7</v>
      </c>
      <c r="B31" s="63" t="s">
        <v>111</v>
      </c>
      <c r="C31" s="64" t="s">
        <v>86</v>
      </c>
      <c r="D31" s="63" t="s">
        <v>142</v>
      </c>
      <c r="E31" s="66">
        <v>54.4</v>
      </c>
      <c r="F31" s="66">
        <f>SUM(E31*78/1000)</f>
        <v>4.2431999999999999</v>
      </c>
      <c r="G31" s="123">
        <v>339.21</v>
      </c>
      <c r="H31" s="67">
        <f t="shared" si="2"/>
        <v>1.4393358719999998</v>
      </c>
      <c r="I31" s="13">
        <f t="shared" ref="I31:I34" si="3">F31/6*G31</f>
        <v>239.88931199999996</v>
      </c>
    </row>
    <row r="32" spans="1:9" ht="24.75" hidden="1" customHeight="1">
      <c r="A32" s="30">
        <v>15</v>
      </c>
      <c r="B32" s="63" t="s">
        <v>27</v>
      </c>
      <c r="C32" s="64" t="s">
        <v>86</v>
      </c>
      <c r="D32" s="63" t="s">
        <v>52</v>
      </c>
      <c r="E32" s="66">
        <v>436.6</v>
      </c>
      <c r="F32" s="66">
        <f>SUM(E32/1000)</f>
        <v>0.43660000000000004</v>
      </c>
      <c r="G32" s="123">
        <v>3961.23</v>
      </c>
      <c r="H32" s="67">
        <f t="shared" si="2"/>
        <v>1.7294730180000002</v>
      </c>
      <c r="I32" s="13">
        <f>F32*G32</f>
        <v>1729.4730180000001</v>
      </c>
    </row>
    <row r="33" spans="1:9" ht="24" hidden="1" customHeight="1">
      <c r="A33" s="30">
        <v>8</v>
      </c>
      <c r="B33" s="63" t="s">
        <v>123</v>
      </c>
      <c r="C33" s="64" t="s">
        <v>39</v>
      </c>
      <c r="D33" s="63" t="s">
        <v>61</v>
      </c>
      <c r="E33" s="66">
        <v>4</v>
      </c>
      <c r="F33" s="66">
        <f>E33*155/100</f>
        <v>6.2</v>
      </c>
      <c r="G33" s="123">
        <v>1707.63</v>
      </c>
      <c r="H33" s="67">
        <f>G33*F33/1000</f>
        <v>10.587306</v>
      </c>
      <c r="I33" s="13">
        <f t="shared" si="3"/>
        <v>1764.5510000000004</v>
      </c>
    </row>
    <row r="34" spans="1:9" ht="26.25" hidden="1" customHeight="1">
      <c r="A34" s="30">
        <v>9</v>
      </c>
      <c r="B34" s="63" t="s">
        <v>99</v>
      </c>
      <c r="C34" s="64" t="s">
        <v>31</v>
      </c>
      <c r="D34" s="63" t="s">
        <v>61</v>
      </c>
      <c r="E34" s="70">
        <f>1/3</f>
        <v>0.33333333333333331</v>
      </c>
      <c r="F34" s="66">
        <f>155/3</f>
        <v>51.666666666666664</v>
      </c>
      <c r="G34" s="123">
        <v>74.349999999999994</v>
      </c>
      <c r="H34" s="67">
        <f>SUM(G34*155/3/1000)</f>
        <v>3.8414166666666665</v>
      </c>
      <c r="I34" s="13">
        <f t="shared" si="3"/>
        <v>640.23611111111109</v>
      </c>
    </row>
    <row r="35" spans="1:9" ht="25.5" hidden="1" customHeight="1">
      <c r="A35" s="30"/>
      <c r="B35" s="63" t="s">
        <v>63</v>
      </c>
      <c r="C35" s="64" t="s">
        <v>33</v>
      </c>
      <c r="D35" s="63" t="s">
        <v>65</v>
      </c>
      <c r="E35" s="65"/>
      <c r="F35" s="66">
        <v>2</v>
      </c>
      <c r="G35" s="66">
        <v>250.92</v>
      </c>
      <c r="H35" s="67">
        <f t="shared" si="2"/>
        <v>0.50183999999999995</v>
      </c>
      <c r="I35" s="13">
        <v>0</v>
      </c>
    </row>
    <row r="36" spans="1:9" ht="16.5" hidden="1" customHeight="1">
      <c r="A36" s="30"/>
      <c r="B36" s="63" t="s">
        <v>64</v>
      </c>
      <c r="C36" s="64" t="s">
        <v>32</v>
      </c>
      <c r="D36" s="63" t="s">
        <v>65</v>
      </c>
      <c r="E36" s="65"/>
      <c r="F36" s="66">
        <v>1</v>
      </c>
      <c r="G36" s="66">
        <v>1490.31</v>
      </c>
      <c r="H36" s="67">
        <f t="shared" si="2"/>
        <v>1.49031</v>
      </c>
      <c r="I36" s="13">
        <v>0</v>
      </c>
    </row>
    <row r="37" spans="1:9" ht="15.75" customHeight="1">
      <c r="A37" s="30"/>
      <c r="B37" s="83" t="s">
        <v>5</v>
      </c>
      <c r="C37" s="64"/>
      <c r="D37" s="63"/>
      <c r="E37" s="65"/>
      <c r="F37" s="66"/>
      <c r="G37" s="66"/>
      <c r="H37" s="67" t="s">
        <v>122</v>
      </c>
      <c r="I37" s="13"/>
    </row>
    <row r="38" spans="1:9" ht="15" customHeight="1">
      <c r="A38" s="30">
        <v>5</v>
      </c>
      <c r="B38" s="63" t="s">
        <v>26</v>
      </c>
      <c r="C38" s="64" t="s">
        <v>32</v>
      </c>
      <c r="D38" s="63"/>
      <c r="E38" s="65"/>
      <c r="F38" s="66">
        <v>5</v>
      </c>
      <c r="G38" s="66">
        <v>2003</v>
      </c>
      <c r="H38" s="67">
        <f t="shared" ref="H38:H44" si="4">SUM(F38*G38/1000)</f>
        <v>10.015000000000001</v>
      </c>
      <c r="I38" s="13">
        <f t="shared" ref="I38:I44" si="5">F38/6*G38</f>
        <v>1669.1666666666667</v>
      </c>
    </row>
    <row r="39" spans="1:9" ht="13.5" customHeight="1">
      <c r="A39" s="30">
        <v>6</v>
      </c>
      <c r="B39" s="63" t="s">
        <v>146</v>
      </c>
      <c r="C39" s="64" t="s">
        <v>29</v>
      </c>
      <c r="D39" s="63" t="s">
        <v>115</v>
      </c>
      <c r="E39" s="65">
        <v>54.4</v>
      </c>
      <c r="F39" s="66">
        <f>E39*30/1000</f>
        <v>1.6319999999999999</v>
      </c>
      <c r="G39" s="66">
        <v>2757.78</v>
      </c>
      <c r="H39" s="67">
        <f t="shared" si="4"/>
        <v>4.50069696</v>
      </c>
      <c r="I39" s="13">
        <f t="shared" si="5"/>
        <v>750.11615999999992</v>
      </c>
    </row>
    <row r="40" spans="1:9" ht="33" customHeight="1">
      <c r="A40" s="30">
        <v>7</v>
      </c>
      <c r="B40" s="63" t="s">
        <v>66</v>
      </c>
      <c r="C40" s="64" t="s">
        <v>29</v>
      </c>
      <c r="D40" s="63" t="s">
        <v>85</v>
      </c>
      <c r="E40" s="66">
        <v>54.4</v>
      </c>
      <c r="F40" s="66">
        <f>SUM(E40*155/1000)</f>
        <v>8.4320000000000004</v>
      </c>
      <c r="G40" s="66">
        <v>460.02</v>
      </c>
      <c r="H40" s="67">
        <f t="shared" si="4"/>
        <v>3.87888864</v>
      </c>
      <c r="I40" s="13">
        <f t="shared" si="5"/>
        <v>646.48144000000002</v>
      </c>
    </row>
    <row r="41" spans="1:9" ht="63" customHeight="1">
      <c r="A41" s="30">
        <v>8</v>
      </c>
      <c r="B41" s="63" t="s">
        <v>78</v>
      </c>
      <c r="C41" s="64" t="s">
        <v>86</v>
      </c>
      <c r="D41" s="63" t="s">
        <v>116</v>
      </c>
      <c r="E41" s="66">
        <v>31.2</v>
      </c>
      <c r="F41" s="66">
        <f>SUM(E41*35/1000)</f>
        <v>1.0920000000000001</v>
      </c>
      <c r="G41" s="66">
        <v>7611.16</v>
      </c>
      <c r="H41" s="67">
        <f t="shared" si="4"/>
        <v>8.3113867199999998</v>
      </c>
      <c r="I41" s="13">
        <f t="shared" si="5"/>
        <v>1385.2311200000001</v>
      </c>
    </row>
    <row r="42" spans="1:9" ht="15" customHeight="1">
      <c r="A42" s="30">
        <v>9</v>
      </c>
      <c r="B42" s="63" t="s">
        <v>87</v>
      </c>
      <c r="C42" s="64" t="s">
        <v>86</v>
      </c>
      <c r="D42" s="63"/>
      <c r="E42" s="66">
        <v>54.4</v>
      </c>
      <c r="F42" s="164">
        <f>E42*30/1000</f>
        <v>1.6319999999999999</v>
      </c>
      <c r="G42" s="132">
        <v>562.25</v>
      </c>
      <c r="H42" s="67">
        <f t="shared" si="4"/>
        <v>0.91759199999999996</v>
      </c>
      <c r="I42" s="13">
        <f>E42*3/1000*G42</f>
        <v>91.759199999999993</v>
      </c>
    </row>
    <row r="43" spans="1:9" ht="14.25" customHeight="1">
      <c r="A43" s="30">
        <v>10</v>
      </c>
      <c r="B43" s="63" t="s">
        <v>68</v>
      </c>
      <c r="C43" s="64" t="s">
        <v>33</v>
      </c>
      <c r="D43" s="63"/>
      <c r="E43" s="65"/>
      <c r="F43" s="164">
        <v>0.9</v>
      </c>
      <c r="G43" s="164">
        <v>974.83</v>
      </c>
      <c r="H43" s="67">
        <f t="shared" si="4"/>
        <v>0.8773470000000001</v>
      </c>
      <c r="I43" s="13">
        <f>F43/45*3*G43</f>
        <v>58.489800000000002</v>
      </c>
    </row>
    <row r="44" spans="1:9" ht="36" customHeight="1">
      <c r="A44" s="30">
        <v>11</v>
      </c>
      <c r="B44" s="47" t="s">
        <v>147</v>
      </c>
      <c r="C44" s="49" t="s">
        <v>29</v>
      </c>
      <c r="D44" s="63" t="s">
        <v>148</v>
      </c>
      <c r="E44" s="65">
        <v>3</v>
      </c>
      <c r="F44" s="66">
        <f>SUM(E44*12/1000)</f>
        <v>3.5999999999999997E-2</v>
      </c>
      <c r="G44" s="66">
        <v>260.2</v>
      </c>
      <c r="H44" s="67">
        <f t="shared" si="4"/>
        <v>9.3671999999999991E-3</v>
      </c>
      <c r="I44" s="13">
        <f t="shared" si="5"/>
        <v>1.5611999999999997</v>
      </c>
    </row>
    <row r="45" spans="1:9" hidden="1">
      <c r="A45" s="185" t="s">
        <v>128</v>
      </c>
      <c r="B45" s="186"/>
      <c r="C45" s="186"/>
      <c r="D45" s="186"/>
      <c r="E45" s="186"/>
      <c r="F45" s="186"/>
      <c r="G45" s="186"/>
      <c r="H45" s="186"/>
      <c r="I45" s="187"/>
    </row>
    <row r="46" spans="1:9" hidden="1">
      <c r="A46" s="30">
        <v>12</v>
      </c>
      <c r="B46" s="63" t="s">
        <v>117</v>
      </c>
      <c r="C46" s="64" t="s">
        <v>86</v>
      </c>
      <c r="D46" s="63" t="s">
        <v>41</v>
      </c>
      <c r="E46" s="65">
        <v>1320.9</v>
      </c>
      <c r="F46" s="66">
        <f>SUM(E46*2/1000)</f>
        <v>2.6418000000000004</v>
      </c>
      <c r="G46" s="35">
        <v>1114.1300000000001</v>
      </c>
      <c r="H46" s="67">
        <f t="shared" ref="H46:H54" si="6">SUM(F46*G46/1000)</f>
        <v>2.943308634000001</v>
      </c>
      <c r="I46" s="13">
        <f>2.6418/2*G46</f>
        <v>1471.654317</v>
      </c>
    </row>
    <row r="47" spans="1:9" hidden="1">
      <c r="A47" s="30">
        <v>13</v>
      </c>
      <c r="B47" s="63" t="s">
        <v>34</v>
      </c>
      <c r="C47" s="64" t="s">
        <v>86</v>
      </c>
      <c r="D47" s="63" t="s">
        <v>41</v>
      </c>
      <c r="E47" s="65">
        <v>52</v>
      </c>
      <c r="F47" s="66">
        <f>E47*2/1000</f>
        <v>0.104</v>
      </c>
      <c r="G47" s="35">
        <v>4419.05</v>
      </c>
      <c r="H47" s="67">
        <f t="shared" si="6"/>
        <v>0.45958120000000002</v>
      </c>
      <c r="I47" s="13">
        <f>0.104/2*G47</f>
        <v>229.79060000000001</v>
      </c>
    </row>
    <row r="48" spans="1:9" hidden="1">
      <c r="A48" s="30">
        <v>14</v>
      </c>
      <c r="B48" s="63" t="s">
        <v>35</v>
      </c>
      <c r="C48" s="64" t="s">
        <v>86</v>
      </c>
      <c r="D48" s="63" t="s">
        <v>41</v>
      </c>
      <c r="E48" s="65">
        <v>1520.8</v>
      </c>
      <c r="F48" s="66">
        <f>SUM(E48*2/1000)</f>
        <v>3.0415999999999999</v>
      </c>
      <c r="G48" s="35">
        <v>1803.69</v>
      </c>
      <c r="H48" s="67">
        <f t="shared" si="6"/>
        <v>5.4861035039999999</v>
      </c>
      <c r="I48" s="13">
        <f>3.0416/2*G48</f>
        <v>2743.0517519999999</v>
      </c>
    </row>
    <row r="49" spans="1:9" hidden="1">
      <c r="A49" s="30">
        <v>15</v>
      </c>
      <c r="B49" s="63" t="s">
        <v>36</v>
      </c>
      <c r="C49" s="64" t="s">
        <v>86</v>
      </c>
      <c r="D49" s="63" t="s">
        <v>41</v>
      </c>
      <c r="E49" s="65">
        <v>3433.81</v>
      </c>
      <c r="F49" s="66">
        <f>SUM(E49*2/1000)</f>
        <v>6.8676199999999996</v>
      </c>
      <c r="G49" s="35">
        <v>1243.43</v>
      </c>
      <c r="H49" s="67">
        <f t="shared" si="6"/>
        <v>8.5394047365999999</v>
      </c>
      <c r="I49" s="13">
        <f>6.86762/2*G49</f>
        <v>4269.7023682999998</v>
      </c>
    </row>
    <row r="50" spans="1:9" hidden="1">
      <c r="A50" s="30">
        <v>16</v>
      </c>
      <c r="B50" s="63" t="s">
        <v>54</v>
      </c>
      <c r="C50" s="64" t="s">
        <v>86</v>
      </c>
      <c r="D50" s="63" t="s">
        <v>133</v>
      </c>
      <c r="E50" s="65">
        <v>4731.7</v>
      </c>
      <c r="F50" s="66">
        <f>SUM(E50*5/1000)</f>
        <v>23.6585</v>
      </c>
      <c r="G50" s="35">
        <v>1803.69</v>
      </c>
      <c r="H50" s="67">
        <f t="shared" si="6"/>
        <v>42.672599865000002</v>
      </c>
      <c r="I50" s="13">
        <f>F50/5*G50</f>
        <v>8534.5199730000004</v>
      </c>
    </row>
    <row r="51" spans="1:9" ht="45" hidden="1">
      <c r="A51" s="30">
        <v>10</v>
      </c>
      <c r="B51" s="63" t="s">
        <v>88</v>
      </c>
      <c r="C51" s="64" t="s">
        <v>86</v>
      </c>
      <c r="D51" s="63" t="s">
        <v>41</v>
      </c>
      <c r="E51" s="65">
        <v>4731.7</v>
      </c>
      <c r="F51" s="66">
        <f>SUM(E51*2/1000)</f>
        <v>9.4634</v>
      </c>
      <c r="G51" s="35">
        <v>1591.6</v>
      </c>
      <c r="H51" s="67">
        <f t="shared" si="6"/>
        <v>15.061947439999999</v>
      </c>
      <c r="I51" s="13">
        <f>9.4634/2*G51</f>
        <v>7530.97372</v>
      </c>
    </row>
    <row r="52" spans="1:9" ht="30" hidden="1">
      <c r="A52" s="30">
        <v>11</v>
      </c>
      <c r="B52" s="63" t="s">
        <v>89</v>
      </c>
      <c r="C52" s="64" t="s">
        <v>37</v>
      </c>
      <c r="D52" s="63" t="s">
        <v>41</v>
      </c>
      <c r="E52" s="65">
        <v>20</v>
      </c>
      <c r="F52" s="66">
        <f>SUM(E52*2/100)</f>
        <v>0.4</v>
      </c>
      <c r="G52" s="35">
        <v>4058.32</v>
      </c>
      <c r="H52" s="67">
        <f>SUM(F52*G52/1000)</f>
        <v>1.6233280000000001</v>
      </c>
      <c r="I52" s="13">
        <f>0.4/2*G52</f>
        <v>811.6640000000001</v>
      </c>
    </row>
    <row r="53" spans="1:9" hidden="1">
      <c r="A53" s="30">
        <v>12</v>
      </c>
      <c r="B53" s="63" t="s">
        <v>38</v>
      </c>
      <c r="C53" s="64" t="s">
        <v>39</v>
      </c>
      <c r="D53" s="63" t="s">
        <v>41</v>
      </c>
      <c r="E53" s="65">
        <v>1</v>
      </c>
      <c r="F53" s="66">
        <v>0.02</v>
      </c>
      <c r="G53" s="35">
        <v>7412.92</v>
      </c>
      <c r="H53" s="67">
        <f t="shared" si="6"/>
        <v>0.14825839999999998</v>
      </c>
      <c r="I53" s="13">
        <f>0.02/2*G53</f>
        <v>74.129199999999997</v>
      </c>
    </row>
    <row r="54" spans="1:9" hidden="1">
      <c r="A54" s="30">
        <v>10</v>
      </c>
      <c r="B54" s="63" t="s">
        <v>40</v>
      </c>
      <c r="C54" s="64" t="s">
        <v>101</v>
      </c>
      <c r="D54" s="63" t="s">
        <v>52</v>
      </c>
      <c r="E54" s="65">
        <v>160</v>
      </c>
      <c r="F54" s="66">
        <f>SUM(E54)</f>
        <v>160</v>
      </c>
      <c r="G54" s="124">
        <v>86.15</v>
      </c>
      <c r="H54" s="67">
        <f t="shared" si="6"/>
        <v>13.784000000000001</v>
      </c>
      <c r="I54" s="13">
        <f>G54*160</f>
        <v>13784</v>
      </c>
    </row>
    <row r="55" spans="1:9">
      <c r="A55" s="185" t="s">
        <v>168</v>
      </c>
      <c r="B55" s="186"/>
      <c r="C55" s="186"/>
      <c r="D55" s="186"/>
      <c r="E55" s="186"/>
      <c r="F55" s="186"/>
      <c r="G55" s="186"/>
      <c r="H55" s="186"/>
      <c r="I55" s="187"/>
    </row>
    <row r="56" spans="1:9">
      <c r="A56" s="30"/>
      <c r="B56" s="83" t="s">
        <v>42</v>
      </c>
      <c r="C56" s="64"/>
      <c r="D56" s="63"/>
      <c r="E56" s="65"/>
      <c r="F56" s="66"/>
      <c r="G56" s="66"/>
      <c r="H56" s="67"/>
      <c r="I56" s="13"/>
    </row>
    <row r="57" spans="1:9" ht="45" hidden="1">
      <c r="A57" s="30">
        <v>14</v>
      </c>
      <c r="B57" s="63" t="s">
        <v>118</v>
      </c>
      <c r="C57" s="64" t="s">
        <v>84</v>
      </c>
      <c r="D57" s="63" t="s">
        <v>102</v>
      </c>
      <c r="E57" s="65">
        <v>107.21</v>
      </c>
      <c r="F57" s="66">
        <f>SUM(E57*6/100)</f>
        <v>6.4325999999999999</v>
      </c>
      <c r="G57" s="13">
        <v>2029.3</v>
      </c>
      <c r="H57" s="67">
        <f>SUM(F57*G57/1000)</f>
        <v>13.053675180000001</v>
      </c>
      <c r="I57" s="13">
        <f>F57/6*G57</f>
        <v>2175.6125299999999</v>
      </c>
    </row>
    <row r="58" spans="1:9" hidden="1">
      <c r="A58" s="30">
        <v>14</v>
      </c>
      <c r="B58" s="72" t="s">
        <v>120</v>
      </c>
      <c r="C58" s="73" t="s">
        <v>121</v>
      </c>
      <c r="D58" s="72" t="s">
        <v>41</v>
      </c>
      <c r="E58" s="74">
        <v>4</v>
      </c>
      <c r="F58" s="75">
        <v>0.8</v>
      </c>
      <c r="G58" s="13">
        <v>237.1</v>
      </c>
      <c r="H58" s="67">
        <f t="shared" ref="H58:H59" si="7">SUM(F58*G58/1000)</f>
        <v>0.18968000000000002</v>
      </c>
      <c r="I58" s="13">
        <f>F58/2*G58</f>
        <v>94.84</v>
      </c>
    </row>
    <row r="59" spans="1:9" ht="18.75" customHeight="1">
      <c r="A59" s="30">
        <v>12</v>
      </c>
      <c r="B59" s="63" t="s">
        <v>119</v>
      </c>
      <c r="C59" s="64" t="s">
        <v>84</v>
      </c>
      <c r="D59" s="63" t="s">
        <v>102</v>
      </c>
      <c r="E59" s="65">
        <v>3.8</v>
      </c>
      <c r="F59" s="66">
        <f>SUM(E59*6/100)</f>
        <v>0.22799999999999998</v>
      </c>
      <c r="G59" s="13">
        <v>2029.3</v>
      </c>
      <c r="H59" s="67">
        <f t="shared" si="7"/>
        <v>0.46268039999999994</v>
      </c>
      <c r="I59" s="13">
        <f>F59/6*G59</f>
        <v>77.113399999999999</v>
      </c>
    </row>
    <row r="60" spans="1:9" ht="30" hidden="1">
      <c r="A60" s="30">
        <v>11</v>
      </c>
      <c r="B60" s="63" t="s">
        <v>149</v>
      </c>
      <c r="C60" s="64" t="s">
        <v>150</v>
      </c>
      <c r="D60" s="63" t="s">
        <v>65</v>
      </c>
      <c r="E60" s="65"/>
      <c r="F60" s="66">
        <v>3</v>
      </c>
      <c r="G60" s="13">
        <v>1582.05</v>
      </c>
      <c r="H60" s="67">
        <f>SUM(F60*G60/1000)</f>
        <v>4.7461499999999992</v>
      </c>
      <c r="I60" s="13">
        <f>G60*10</f>
        <v>15820.5</v>
      </c>
    </row>
    <row r="61" spans="1:9" ht="15.75" customHeight="1">
      <c r="A61" s="30"/>
      <c r="B61" s="84" t="s">
        <v>43</v>
      </c>
      <c r="C61" s="73"/>
      <c r="D61" s="72"/>
      <c r="E61" s="74"/>
      <c r="F61" s="75"/>
      <c r="G61" s="13"/>
      <c r="H61" s="76"/>
      <c r="I61" s="13"/>
    </row>
    <row r="62" spans="1:9" hidden="1">
      <c r="A62" s="30">
        <v>18</v>
      </c>
      <c r="B62" s="72" t="s">
        <v>151</v>
      </c>
      <c r="C62" s="73" t="s">
        <v>51</v>
      </c>
      <c r="D62" s="72" t="s">
        <v>52</v>
      </c>
      <c r="E62" s="74">
        <v>660.45</v>
      </c>
      <c r="F62" s="75">
        <f>E62/100</f>
        <v>6.6045000000000007</v>
      </c>
      <c r="G62" s="13">
        <v>1040.8399999999999</v>
      </c>
      <c r="H62" s="76">
        <f>F62*G62/1000</f>
        <v>6.87422778</v>
      </c>
      <c r="I62" s="13">
        <f>G62*(1.2/100)</f>
        <v>12.490079999999999</v>
      </c>
    </row>
    <row r="63" spans="1:9" ht="15.75" customHeight="1">
      <c r="A63" s="30">
        <v>13</v>
      </c>
      <c r="B63" s="72" t="s">
        <v>112</v>
      </c>
      <c r="C63" s="73" t="s">
        <v>25</v>
      </c>
      <c r="D63" s="72" t="s">
        <v>30</v>
      </c>
      <c r="E63" s="74">
        <v>200</v>
      </c>
      <c r="F63" s="77">
        <f>E63*12</f>
        <v>2400</v>
      </c>
      <c r="G63" s="57">
        <v>2.8</v>
      </c>
      <c r="H63" s="75">
        <f>F63*G63/1000</f>
        <v>6.72</v>
      </c>
      <c r="I63" s="13">
        <f>2856/12*G63</f>
        <v>666.4</v>
      </c>
    </row>
    <row r="64" spans="1:9" ht="13.5" customHeight="1">
      <c r="A64" s="30"/>
      <c r="B64" s="84" t="s">
        <v>44</v>
      </c>
      <c r="C64" s="73"/>
      <c r="D64" s="72"/>
      <c r="E64" s="74"/>
      <c r="F64" s="77"/>
      <c r="G64" s="77"/>
      <c r="H64" s="75" t="s">
        <v>122</v>
      </c>
      <c r="I64" s="13"/>
    </row>
    <row r="65" spans="1:9" ht="16.5" customHeight="1">
      <c r="A65" s="30">
        <v>14</v>
      </c>
      <c r="B65" s="14" t="s">
        <v>45</v>
      </c>
      <c r="C65" s="16" t="s">
        <v>101</v>
      </c>
      <c r="D65" s="44" t="s">
        <v>65</v>
      </c>
      <c r="E65" s="18">
        <v>10</v>
      </c>
      <c r="F65" s="66">
        <f>SUM(E65)</f>
        <v>10</v>
      </c>
      <c r="G65" s="122">
        <v>291.68</v>
      </c>
      <c r="H65" s="78">
        <f t="shared" ref="H65:H83" si="8">SUM(F65*G65/1000)</f>
        <v>2.9168000000000003</v>
      </c>
      <c r="I65" s="13">
        <f>G65*4</f>
        <v>1166.72</v>
      </c>
    </row>
    <row r="66" spans="1:9" ht="30" hidden="1">
      <c r="A66" s="30"/>
      <c r="B66" s="14" t="s">
        <v>46</v>
      </c>
      <c r="C66" s="16" t="s">
        <v>101</v>
      </c>
      <c r="D66" s="14" t="s">
        <v>65</v>
      </c>
      <c r="E66" s="18">
        <v>9</v>
      </c>
      <c r="F66" s="66">
        <f>SUM(E66)</f>
        <v>9</v>
      </c>
      <c r="G66" s="13">
        <v>100.01</v>
      </c>
      <c r="H66" s="78">
        <f t="shared" si="8"/>
        <v>0.90009000000000006</v>
      </c>
      <c r="I66" s="13">
        <v>0</v>
      </c>
    </row>
    <row r="67" spans="1:9" hidden="1">
      <c r="A67" s="30">
        <v>16</v>
      </c>
      <c r="B67" s="14" t="s">
        <v>47</v>
      </c>
      <c r="C67" s="16" t="s">
        <v>103</v>
      </c>
      <c r="D67" s="14" t="s">
        <v>52</v>
      </c>
      <c r="E67" s="65">
        <v>19836</v>
      </c>
      <c r="F67" s="13">
        <f>SUM(E67/100)</f>
        <v>198.36</v>
      </c>
      <c r="G67" s="13">
        <v>278.24</v>
      </c>
      <c r="H67" s="78">
        <f t="shared" si="8"/>
        <v>55.191686400000009</v>
      </c>
      <c r="I67" s="13">
        <f>F67*G67</f>
        <v>55191.686400000006</v>
      </c>
    </row>
    <row r="68" spans="1:9" hidden="1">
      <c r="A68" s="30">
        <v>27</v>
      </c>
      <c r="B68" s="14" t="s">
        <v>48</v>
      </c>
      <c r="C68" s="16" t="s">
        <v>104</v>
      </c>
      <c r="D68" s="14"/>
      <c r="E68" s="65">
        <v>19836</v>
      </c>
      <c r="F68" s="13">
        <f>SUM(E68/1000)</f>
        <v>19.835999999999999</v>
      </c>
      <c r="G68" s="13">
        <v>216.68</v>
      </c>
      <c r="H68" s="78">
        <f t="shared" si="8"/>
        <v>4.2980644799999999</v>
      </c>
      <c r="I68" s="13">
        <f t="shared" ref="I68:I72" si="9">F68*G68</f>
        <v>4298.06448</v>
      </c>
    </row>
    <row r="69" spans="1:9" hidden="1">
      <c r="A69" s="30">
        <v>28</v>
      </c>
      <c r="B69" s="14" t="s">
        <v>49</v>
      </c>
      <c r="C69" s="16" t="s">
        <v>73</v>
      </c>
      <c r="D69" s="14" t="s">
        <v>52</v>
      </c>
      <c r="E69" s="65">
        <v>3155</v>
      </c>
      <c r="F69" s="13">
        <f>SUM(E69/100)</f>
        <v>31.55</v>
      </c>
      <c r="G69" s="13">
        <v>2720.94</v>
      </c>
      <c r="H69" s="78">
        <f t="shared" si="8"/>
        <v>85.845657000000003</v>
      </c>
      <c r="I69" s="13">
        <f t="shared" si="9"/>
        <v>85845.657000000007</v>
      </c>
    </row>
    <row r="70" spans="1:9" hidden="1">
      <c r="A70" s="30">
        <v>29</v>
      </c>
      <c r="B70" s="79" t="s">
        <v>105</v>
      </c>
      <c r="C70" s="16" t="s">
        <v>33</v>
      </c>
      <c r="D70" s="14"/>
      <c r="E70" s="65">
        <v>34.5</v>
      </c>
      <c r="F70" s="13">
        <f>SUM(E70)</f>
        <v>34.5</v>
      </c>
      <c r="G70" s="13">
        <v>44.31</v>
      </c>
      <c r="H70" s="78">
        <f t="shared" si="8"/>
        <v>1.5286950000000001</v>
      </c>
      <c r="I70" s="13">
        <f t="shared" si="9"/>
        <v>1528.6950000000002</v>
      </c>
    </row>
    <row r="71" spans="1:9" hidden="1">
      <c r="A71" s="30">
        <v>30</v>
      </c>
      <c r="B71" s="79" t="s">
        <v>106</v>
      </c>
      <c r="C71" s="16" t="s">
        <v>33</v>
      </c>
      <c r="D71" s="14"/>
      <c r="E71" s="65">
        <v>34.5</v>
      </c>
      <c r="F71" s="13">
        <f t="shared" ref="F71:F72" si="10">SUM(E71)</f>
        <v>34.5</v>
      </c>
      <c r="G71" s="13">
        <v>47.79</v>
      </c>
      <c r="H71" s="78">
        <f t="shared" si="8"/>
        <v>1.648755</v>
      </c>
      <c r="I71" s="13">
        <f t="shared" si="9"/>
        <v>1648.7549999999999</v>
      </c>
    </row>
    <row r="72" spans="1:9" hidden="1">
      <c r="A72" s="30">
        <v>19</v>
      </c>
      <c r="B72" s="14" t="s">
        <v>55</v>
      </c>
      <c r="C72" s="16" t="s">
        <v>56</v>
      </c>
      <c r="D72" s="14" t="s">
        <v>52</v>
      </c>
      <c r="E72" s="18">
        <v>5</v>
      </c>
      <c r="F72" s="13">
        <f t="shared" si="10"/>
        <v>5</v>
      </c>
      <c r="G72" s="13">
        <v>65.42</v>
      </c>
      <c r="H72" s="78">
        <f t="shared" si="8"/>
        <v>0.3271</v>
      </c>
      <c r="I72" s="13">
        <f t="shared" si="9"/>
        <v>327.10000000000002</v>
      </c>
    </row>
    <row r="73" spans="1:9" ht="17.25" customHeight="1">
      <c r="A73" s="30"/>
      <c r="B73" s="102" t="s">
        <v>152</v>
      </c>
      <c r="C73" s="49"/>
      <c r="D73" s="14"/>
      <c r="E73" s="18"/>
      <c r="F73" s="13"/>
      <c r="G73" s="13"/>
      <c r="H73" s="78"/>
      <c r="I73" s="13"/>
    </row>
    <row r="74" spans="1:9" ht="15.75" customHeight="1">
      <c r="A74" s="30">
        <v>15</v>
      </c>
      <c r="B74" s="14" t="s">
        <v>153</v>
      </c>
      <c r="C74" s="30" t="s">
        <v>154</v>
      </c>
      <c r="D74" s="44" t="s">
        <v>65</v>
      </c>
      <c r="E74" s="18">
        <v>4731.7</v>
      </c>
      <c r="F74" s="13">
        <f>SUM(E74*12)</f>
        <v>56780.399999999994</v>
      </c>
      <c r="G74" s="13">
        <v>2.2799999999999998</v>
      </c>
      <c r="H74" s="78">
        <f t="shared" ref="H74" si="11">SUM(F74*G74/1000)</f>
        <v>129.45931199999998</v>
      </c>
      <c r="I74" s="13">
        <f>F74/12*G74</f>
        <v>10788.275999999998</v>
      </c>
    </row>
    <row r="75" spans="1:9" ht="18.75" customHeight="1">
      <c r="A75" s="30"/>
      <c r="B75" s="160" t="s">
        <v>69</v>
      </c>
      <c r="C75" s="16"/>
      <c r="D75" s="14"/>
      <c r="E75" s="18"/>
      <c r="F75" s="13"/>
      <c r="G75" s="13"/>
      <c r="H75" s="78" t="s">
        <v>122</v>
      </c>
      <c r="I75" s="13"/>
    </row>
    <row r="76" spans="1:9" ht="30" hidden="1">
      <c r="A76" s="30"/>
      <c r="B76" s="14" t="s">
        <v>155</v>
      </c>
      <c r="C76" s="16" t="s">
        <v>101</v>
      </c>
      <c r="D76" s="14" t="s">
        <v>65</v>
      </c>
      <c r="E76" s="18">
        <v>1</v>
      </c>
      <c r="F76" s="13">
        <v>1</v>
      </c>
      <c r="G76" s="13">
        <v>1543.4</v>
      </c>
      <c r="H76" s="78">
        <f t="shared" ref="H76:H79" si="12">SUM(F76*G76/1000)</f>
        <v>1.5434000000000001</v>
      </c>
      <c r="I76" s="13">
        <v>0</v>
      </c>
    </row>
    <row r="77" spans="1:9" ht="30" hidden="1">
      <c r="A77" s="30">
        <v>19</v>
      </c>
      <c r="B77" s="47" t="s">
        <v>156</v>
      </c>
      <c r="C77" s="49" t="s">
        <v>101</v>
      </c>
      <c r="D77" s="14" t="s">
        <v>65</v>
      </c>
      <c r="E77" s="18">
        <v>4</v>
      </c>
      <c r="F77" s="13">
        <v>1</v>
      </c>
      <c r="G77" s="13">
        <v>130.96</v>
      </c>
      <c r="H77" s="78">
        <f>SUM(F77*G77/1000)</f>
        <v>0.13096000000000002</v>
      </c>
      <c r="I77" s="13">
        <v>0</v>
      </c>
    </row>
    <row r="78" spans="1:9" hidden="1">
      <c r="A78" s="30">
        <v>13</v>
      </c>
      <c r="B78" s="14" t="s">
        <v>70</v>
      </c>
      <c r="C78" s="16" t="s">
        <v>71</v>
      </c>
      <c r="D78" s="44" t="s">
        <v>65</v>
      </c>
      <c r="E78" s="18">
        <v>8</v>
      </c>
      <c r="F78" s="13">
        <f>E78/10</f>
        <v>0.8</v>
      </c>
      <c r="G78" s="13">
        <v>657.87</v>
      </c>
      <c r="H78" s="78">
        <f t="shared" si="12"/>
        <v>0.5262960000000001</v>
      </c>
      <c r="I78" s="13">
        <f>G78*0.2</f>
        <v>131.57400000000001</v>
      </c>
    </row>
    <row r="79" spans="1:9" ht="30" hidden="1">
      <c r="A79" s="30"/>
      <c r="B79" s="14" t="s">
        <v>157</v>
      </c>
      <c r="C79" s="16" t="s">
        <v>101</v>
      </c>
      <c r="D79" s="14" t="s">
        <v>65</v>
      </c>
      <c r="E79" s="18">
        <v>1</v>
      </c>
      <c r="F79" s="66">
        <f>SUM(E79)</f>
        <v>1</v>
      </c>
      <c r="G79" s="13">
        <v>1118.72</v>
      </c>
      <c r="H79" s="78">
        <f t="shared" si="12"/>
        <v>1.1187199999999999</v>
      </c>
      <c r="I79" s="13">
        <v>0</v>
      </c>
    </row>
    <row r="80" spans="1:9" ht="30" hidden="1">
      <c r="A80" s="30"/>
      <c r="B80" s="47" t="s">
        <v>158</v>
      </c>
      <c r="C80" s="49" t="s">
        <v>101</v>
      </c>
      <c r="D80" s="14" t="s">
        <v>65</v>
      </c>
      <c r="E80" s="18">
        <v>1</v>
      </c>
      <c r="F80" s="57">
        <v>1</v>
      </c>
      <c r="G80" s="13">
        <v>3757.02</v>
      </c>
      <c r="H80" s="78">
        <f>SUM(F80*G80/1000)</f>
        <v>3.7570199999999998</v>
      </c>
      <c r="I80" s="13">
        <v>0</v>
      </c>
    </row>
    <row r="81" spans="1:9" ht="31.5" customHeight="1">
      <c r="A81" s="30">
        <v>16</v>
      </c>
      <c r="B81" s="47" t="s">
        <v>159</v>
      </c>
      <c r="C81" s="49" t="s">
        <v>101</v>
      </c>
      <c r="D81" s="14" t="s">
        <v>30</v>
      </c>
      <c r="E81" s="99">
        <v>2</v>
      </c>
      <c r="F81" s="77">
        <f>E81*12</f>
        <v>24</v>
      </c>
      <c r="G81" s="100">
        <v>53.42</v>
      </c>
      <c r="H81" s="78">
        <f t="shared" ref="H81" si="13">SUM(F81*G81/1000)</f>
        <v>1.2820799999999999</v>
      </c>
      <c r="I81" s="13">
        <f>G81*2</f>
        <v>106.84</v>
      </c>
    </row>
    <row r="82" spans="1:9" hidden="1">
      <c r="A82" s="30"/>
      <c r="B82" s="81" t="s">
        <v>72</v>
      </c>
      <c r="C82" s="16"/>
      <c r="D82" s="14"/>
      <c r="E82" s="18"/>
      <c r="F82" s="13"/>
      <c r="G82" s="13" t="s">
        <v>122</v>
      </c>
      <c r="H82" s="78" t="s">
        <v>122</v>
      </c>
      <c r="I82" s="13"/>
    </row>
    <row r="83" spans="1:9" hidden="1">
      <c r="A83" s="30"/>
      <c r="B83" s="44" t="s">
        <v>114</v>
      </c>
      <c r="C83" s="16" t="s">
        <v>73</v>
      </c>
      <c r="D83" s="14"/>
      <c r="E83" s="18"/>
      <c r="F83" s="13">
        <v>0.3</v>
      </c>
      <c r="G83" s="13">
        <v>3619.09</v>
      </c>
      <c r="H83" s="78">
        <f t="shared" si="8"/>
        <v>1.0857270000000001</v>
      </c>
      <c r="I83" s="13">
        <v>0</v>
      </c>
    </row>
    <row r="84" spans="1:9" ht="28.5" hidden="1">
      <c r="A84" s="30"/>
      <c r="B84" s="103" t="s">
        <v>90</v>
      </c>
      <c r="C84" s="81"/>
      <c r="D84" s="32"/>
      <c r="E84" s="33"/>
      <c r="F84" s="69"/>
      <c r="G84" s="69"/>
      <c r="H84" s="82">
        <f>SUM(H57:H83)</f>
        <v>323.6067762400001</v>
      </c>
      <c r="I84" s="69"/>
    </row>
    <row r="85" spans="1:9" hidden="1">
      <c r="A85" s="30"/>
      <c r="B85" s="63" t="s">
        <v>107</v>
      </c>
      <c r="C85" s="16"/>
      <c r="D85" s="14"/>
      <c r="E85" s="58"/>
      <c r="F85" s="13">
        <v>1</v>
      </c>
      <c r="G85" s="13">
        <v>20512</v>
      </c>
      <c r="H85" s="78">
        <f>G85*F85/1000</f>
        <v>20.512</v>
      </c>
      <c r="I85" s="13">
        <v>0</v>
      </c>
    </row>
    <row r="86" spans="1:9">
      <c r="A86" s="194" t="s">
        <v>169</v>
      </c>
      <c r="B86" s="195"/>
      <c r="C86" s="195"/>
      <c r="D86" s="195"/>
      <c r="E86" s="195"/>
      <c r="F86" s="195"/>
      <c r="G86" s="195"/>
      <c r="H86" s="195"/>
      <c r="I86" s="196"/>
    </row>
    <row r="87" spans="1:9" ht="15.75" customHeight="1">
      <c r="A87" s="30">
        <v>17</v>
      </c>
      <c r="B87" s="63" t="s">
        <v>108</v>
      </c>
      <c r="C87" s="16" t="s">
        <v>53</v>
      </c>
      <c r="D87" s="101"/>
      <c r="E87" s="13">
        <v>4731.7</v>
      </c>
      <c r="F87" s="13">
        <f>SUM(E87*12)</f>
        <v>56780.399999999994</v>
      </c>
      <c r="G87" s="13">
        <v>3.1</v>
      </c>
      <c r="H87" s="78">
        <f>SUM(F87*G87/1000)</f>
        <v>176.01924</v>
      </c>
      <c r="I87" s="13">
        <f>F87/12*G87</f>
        <v>14668.27</v>
      </c>
    </row>
    <row r="88" spans="1:9" ht="30.75" customHeight="1">
      <c r="A88" s="30">
        <v>18</v>
      </c>
      <c r="B88" s="14" t="s">
        <v>74</v>
      </c>
      <c r="C88" s="16"/>
      <c r="D88" s="44"/>
      <c r="E88" s="65">
        <f>E87</f>
        <v>4731.7</v>
      </c>
      <c r="F88" s="13">
        <f>E88*12</f>
        <v>56780.399999999994</v>
      </c>
      <c r="G88" s="13">
        <v>3.5</v>
      </c>
      <c r="H88" s="78">
        <f>F88*G88/1000</f>
        <v>198.73139999999995</v>
      </c>
      <c r="I88" s="13">
        <f>F88/12*G88</f>
        <v>16560.95</v>
      </c>
    </row>
    <row r="89" spans="1:9">
      <c r="A89" s="30"/>
      <c r="B89" s="37" t="s">
        <v>76</v>
      </c>
      <c r="C89" s="81"/>
      <c r="D89" s="80"/>
      <c r="E89" s="69"/>
      <c r="F89" s="69"/>
      <c r="G89" s="69"/>
      <c r="H89" s="82">
        <f>H88</f>
        <v>198.73139999999995</v>
      </c>
      <c r="I89" s="69">
        <f>I88+I87+I81+I74+I65+I63+I59+I44+I43+I42+I41+I40+I39+I38+I26+I18+I17+I16</f>
        <v>62393.842283333324</v>
      </c>
    </row>
    <row r="90" spans="1:9">
      <c r="A90" s="191" t="s">
        <v>58</v>
      </c>
      <c r="B90" s="192"/>
      <c r="C90" s="192"/>
      <c r="D90" s="192"/>
      <c r="E90" s="192"/>
      <c r="F90" s="192"/>
      <c r="G90" s="192"/>
      <c r="H90" s="192"/>
      <c r="I90" s="193"/>
    </row>
    <row r="91" spans="1:9">
      <c r="A91" s="30">
        <v>19</v>
      </c>
      <c r="B91" s="112" t="s">
        <v>140</v>
      </c>
      <c r="C91" s="113" t="s">
        <v>101</v>
      </c>
      <c r="D91" s="16"/>
      <c r="E91" s="35"/>
      <c r="F91" s="35"/>
      <c r="G91" s="35">
        <v>89.59</v>
      </c>
      <c r="H91" s="35"/>
      <c r="I91" s="13">
        <f>G91*1</f>
        <v>89.59</v>
      </c>
    </row>
    <row r="92" spans="1:9">
      <c r="A92" s="30">
        <v>20</v>
      </c>
      <c r="B92" s="112" t="s">
        <v>208</v>
      </c>
      <c r="C92" s="113" t="s">
        <v>79</v>
      </c>
      <c r="D92" s="16"/>
      <c r="E92" s="35"/>
      <c r="F92" s="35"/>
      <c r="G92" s="35">
        <v>203.68</v>
      </c>
      <c r="H92" s="35"/>
      <c r="I92" s="13">
        <f>G92*1</f>
        <v>203.68</v>
      </c>
    </row>
    <row r="93" spans="1:9" ht="19.5" customHeight="1">
      <c r="A93" s="30">
        <v>21</v>
      </c>
      <c r="B93" s="47" t="s">
        <v>77</v>
      </c>
      <c r="C93" s="49" t="s">
        <v>101</v>
      </c>
      <c r="D93" s="16"/>
      <c r="E93" s="35"/>
      <c r="F93" s="35"/>
      <c r="G93" s="35">
        <v>197.48</v>
      </c>
      <c r="H93" s="35"/>
      <c r="I93" s="13">
        <f>G93*1</f>
        <v>197.48</v>
      </c>
    </row>
    <row r="94" spans="1:9" ht="30">
      <c r="A94" s="30">
        <v>22</v>
      </c>
      <c r="B94" s="112" t="s">
        <v>280</v>
      </c>
      <c r="C94" s="113" t="s">
        <v>281</v>
      </c>
      <c r="D94" s="44"/>
      <c r="E94" s="35"/>
      <c r="F94" s="35"/>
      <c r="G94" s="35">
        <v>24829.08</v>
      </c>
      <c r="H94" s="35"/>
      <c r="I94" s="13">
        <f>G94*0.05</f>
        <v>1241.4540000000002</v>
      </c>
    </row>
    <row r="95" spans="1:9" ht="30">
      <c r="A95" s="30">
        <v>23</v>
      </c>
      <c r="B95" s="112" t="s">
        <v>176</v>
      </c>
      <c r="C95" s="113" t="s">
        <v>177</v>
      </c>
      <c r="D95" s="16"/>
      <c r="E95" s="35"/>
      <c r="F95" s="35"/>
      <c r="G95" s="13">
        <v>613.44000000000005</v>
      </c>
      <c r="H95" s="35"/>
      <c r="I95" s="13">
        <f>G95*1</f>
        <v>613.44000000000005</v>
      </c>
    </row>
    <row r="96" spans="1:9" ht="30">
      <c r="A96" s="30">
        <v>24</v>
      </c>
      <c r="B96" s="112" t="s">
        <v>282</v>
      </c>
      <c r="C96" s="113" t="s">
        <v>283</v>
      </c>
      <c r="D96" s="16"/>
      <c r="E96" s="35"/>
      <c r="F96" s="35"/>
      <c r="G96" s="35">
        <v>214.8</v>
      </c>
      <c r="H96" s="35"/>
      <c r="I96" s="13">
        <f>G96*1</f>
        <v>214.8</v>
      </c>
    </row>
    <row r="97" spans="1:9" ht="17.25" customHeight="1">
      <c r="A97" s="30"/>
      <c r="B97" s="32" t="s">
        <v>50</v>
      </c>
      <c r="C97" s="38"/>
      <c r="D97" s="45"/>
      <c r="E97" s="38">
        <v>1</v>
      </c>
      <c r="F97" s="38"/>
      <c r="G97" s="38"/>
      <c r="H97" s="38"/>
      <c r="I97" s="33">
        <f>SUM(I91:I96)</f>
        <v>2560.4440000000004</v>
      </c>
    </row>
    <row r="98" spans="1:9">
      <c r="A98" s="30"/>
      <c r="B98" s="44" t="s">
        <v>75</v>
      </c>
      <c r="C98" s="15"/>
      <c r="D98" s="15"/>
      <c r="E98" s="39"/>
      <c r="F98" s="39"/>
      <c r="G98" s="40"/>
      <c r="H98" s="40"/>
      <c r="I98" s="17">
        <v>0</v>
      </c>
    </row>
    <row r="99" spans="1:9">
      <c r="A99" s="46"/>
      <c r="B99" s="43" t="s">
        <v>143</v>
      </c>
      <c r="C99" s="34"/>
      <c r="D99" s="34"/>
      <c r="E99" s="34"/>
      <c r="F99" s="34"/>
      <c r="G99" s="34"/>
      <c r="H99" s="34"/>
      <c r="I99" s="41">
        <f>I89+I97</f>
        <v>64954.286283333327</v>
      </c>
    </row>
    <row r="100" spans="1:9" ht="15.75">
      <c r="A100" s="188" t="s">
        <v>313</v>
      </c>
      <c r="B100" s="188"/>
      <c r="C100" s="188"/>
      <c r="D100" s="188"/>
      <c r="E100" s="188"/>
      <c r="F100" s="188"/>
      <c r="G100" s="188"/>
      <c r="H100" s="188"/>
      <c r="I100" s="188"/>
    </row>
    <row r="101" spans="1:9" ht="15.75">
      <c r="A101" s="56"/>
      <c r="B101" s="189" t="s">
        <v>314</v>
      </c>
      <c r="C101" s="189"/>
      <c r="D101" s="189"/>
      <c r="E101" s="189"/>
      <c r="F101" s="189"/>
      <c r="G101" s="189"/>
      <c r="H101" s="61"/>
      <c r="I101" s="3"/>
    </row>
    <row r="102" spans="1:9">
      <c r="A102" s="158"/>
      <c r="B102" s="179" t="s">
        <v>6</v>
      </c>
      <c r="C102" s="179"/>
      <c r="D102" s="179"/>
      <c r="E102" s="179"/>
      <c r="F102" s="179"/>
      <c r="G102" s="179"/>
      <c r="H102" s="25"/>
      <c r="I102" s="5"/>
    </row>
    <row r="103" spans="1:9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190" t="s">
        <v>7</v>
      </c>
      <c r="B104" s="190"/>
      <c r="C104" s="190"/>
      <c r="D104" s="190"/>
      <c r="E104" s="190"/>
      <c r="F104" s="190"/>
      <c r="G104" s="190"/>
      <c r="H104" s="190"/>
      <c r="I104" s="190"/>
    </row>
    <row r="105" spans="1:9" ht="15.75">
      <c r="A105" s="190" t="s">
        <v>8</v>
      </c>
      <c r="B105" s="190"/>
      <c r="C105" s="190"/>
      <c r="D105" s="190"/>
      <c r="E105" s="190"/>
      <c r="F105" s="190"/>
      <c r="G105" s="190"/>
      <c r="H105" s="190"/>
      <c r="I105" s="190"/>
    </row>
    <row r="106" spans="1:9" ht="15.75">
      <c r="A106" s="183" t="s">
        <v>59</v>
      </c>
      <c r="B106" s="183"/>
      <c r="C106" s="183"/>
      <c r="D106" s="183"/>
      <c r="E106" s="183"/>
      <c r="F106" s="183"/>
      <c r="G106" s="183"/>
      <c r="H106" s="183"/>
      <c r="I106" s="183"/>
    </row>
    <row r="107" spans="1:9" ht="15.75">
      <c r="A107" s="11"/>
    </row>
    <row r="108" spans="1:9" ht="15.75">
      <c r="A108" s="177" t="s">
        <v>9</v>
      </c>
      <c r="B108" s="177"/>
      <c r="C108" s="177"/>
      <c r="D108" s="177"/>
      <c r="E108" s="177"/>
      <c r="F108" s="177"/>
      <c r="G108" s="177"/>
      <c r="H108" s="177"/>
      <c r="I108" s="177"/>
    </row>
    <row r="109" spans="1:9" ht="15.75">
      <c r="A109" s="4"/>
    </row>
    <row r="110" spans="1:9" ht="15.75">
      <c r="B110" s="161" t="s">
        <v>10</v>
      </c>
      <c r="C110" s="178" t="s">
        <v>131</v>
      </c>
      <c r="D110" s="178"/>
      <c r="E110" s="178"/>
      <c r="F110" s="59"/>
      <c r="I110" s="163"/>
    </row>
    <row r="111" spans="1:9">
      <c r="A111" s="158"/>
      <c r="C111" s="179" t="s">
        <v>11</v>
      </c>
      <c r="D111" s="179"/>
      <c r="E111" s="179"/>
      <c r="F111" s="25"/>
      <c r="I111" s="162" t="s">
        <v>12</v>
      </c>
    </row>
    <row r="112" spans="1:9" ht="15.75">
      <c r="A112" s="26"/>
      <c r="C112" s="12"/>
      <c r="D112" s="12"/>
      <c r="G112" s="12"/>
      <c r="H112" s="12"/>
    </row>
    <row r="113" spans="1:9" ht="15.75">
      <c r="B113" s="161" t="s">
        <v>13</v>
      </c>
      <c r="C113" s="180"/>
      <c r="D113" s="180"/>
      <c r="E113" s="180"/>
      <c r="F113" s="60"/>
      <c r="I113" s="163"/>
    </row>
    <row r="114" spans="1:9">
      <c r="A114" s="158"/>
      <c r="C114" s="181" t="s">
        <v>11</v>
      </c>
      <c r="D114" s="181"/>
      <c r="E114" s="181"/>
      <c r="F114" s="158"/>
      <c r="I114" s="162" t="s">
        <v>12</v>
      </c>
    </row>
    <row r="115" spans="1:9" ht="15.75">
      <c r="A115" s="4" t="s">
        <v>14</v>
      </c>
    </row>
    <row r="116" spans="1:9">
      <c r="A116" s="182" t="s">
        <v>15</v>
      </c>
      <c r="B116" s="182"/>
      <c r="C116" s="182"/>
      <c r="D116" s="182"/>
      <c r="E116" s="182"/>
      <c r="F116" s="182"/>
      <c r="G116" s="182"/>
      <c r="H116" s="182"/>
      <c r="I116" s="182"/>
    </row>
    <row r="117" spans="1:9" ht="43.5" customHeight="1">
      <c r="A117" s="176" t="s">
        <v>16</v>
      </c>
      <c r="B117" s="176"/>
      <c r="C117" s="176"/>
      <c r="D117" s="176"/>
      <c r="E117" s="176"/>
      <c r="F117" s="176"/>
      <c r="G117" s="176"/>
      <c r="H117" s="176"/>
      <c r="I117" s="176"/>
    </row>
    <row r="118" spans="1:9" ht="33" customHeight="1">
      <c r="A118" s="176" t="s">
        <v>17</v>
      </c>
      <c r="B118" s="176"/>
      <c r="C118" s="176"/>
      <c r="D118" s="176"/>
      <c r="E118" s="176"/>
      <c r="F118" s="176"/>
      <c r="G118" s="176"/>
      <c r="H118" s="176"/>
      <c r="I118" s="176"/>
    </row>
    <row r="119" spans="1:9" ht="30" customHeight="1">
      <c r="A119" s="176" t="s">
        <v>21</v>
      </c>
      <c r="B119" s="176"/>
      <c r="C119" s="176"/>
      <c r="D119" s="176"/>
      <c r="E119" s="176"/>
      <c r="F119" s="176"/>
      <c r="G119" s="176"/>
      <c r="H119" s="176"/>
      <c r="I119" s="176"/>
    </row>
    <row r="120" spans="1:9" ht="29.25" customHeight="1">
      <c r="A120" s="176" t="s">
        <v>20</v>
      </c>
      <c r="B120" s="176"/>
      <c r="C120" s="176"/>
      <c r="D120" s="176"/>
      <c r="E120" s="176"/>
      <c r="F120" s="176"/>
      <c r="G120" s="176"/>
      <c r="H120" s="176"/>
      <c r="I120" s="176"/>
    </row>
  </sheetData>
  <mergeCells count="28">
    <mergeCell ref="A116:I116"/>
    <mergeCell ref="A117:I117"/>
    <mergeCell ref="A118:I118"/>
    <mergeCell ref="A119:I119"/>
    <mergeCell ref="A120:I120"/>
    <mergeCell ref="C114:E114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90:I90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5:I55"/>
    <mergeCell ref="A86:I86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34"/>
  <sheetViews>
    <sheetView tabSelected="1" topLeftCell="A59" workbookViewId="0">
      <selection activeCell="K118" sqref="K118"/>
    </sheetView>
  </sheetViews>
  <sheetFormatPr defaultRowHeight="15"/>
  <cols>
    <col min="1" max="1" width="11.140625" customWidth="1"/>
    <col min="2" max="2" width="48.5703125" customWidth="1"/>
    <col min="3" max="3" width="17.7109375" customWidth="1"/>
    <col min="4" max="4" width="18.7109375" customWidth="1"/>
    <col min="5" max="5" width="10.5703125" hidden="1" customWidth="1"/>
    <col min="6" max="6" width="12.42578125" hidden="1" customWidth="1"/>
    <col min="7" max="7" width="15.42578125" customWidth="1"/>
    <col min="8" max="8" width="0" hidden="1" customWidth="1"/>
    <col min="9" max="9" width="18.85546875" customWidth="1"/>
  </cols>
  <sheetData>
    <row r="1" spans="1:9" ht="15.75">
      <c r="A1" s="28" t="s">
        <v>224</v>
      </c>
      <c r="I1" s="27"/>
    </row>
    <row r="2" spans="1:9" ht="15.75">
      <c r="A2" s="29" t="s">
        <v>60</v>
      </c>
    </row>
    <row r="3" spans="1:9" ht="15.75">
      <c r="A3" s="199" t="s">
        <v>289</v>
      </c>
      <c r="B3" s="199"/>
      <c r="C3" s="199"/>
      <c r="D3" s="199"/>
      <c r="E3" s="199"/>
      <c r="F3" s="199"/>
      <c r="G3" s="199"/>
      <c r="H3" s="199"/>
      <c r="I3" s="199"/>
    </row>
    <row r="4" spans="1:9" ht="34.5" customHeight="1">
      <c r="A4" s="200" t="s">
        <v>245</v>
      </c>
      <c r="B4" s="200"/>
      <c r="C4" s="200"/>
      <c r="D4" s="200"/>
      <c r="E4" s="200"/>
      <c r="F4" s="200"/>
      <c r="G4" s="200"/>
      <c r="H4" s="200"/>
      <c r="I4" s="200"/>
    </row>
    <row r="5" spans="1:9" ht="15.75">
      <c r="A5" s="199" t="s">
        <v>284</v>
      </c>
      <c r="B5" s="201"/>
      <c r="C5" s="201"/>
      <c r="D5" s="201"/>
      <c r="E5" s="201"/>
      <c r="F5" s="201"/>
      <c r="G5" s="201"/>
      <c r="H5" s="201"/>
      <c r="I5" s="201"/>
    </row>
    <row r="6" spans="1:9" ht="15.75">
      <c r="A6" s="2"/>
      <c r="B6" s="166"/>
      <c r="C6" s="166"/>
      <c r="D6" s="166"/>
      <c r="E6" s="166"/>
      <c r="F6" s="166"/>
      <c r="G6" s="166"/>
      <c r="H6" s="166"/>
      <c r="I6" s="31">
        <v>43465</v>
      </c>
    </row>
    <row r="7" spans="1:9" ht="15.75">
      <c r="B7" s="168"/>
      <c r="C7" s="168"/>
      <c r="D7" s="168"/>
      <c r="E7" s="3"/>
      <c r="F7" s="3"/>
      <c r="G7" s="3"/>
      <c r="H7" s="3"/>
    </row>
    <row r="8" spans="1:9" ht="101.25" customHeight="1">
      <c r="A8" s="202" t="s">
        <v>301</v>
      </c>
      <c r="B8" s="202"/>
      <c r="C8" s="202"/>
      <c r="D8" s="202"/>
      <c r="E8" s="202"/>
      <c r="F8" s="202"/>
      <c r="G8" s="202"/>
      <c r="H8" s="202"/>
      <c r="I8" s="202"/>
    </row>
    <row r="9" spans="1:9" ht="15.75">
      <c r="A9" s="4"/>
    </row>
    <row r="10" spans="1:9" ht="66" customHeight="1">
      <c r="A10" s="203" t="s">
        <v>144</v>
      </c>
      <c r="B10" s="203"/>
      <c r="C10" s="203"/>
      <c r="D10" s="203"/>
      <c r="E10" s="203"/>
      <c r="F10" s="203"/>
      <c r="G10" s="203"/>
      <c r="H10" s="203"/>
      <c r="I10" s="203"/>
    </row>
    <row r="11" spans="1:9" ht="15.75">
      <c r="A11" s="4"/>
    </row>
    <row r="12" spans="1:9" ht="7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4" t="s">
        <v>57</v>
      </c>
      <c r="B14" s="204"/>
      <c r="C14" s="204"/>
      <c r="D14" s="204"/>
      <c r="E14" s="204"/>
      <c r="F14" s="204"/>
      <c r="G14" s="204"/>
      <c r="H14" s="204"/>
      <c r="I14" s="204"/>
    </row>
    <row r="15" spans="1:9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</row>
    <row r="16" spans="1:9" ht="17.25" customHeight="1">
      <c r="A16" s="30">
        <v>1</v>
      </c>
      <c r="B16" s="63" t="s">
        <v>83</v>
      </c>
      <c r="C16" s="64" t="s">
        <v>84</v>
      </c>
      <c r="D16" s="120" t="s">
        <v>315</v>
      </c>
      <c r="E16" s="65">
        <v>143.78</v>
      </c>
      <c r="F16" s="66">
        <f>SUM(E16*156/100)</f>
        <v>224.29679999999999</v>
      </c>
      <c r="G16" s="123">
        <v>230</v>
      </c>
      <c r="H16" s="67">
        <f t="shared" ref="H16:H19" si="0">SUM(F16*G16/1000)</f>
        <v>51.588263999999995</v>
      </c>
      <c r="I16" s="13">
        <f>E16*2/100*G16</f>
        <v>661.38800000000003</v>
      </c>
    </row>
    <row r="17" spans="1:9" ht="15" customHeight="1">
      <c r="A17" s="30">
        <v>2</v>
      </c>
      <c r="B17" s="63" t="s">
        <v>109</v>
      </c>
      <c r="C17" s="64" t="s">
        <v>84</v>
      </c>
      <c r="D17" s="120" t="s">
        <v>316</v>
      </c>
      <c r="E17" s="65">
        <v>575.12</v>
      </c>
      <c r="F17" s="66">
        <f>SUM(E17*104/100)</f>
        <v>598.12480000000005</v>
      </c>
      <c r="G17" s="123">
        <v>230</v>
      </c>
      <c r="H17" s="67">
        <f t="shared" si="0"/>
        <v>137.568704</v>
      </c>
      <c r="I17" s="13">
        <f>E17/100*G17</f>
        <v>1322.7760000000001</v>
      </c>
    </row>
    <row r="18" spans="1:9" ht="16.5" hidden="1" customHeight="1">
      <c r="A18" s="30">
        <v>3</v>
      </c>
      <c r="B18" s="63" t="s">
        <v>110</v>
      </c>
      <c r="C18" s="64" t="s">
        <v>84</v>
      </c>
      <c r="D18" s="120" t="s">
        <v>188</v>
      </c>
      <c r="E18" s="65">
        <v>718.9</v>
      </c>
      <c r="F18" s="66">
        <f>SUM(E18*24/100)</f>
        <v>172.53599999999997</v>
      </c>
      <c r="G18" s="123">
        <v>661.67</v>
      </c>
      <c r="H18" s="67">
        <f t="shared" si="0"/>
        <v>114.16189511999997</v>
      </c>
      <c r="I18" s="13">
        <f>86.268/12*G18</f>
        <v>4756.7456299999994</v>
      </c>
    </row>
    <row r="19" spans="1:9" ht="13.5" customHeight="1">
      <c r="A19" s="30">
        <v>3</v>
      </c>
      <c r="B19" s="63" t="s">
        <v>110</v>
      </c>
      <c r="C19" s="64" t="s">
        <v>84</v>
      </c>
      <c r="D19" s="120" t="s">
        <v>316</v>
      </c>
      <c r="E19" s="65">
        <v>718.9</v>
      </c>
      <c r="F19" s="66">
        <f>SUM(E19*24/100)</f>
        <v>172.53599999999997</v>
      </c>
      <c r="G19" s="123">
        <v>661.67</v>
      </c>
      <c r="H19" s="67">
        <f t="shared" si="0"/>
        <v>114.16189511999997</v>
      </c>
      <c r="I19" s="13">
        <f>86.268/12*G19</f>
        <v>4756.7456299999994</v>
      </c>
    </row>
    <row r="20" spans="1:9" ht="14.25" hidden="1" customHeight="1">
      <c r="A20" s="30">
        <v>4</v>
      </c>
      <c r="B20" s="63" t="s">
        <v>94</v>
      </c>
      <c r="C20" s="64" t="s">
        <v>84</v>
      </c>
      <c r="D20" s="120" t="s">
        <v>41</v>
      </c>
      <c r="E20" s="65">
        <v>14</v>
      </c>
      <c r="F20" s="66">
        <f>SUM(E20*2/100)</f>
        <v>0.28000000000000003</v>
      </c>
      <c r="G20" s="123">
        <v>285.76</v>
      </c>
      <c r="H20" s="67">
        <f t="shared" ref="H20:H24" si="1">SUM(F20*G20/1000)</f>
        <v>8.0012799999999995E-2</v>
      </c>
      <c r="I20" s="13">
        <f>0.28/2*G20</f>
        <v>40.006399999999999</v>
      </c>
    </row>
    <row r="21" spans="1:9" ht="13.5" hidden="1" customHeight="1">
      <c r="A21" s="30">
        <v>5</v>
      </c>
      <c r="B21" s="63" t="s">
        <v>95</v>
      </c>
      <c r="C21" s="64" t="s">
        <v>84</v>
      </c>
      <c r="D21" s="120" t="s">
        <v>41</v>
      </c>
      <c r="E21" s="65">
        <v>6</v>
      </c>
      <c r="F21" s="66">
        <f>SUM(E21*2/100)</f>
        <v>0.12</v>
      </c>
      <c r="G21" s="123">
        <v>283.44</v>
      </c>
      <c r="H21" s="67">
        <f>SUM(F21*G21/1000)</f>
        <v>3.4012799999999996E-2</v>
      </c>
      <c r="I21" s="13">
        <f>F21/2*G21</f>
        <v>17.006399999999999</v>
      </c>
    </row>
    <row r="22" spans="1:9" ht="16.5" hidden="1" customHeight="1">
      <c r="A22" s="30">
        <v>7</v>
      </c>
      <c r="B22" s="63" t="s">
        <v>96</v>
      </c>
      <c r="C22" s="64" t="s">
        <v>51</v>
      </c>
      <c r="D22" s="120" t="s">
        <v>93</v>
      </c>
      <c r="E22" s="65">
        <v>640</v>
      </c>
      <c r="F22" s="66">
        <f>SUM(E22/100)</f>
        <v>6.4</v>
      </c>
      <c r="G22" s="123">
        <v>353.14</v>
      </c>
      <c r="H22" s="67">
        <f t="shared" si="1"/>
        <v>2.2600959999999999</v>
      </c>
      <c r="I22" s="13">
        <f t="shared" ref="I22:I25" si="2">F22*G22</f>
        <v>2260.096</v>
      </c>
    </row>
    <row r="23" spans="1:9" hidden="1">
      <c r="A23" s="30">
        <v>8</v>
      </c>
      <c r="B23" s="63" t="s">
        <v>97</v>
      </c>
      <c r="C23" s="64" t="s">
        <v>51</v>
      </c>
      <c r="D23" s="120" t="s">
        <v>93</v>
      </c>
      <c r="E23" s="68">
        <v>49</v>
      </c>
      <c r="F23" s="66">
        <f>SUM(E23/100)</f>
        <v>0.49</v>
      </c>
      <c r="G23" s="123">
        <v>58.08</v>
      </c>
      <c r="H23" s="67">
        <f t="shared" si="1"/>
        <v>2.84592E-2</v>
      </c>
      <c r="I23" s="13">
        <f t="shared" si="2"/>
        <v>28.459199999999999</v>
      </c>
    </row>
    <row r="24" spans="1:9" hidden="1">
      <c r="A24" s="30">
        <v>9</v>
      </c>
      <c r="B24" s="63" t="s">
        <v>98</v>
      </c>
      <c r="C24" s="64" t="s">
        <v>51</v>
      </c>
      <c r="D24" s="120" t="s">
        <v>52</v>
      </c>
      <c r="E24" s="65">
        <v>19</v>
      </c>
      <c r="F24" s="66">
        <f>SUM(E24/100)</f>
        <v>0.19</v>
      </c>
      <c r="G24" s="132">
        <v>683.05</v>
      </c>
      <c r="H24" s="67">
        <f t="shared" si="1"/>
        <v>0.12977949999999999</v>
      </c>
      <c r="I24" s="13">
        <f>0.085*G24</f>
        <v>58.059249999999999</v>
      </c>
    </row>
    <row r="25" spans="1:9" ht="30" hidden="1">
      <c r="A25" s="30">
        <v>10</v>
      </c>
      <c r="B25" s="63" t="s">
        <v>113</v>
      </c>
      <c r="C25" s="64" t="s">
        <v>51</v>
      </c>
      <c r="D25" s="120" t="s">
        <v>52</v>
      </c>
      <c r="E25" s="65">
        <v>19</v>
      </c>
      <c r="F25" s="66">
        <f>E25/100</f>
        <v>0.19</v>
      </c>
      <c r="G25" s="123">
        <v>283.44</v>
      </c>
      <c r="H25" s="67">
        <f>G25*F25/1000</f>
        <v>5.3853600000000001E-2</v>
      </c>
      <c r="I25" s="13">
        <f t="shared" si="2"/>
        <v>53.8536</v>
      </c>
    </row>
    <row r="26" spans="1:9" ht="15" customHeight="1">
      <c r="A26" s="30">
        <v>4</v>
      </c>
      <c r="B26" s="63" t="s">
        <v>62</v>
      </c>
      <c r="C26" s="64" t="s">
        <v>33</v>
      </c>
      <c r="D26" s="63" t="s">
        <v>160</v>
      </c>
      <c r="E26" s="65">
        <v>0.1</v>
      </c>
      <c r="F26" s="66">
        <f>SUM(E26*182)</f>
        <v>18.2</v>
      </c>
      <c r="G26" s="66">
        <v>264.85000000000002</v>
      </c>
      <c r="H26" s="67">
        <f>SUM(F26*G26/1000)</f>
        <v>4.8202700000000007</v>
      </c>
      <c r="I26" s="13">
        <f>F26/12*G26</f>
        <v>401.68916666666667</v>
      </c>
    </row>
    <row r="27" spans="1:9" hidden="1">
      <c r="A27" s="30">
        <v>5</v>
      </c>
      <c r="B27" s="71" t="s">
        <v>23</v>
      </c>
      <c r="C27" s="64" t="s">
        <v>24</v>
      </c>
      <c r="D27" s="63"/>
      <c r="E27" s="65">
        <v>4731.7</v>
      </c>
      <c r="F27" s="66">
        <f>SUM(E27*12)</f>
        <v>56780.399999999994</v>
      </c>
      <c r="G27" s="66">
        <v>4.5199999999999996</v>
      </c>
      <c r="H27" s="67">
        <f>SUM(F27*G27/1000)</f>
        <v>256.64740799999993</v>
      </c>
      <c r="I27" s="13">
        <f>F27/12*G27</f>
        <v>21387.283999999996</v>
      </c>
    </row>
    <row r="28" spans="1:9">
      <c r="A28" s="184" t="s">
        <v>81</v>
      </c>
      <c r="B28" s="184"/>
      <c r="C28" s="184"/>
      <c r="D28" s="184"/>
      <c r="E28" s="184"/>
      <c r="F28" s="184"/>
      <c r="G28" s="184"/>
      <c r="H28" s="184"/>
      <c r="I28" s="184"/>
    </row>
    <row r="29" spans="1:9" hidden="1">
      <c r="A29" s="30"/>
      <c r="B29" s="83" t="s">
        <v>28</v>
      </c>
      <c r="C29" s="64"/>
      <c r="D29" s="63"/>
      <c r="E29" s="65"/>
      <c r="F29" s="66"/>
      <c r="G29" s="66"/>
      <c r="H29" s="67"/>
      <c r="I29" s="13"/>
    </row>
    <row r="30" spans="1:9" hidden="1">
      <c r="A30" s="30">
        <v>6</v>
      </c>
      <c r="B30" s="63" t="s">
        <v>100</v>
      </c>
      <c r="C30" s="64" t="s">
        <v>86</v>
      </c>
      <c r="D30" s="63" t="s">
        <v>141</v>
      </c>
      <c r="E30" s="66">
        <v>436.6</v>
      </c>
      <c r="F30" s="66">
        <f>SUM(E30*52/1000)</f>
        <v>22.703200000000002</v>
      </c>
      <c r="G30" s="123">
        <v>204.44</v>
      </c>
      <c r="H30" s="67">
        <f t="shared" ref="H30:H36" si="3">SUM(F30*G30/1000)</f>
        <v>4.641442208</v>
      </c>
      <c r="I30" s="13">
        <f>F30/6*G30</f>
        <v>773.57370133333336</v>
      </c>
    </row>
    <row r="31" spans="1:9" ht="45" hidden="1">
      <c r="A31" s="30">
        <v>7</v>
      </c>
      <c r="B31" s="63" t="s">
        <v>111</v>
      </c>
      <c r="C31" s="64" t="s">
        <v>86</v>
      </c>
      <c r="D31" s="63" t="s">
        <v>142</v>
      </c>
      <c r="E31" s="66">
        <v>54.4</v>
      </c>
      <c r="F31" s="66">
        <f>SUM(E31*78/1000)</f>
        <v>4.2431999999999999</v>
      </c>
      <c r="G31" s="123">
        <v>339.21</v>
      </c>
      <c r="H31" s="67">
        <f t="shared" si="3"/>
        <v>1.4393358719999998</v>
      </c>
      <c r="I31" s="13">
        <f t="shared" ref="I31:I34" si="4">F31/6*G31</f>
        <v>239.88931199999996</v>
      </c>
    </row>
    <row r="32" spans="1:9" hidden="1">
      <c r="A32" s="30">
        <v>15</v>
      </c>
      <c r="B32" s="63" t="s">
        <v>27</v>
      </c>
      <c r="C32" s="64" t="s">
        <v>86</v>
      </c>
      <c r="D32" s="63" t="s">
        <v>52</v>
      </c>
      <c r="E32" s="66">
        <v>436.6</v>
      </c>
      <c r="F32" s="66">
        <f>SUM(E32/1000)</f>
        <v>0.43660000000000004</v>
      </c>
      <c r="G32" s="123">
        <v>3961.23</v>
      </c>
      <c r="H32" s="67">
        <f t="shared" si="3"/>
        <v>1.7294730180000002</v>
      </c>
      <c r="I32" s="13">
        <f>F32*G32</f>
        <v>1729.4730180000001</v>
      </c>
    </row>
    <row r="33" spans="1:9" hidden="1">
      <c r="A33" s="30">
        <v>8</v>
      </c>
      <c r="B33" s="63" t="s">
        <v>123</v>
      </c>
      <c r="C33" s="64" t="s">
        <v>39</v>
      </c>
      <c r="D33" s="63" t="s">
        <v>61</v>
      </c>
      <c r="E33" s="66">
        <v>4</v>
      </c>
      <c r="F33" s="66">
        <f>E33*155/100</f>
        <v>6.2</v>
      </c>
      <c r="G33" s="123">
        <v>1707.63</v>
      </c>
      <c r="H33" s="67">
        <f>G33*F33/1000</f>
        <v>10.587306</v>
      </c>
      <c r="I33" s="13">
        <f t="shared" si="4"/>
        <v>1764.5510000000004</v>
      </c>
    </row>
    <row r="34" spans="1:9" hidden="1">
      <c r="A34" s="30">
        <v>9</v>
      </c>
      <c r="B34" s="63" t="s">
        <v>99</v>
      </c>
      <c r="C34" s="64" t="s">
        <v>31</v>
      </c>
      <c r="D34" s="63" t="s">
        <v>61</v>
      </c>
      <c r="E34" s="70">
        <f>1/3</f>
        <v>0.33333333333333331</v>
      </c>
      <c r="F34" s="66">
        <f>155/3</f>
        <v>51.666666666666664</v>
      </c>
      <c r="G34" s="123">
        <v>74.349999999999994</v>
      </c>
      <c r="H34" s="67">
        <f>SUM(G34*155/3/1000)</f>
        <v>3.8414166666666665</v>
      </c>
      <c r="I34" s="13">
        <f t="shared" si="4"/>
        <v>640.23611111111109</v>
      </c>
    </row>
    <row r="35" spans="1:9" hidden="1">
      <c r="A35" s="30"/>
      <c r="B35" s="63" t="s">
        <v>63</v>
      </c>
      <c r="C35" s="64" t="s">
        <v>33</v>
      </c>
      <c r="D35" s="63" t="s">
        <v>65</v>
      </c>
      <c r="E35" s="65"/>
      <c r="F35" s="66">
        <v>2</v>
      </c>
      <c r="G35" s="66">
        <v>250.92</v>
      </c>
      <c r="H35" s="67">
        <f t="shared" si="3"/>
        <v>0.50183999999999995</v>
      </c>
      <c r="I35" s="13">
        <v>0</v>
      </c>
    </row>
    <row r="36" spans="1:9" hidden="1">
      <c r="A36" s="30"/>
      <c r="B36" s="63" t="s">
        <v>64</v>
      </c>
      <c r="C36" s="64" t="s">
        <v>32</v>
      </c>
      <c r="D36" s="63" t="s">
        <v>65</v>
      </c>
      <c r="E36" s="65"/>
      <c r="F36" s="66">
        <v>1</v>
      </c>
      <c r="G36" s="66">
        <v>1490.31</v>
      </c>
      <c r="H36" s="67">
        <f t="shared" si="3"/>
        <v>1.49031</v>
      </c>
      <c r="I36" s="13">
        <v>0</v>
      </c>
    </row>
    <row r="37" spans="1:9" ht="16.5" customHeight="1">
      <c r="A37" s="30"/>
      <c r="B37" s="83" t="s">
        <v>5</v>
      </c>
      <c r="C37" s="64"/>
      <c r="D37" s="63"/>
      <c r="E37" s="65"/>
      <c r="F37" s="66"/>
      <c r="G37" s="66"/>
      <c r="H37" s="67" t="s">
        <v>122</v>
      </c>
      <c r="I37" s="13"/>
    </row>
    <row r="38" spans="1:9" ht="15" customHeight="1">
      <c r="A38" s="30">
        <v>5</v>
      </c>
      <c r="B38" s="63" t="s">
        <v>26</v>
      </c>
      <c r="C38" s="64" t="s">
        <v>32</v>
      </c>
      <c r="D38" s="63"/>
      <c r="E38" s="65"/>
      <c r="F38" s="66">
        <v>5</v>
      </c>
      <c r="G38" s="66">
        <v>2003</v>
      </c>
      <c r="H38" s="67">
        <f t="shared" ref="H38:H44" si="5">SUM(F38*G38/1000)</f>
        <v>10.015000000000001</v>
      </c>
      <c r="I38" s="13">
        <f t="shared" ref="I38:I44" si="6">F38/6*G38</f>
        <v>1669.1666666666667</v>
      </c>
    </row>
    <row r="39" spans="1:9" ht="14.25" customHeight="1">
      <c r="A39" s="30">
        <v>6</v>
      </c>
      <c r="B39" s="63" t="s">
        <v>146</v>
      </c>
      <c r="C39" s="64" t="s">
        <v>29</v>
      </c>
      <c r="D39" s="63" t="s">
        <v>115</v>
      </c>
      <c r="E39" s="65">
        <v>54.4</v>
      </c>
      <c r="F39" s="66">
        <f>E39*30/1000</f>
        <v>1.6319999999999999</v>
      </c>
      <c r="G39" s="66">
        <v>2757.78</v>
      </c>
      <c r="H39" s="67">
        <f t="shared" si="5"/>
        <v>4.50069696</v>
      </c>
      <c r="I39" s="13">
        <f t="shared" si="6"/>
        <v>750.11615999999992</v>
      </c>
    </row>
    <row r="40" spans="1:9" ht="30" customHeight="1">
      <c r="A40" s="30">
        <v>7</v>
      </c>
      <c r="B40" s="63" t="s">
        <v>66</v>
      </c>
      <c r="C40" s="64" t="s">
        <v>29</v>
      </c>
      <c r="D40" s="63" t="s">
        <v>85</v>
      </c>
      <c r="E40" s="66">
        <v>54.4</v>
      </c>
      <c r="F40" s="66">
        <f>SUM(E40*155/1000)</f>
        <v>8.4320000000000004</v>
      </c>
      <c r="G40" s="66">
        <v>460.02</v>
      </c>
      <c r="H40" s="67">
        <f t="shared" si="5"/>
        <v>3.87888864</v>
      </c>
      <c r="I40" s="13">
        <f t="shared" si="6"/>
        <v>646.48144000000002</v>
      </c>
    </row>
    <row r="41" spans="1:9" ht="63" customHeight="1">
      <c r="A41" s="30">
        <v>8</v>
      </c>
      <c r="B41" s="63" t="s">
        <v>78</v>
      </c>
      <c r="C41" s="64" t="s">
        <v>86</v>
      </c>
      <c r="D41" s="63" t="s">
        <v>116</v>
      </c>
      <c r="E41" s="66">
        <v>31.2</v>
      </c>
      <c r="F41" s="66">
        <f>SUM(E41*35/1000)</f>
        <v>1.0920000000000001</v>
      </c>
      <c r="G41" s="66">
        <v>7611.16</v>
      </c>
      <c r="H41" s="67">
        <f t="shared" si="5"/>
        <v>8.3113867199999998</v>
      </c>
      <c r="I41" s="13">
        <f t="shared" si="6"/>
        <v>1385.2311200000001</v>
      </c>
    </row>
    <row r="42" spans="1:9" ht="17.25" customHeight="1">
      <c r="A42" s="30">
        <v>9</v>
      </c>
      <c r="B42" s="63" t="s">
        <v>87</v>
      </c>
      <c r="C42" s="64" t="s">
        <v>86</v>
      </c>
      <c r="D42" s="63"/>
      <c r="E42" s="66">
        <v>54.4</v>
      </c>
      <c r="F42" s="164">
        <f>E42*30/1000</f>
        <v>1.6319999999999999</v>
      </c>
      <c r="G42" s="132">
        <v>562.25</v>
      </c>
      <c r="H42" s="67">
        <f t="shared" si="5"/>
        <v>0.91759199999999996</v>
      </c>
      <c r="I42" s="13">
        <f>E42*3/1000*G42</f>
        <v>91.759199999999993</v>
      </c>
    </row>
    <row r="43" spans="1:9" ht="16.5" customHeight="1">
      <c r="A43" s="30">
        <v>10</v>
      </c>
      <c r="B43" s="63" t="s">
        <v>68</v>
      </c>
      <c r="C43" s="64" t="s">
        <v>33</v>
      </c>
      <c r="D43" s="63"/>
      <c r="E43" s="65"/>
      <c r="F43" s="164">
        <v>0.9</v>
      </c>
      <c r="G43" s="164">
        <v>974.83</v>
      </c>
      <c r="H43" s="67">
        <f t="shared" si="5"/>
        <v>0.8773470000000001</v>
      </c>
      <c r="I43" s="13">
        <f>F43/45*3*G43</f>
        <v>58.489800000000002</v>
      </c>
    </row>
    <row r="44" spans="1:9" ht="31.5" customHeight="1">
      <c r="A44" s="30">
        <v>11</v>
      </c>
      <c r="B44" s="47" t="s">
        <v>147</v>
      </c>
      <c r="C44" s="49" t="s">
        <v>29</v>
      </c>
      <c r="D44" s="63" t="s">
        <v>148</v>
      </c>
      <c r="E44" s="65">
        <v>3</v>
      </c>
      <c r="F44" s="66">
        <f>SUM(E44*12/1000)</f>
        <v>3.5999999999999997E-2</v>
      </c>
      <c r="G44" s="66">
        <v>260.2</v>
      </c>
      <c r="H44" s="67">
        <f t="shared" si="5"/>
        <v>9.3671999999999991E-3</v>
      </c>
      <c r="I44" s="13">
        <f t="shared" si="6"/>
        <v>1.5611999999999997</v>
      </c>
    </row>
    <row r="45" spans="1:9">
      <c r="A45" s="185" t="s">
        <v>128</v>
      </c>
      <c r="B45" s="186"/>
      <c r="C45" s="186"/>
      <c r="D45" s="186"/>
      <c r="E45" s="186"/>
      <c r="F45" s="186"/>
      <c r="G45" s="186"/>
      <c r="H45" s="186"/>
      <c r="I45" s="187"/>
    </row>
    <row r="46" spans="1:9" hidden="1">
      <c r="A46" s="30">
        <v>12</v>
      </c>
      <c r="B46" s="63" t="s">
        <v>117</v>
      </c>
      <c r="C46" s="64" t="s">
        <v>86</v>
      </c>
      <c r="D46" s="63" t="s">
        <v>41</v>
      </c>
      <c r="E46" s="65">
        <v>1320.9</v>
      </c>
      <c r="F46" s="66">
        <f>SUM(E46*2/1000)</f>
        <v>2.6418000000000004</v>
      </c>
      <c r="G46" s="35">
        <v>1114.1300000000001</v>
      </c>
      <c r="H46" s="67">
        <f t="shared" ref="H46:H54" si="7">SUM(F46*G46/1000)</f>
        <v>2.943308634000001</v>
      </c>
      <c r="I46" s="13">
        <f>2.6418/2*G46</f>
        <v>1471.654317</v>
      </c>
    </row>
    <row r="47" spans="1:9" hidden="1">
      <c r="A47" s="30">
        <v>13</v>
      </c>
      <c r="B47" s="63" t="s">
        <v>34</v>
      </c>
      <c r="C47" s="64" t="s">
        <v>86</v>
      </c>
      <c r="D47" s="63" t="s">
        <v>41</v>
      </c>
      <c r="E47" s="65">
        <v>52</v>
      </c>
      <c r="F47" s="66">
        <f>E47*2/1000</f>
        <v>0.104</v>
      </c>
      <c r="G47" s="35">
        <v>4419.05</v>
      </c>
      <c r="H47" s="67">
        <f t="shared" si="7"/>
        <v>0.45958120000000002</v>
      </c>
      <c r="I47" s="13">
        <f>0.104/2*G47</f>
        <v>229.79060000000001</v>
      </c>
    </row>
    <row r="48" spans="1:9" hidden="1">
      <c r="A48" s="30">
        <v>14</v>
      </c>
      <c r="B48" s="63" t="s">
        <v>35</v>
      </c>
      <c r="C48" s="64" t="s">
        <v>86</v>
      </c>
      <c r="D48" s="63" t="s">
        <v>41</v>
      </c>
      <c r="E48" s="65">
        <v>1520.8</v>
      </c>
      <c r="F48" s="66">
        <f>SUM(E48*2/1000)</f>
        <v>3.0415999999999999</v>
      </c>
      <c r="G48" s="35">
        <v>1803.69</v>
      </c>
      <c r="H48" s="67">
        <f t="shared" si="7"/>
        <v>5.4861035039999999</v>
      </c>
      <c r="I48" s="13">
        <f>3.0416/2*G48</f>
        <v>2743.0517519999999</v>
      </c>
    </row>
    <row r="49" spans="1:9" hidden="1">
      <c r="A49" s="30">
        <v>15</v>
      </c>
      <c r="B49" s="63" t="s">
        <v>36</v>
      </c>
      <c r="C49" s="64" t="s">
        <v>86</v>
      </c>
      <c r="D49" s="63" t="s">
        <v>41</v>
      </c>
      <c r="E49" s="65">
        <v>3433.81</v>
      </c>
      <c r="F49" s="66">
        <f>SUM(E49*2/1000)</f>
        <v>6.8676199999999996</v>
      </c>
      <c r="G49" s="35">
        <v>1243.43</v>
      </c>
      <c r="H49" s="67">
        <f t="shared" si="7"/>
        <v>8.5394047365999999</v>
      </c>
      <c r="I49" s="13">
        <f>6.86762/2*G49</f>
        <v>4269.7023682999998</v>
      </c>
    </row>
    <row r="50" spans="1:9" ht="31.5" customHeight="1">
      <c r="A50" s="30">
        <v>12</v>
      </c>
      <c r="B50" s="120" t="s">
        <v>285</v>
      </c>
      <c r="C50" s="121" t="s">
        <v>86</v>
      </c>
      <c r="D50" s="120" t="s">
        <v>286</v>
      </c>
      <c r="E50" s="175">
        <v>4731.7</v>
      </c>
      <c r="F50" s="123">
        <f>SUM(E50*5/1000)</f>
        <v>23.6585</v>
      </c>
      <c r="G50" s="35">
        <v>1803.69</v>
      </c>
      <c r="H50" s="67">
        <f t="shared" si="7"/>
        <v>42.672599865000002</v>
      </c>
      <c r="I50" s="13">
        <f>F50/5*G50</f>
        <v>8534.5199730000004</v>
      </c>
    </row>
    <row r="51" spans="1:9" ht="45" hidden="1">
      <c r="A51" s="30">
        <v>10</v>
      </c>
      <c r="B51" s="63" t="s">
        <v>88</v>
      </c>
      <c r="C51" s="64" t="s">
        <v>86</v>
      </c>
      <c r="D51" s="63" t="s">
        <v>41</v>
      </c>
      <c r="E51" s="65">
        <v>4731.7</v>
      </c>
      <c r="F51" s="66">
        <f>SUM(E51*2/1000)</f>
        <v>9.4634</v>
      </c>
      <c r="G51" s="35">
        <v>1591.6</v>
      </c>
      <c r="H51" s="67">
        <f t="shared" si="7"/>
        <v>15.061947439999999</v>
      </c>
      <c r="I51" s="13">
        <f>9.4634/2*G51</f>
        <v>7530.97372</v>
      </c>
    </row>
    <row r="52" spans="1:9" ht="30" hidden="1">
      <c r="A52" s="30">
        <v>11</v>
      </c>
      <c r="B52" s="63" t="s">
        <v>89</v>
      </c>
      <c r="C52" s="64" t="s">
        <v>37</v>
      </c>
      <c r="D52" s="63" t="s">
        <v>41</v>
      </c>
      <c r="E52" s="65">
        <v>20</v>
      </c>
      <c r="F52" s="66">
        <f>SUM(E52*2/100)</f>
        <v>0.4</v>
      </c>
      <c r="G52" s="35">
        <v>4058.32</v>
      </c>
      <c r="H52" s="67">
        <f>SUM(F52*G52/1000)</f>
        <v>1.6233280000000001</v>
      </c>
      <c r="I52" s="13">
        <f>0.4/2*G52</f>
        <v>811.6640000000001</v>
      </c>
    </row>
    <row r="53" spans="1:9" hidden="1">
      <c r="A53" s="30">
        <v>12</v>
      </c>
      <c r="B53" s="63" t="s">
        <v>38</v>
      </c>
      <c r="C53" s="64" t="s">
        <v>39</v>
      </c>
      <c r="D53" s="63" t="s">
        <v>41</v>
      </c>
      <c r="E53" s="65">
        <v>1</v>
      </c>
      <c r="F53" s="66">
        <v>0.02</v>
      </c>
      <c r="G53" s="35">
        <v>7412.92</v>
      </c>
      <c r="H53" s="67">
        <f t="shared" si="7"/>
        <v>0.14825839999999998</v>
      </c>
      <c r="I53" s="13">
        <f>0.02/2*G53</f>
        <v>74.129199999999997</v>
      </c>
    </row>
    <row r="54" spans="1:9" ht="17.25" hidden="1" customHeight="1">
      <c r="A54" s="30">
        <v>10</v>
      </c>
      <c r="B54" s="171" t="s">
        <v>40</v>
      </c>
      <c r="C54" s="172" t="s">
        <v>101</v>
      </c>
      <c r="D54" s="171" t="s">
        <v>52</v>
      </c>
      <c r="E54" s="173">
        <v>160</v>
      </c>
      <c r="F54" s="132">
        <f>SUM(E54)</f>
        <v>160</v>
      </c>
      <c r="G54" s="174">
        <v>86.15</v>
      </c>
      <c r="H54" s="67">
        <f t="shared" si="7"/>
        <v>13.784000000000001</v>
      </c>
      <c r="I54" s="13">
        <f>G54*160</f>
        <v>13784</v>
      </c>
    </row>
    <row r="55" spans="1:9">
      <c r="A55" s="185" t="s">
        <v>129</v>
      </c>
      <c r="B55" s="186"/>
      <c r="C55" s="186"/>
      <c r="D55" s="186"/>
      <c r="E55" s="186"/>
      <c r="F55" s="186"/>
      <c r="G55" s="186"/>
      <c r="H55" s="186"/>
      <c r="I55" s="187"/>
    </row>
    <row r="56" spans="1:9">
      <c r="A56" s="30"/>
      <c r="B56" s="83" t="s">
        <v>42</v>
      </c>
      <c r="C56" s="64"/>
      <c r="D56" s="63"/>
      <c r="E56" s="65"/>
      <c r="F56" s="66"/>
      <c r="G56" s="66"/>
      <c r="H56" s="67"/>
      <c r="I56" s="13"/>
    </row>
    <row r="57" spans="1:9" ht="45" hidden="1">
      <c r="A57" s="30">
        <v>14</v>
      </c>
      <c r="B57" s="63" t="s">
        <v>118</v>
      </c>
      <c r="C57" s="64" t="s">
        <v>84</v>
      </c>
      <c r="D57" s="63" t="s">
        <v>102</v>
      </c>
      <c r="E57" s="65">
        <v>107.21</v>
      </c>
      <c r="F57" s="66">
        <f>SUM(E57*6/100)</f>
        <v>6.4325999999999999</v>
      </c>
      <c r="G57" s="13">
        <v>2029.3</v>
      </c>
      <c r="H57" s="67">
        <f>SUM(F57*G57/1000)</f>
        <v>13.053675180000001</v>
      </c>
      <c r="I57" s="13">
        <f>F57/6*G57</f>
        <v>2175.6125299999999</v>
      </c>
    </row>
    <row r="58" spans="1:9" hidden="1">
      <c r="A58" s="30">
        <v>14</v>
      </c>
      <c r="B58" s="72" t="s">
        <v>120</v>
      </c>
      <c r="C58" s="73" t="s">
        <v>121</v>
      </c>
      <c r="D58" s="72" t="s">
        <v>41</v>
      </c>
      <c r="E58" s="74">
        <v>4</v>
      </c>
      <c r="F58" s="75">
        <v>0.8</v>
      </c>
      <c r="G58" s="13">
        <v>237.1</v>
      </c>
      <c r="H58" s="67">
        <f t="shared" ref="H58:H59" si="8">SUM(F58*G58/1000)</f>
        <v>0.18968000000000002</v>
      </c>
      <c r="I58" s="13">
        <f>F58/2*G58</f>
        <v>94.84</v>
      </c>
    </row>
    <row r="59" spans="1:9" ht="16.5" customHeight="1">
      <c r="A59" s="30">
        <v>13</v>
      </c>
      <c r="B59" s="63" t="s">
        <v>119</v>
      </c>
      <c r="C59" s="64" t="s">
        <v>84</v>
      </c>
      <c r="D59" s="63" t="s">
        <v>102</v>
      </c>
      <c r="E59" s="65">
        <v>3.8</v>
      </c>
      <c r="F59" s="66">
        <f>SUM(E59*6/100)</f>
        <v>0.22799999999999998</v>
      </c>
      <c r="G59" s="13">
        <v>2029.3</v>
      </c>
      <c r="H59" s="67">
        <f t="shared" si="8"/>
        <v>0.46268039999999994</v>
      </c>
      <c r="I59" s="13">
        <f>F59/6*G59</f>
        <v>77.113399999999999</v>
      </c>
    </row>
    <row r="60" spans="1:9" hidden="1">
      <c r="A60" s="30">
        <v>11</v>
      </c>
      <c r="B60" s="63" t="s">
        <v>149</v>
      </c>
      <c r="C60" s="64" t="s">
        <v>150</v>
      </c>
      <c r="D60" s="63" t="s">
        <v>65</v>
      </c>
      <c r="E60" s="65"/>
      <c r="F60" s="66">
        <v>3</v>
      </c>
      <c r="G60" s="13">
        <v>1582.05</v>
      </c>
      <c r="H60" s="67">
        <f>SUM(F60*G60/1000)</f>
        <v>4.7461499999999992</v>
      </c>
      <c r="I60" s="13">
        <f>G60*10</f>
        <v>15820.5</v>
      </c>
    </row>
    <row r="61" spans="1:9" ht="15" customHeight="1">
      <c r="A61" s="30"/>
      <c r="B61" s="84" t="s">
        <v>43</v>
      </c>
      <c r="C61" s="73"/>
      <c r="D61" s="72"/>
      <c r="E61" s="74"/>
      <c r="F61" s="75"/>
      <c r="G61" s="13"/>
      <c r="H61" s="76"/>
      <c r="I61" s="13"/>
    </row>
    <row r="62" spans="1:9" hidden="1">
      <c r="A62" s="30">
        <v>18</v>
      </c>
      <c r="B62" s="72" t="s">
        <v>151</v>
      </c>
      <c r="C62" s="73" t="s">
        <v>51</v>
      </c>
      <c r="D62" s="72" t="s">
        <v>52</v>
      </c>
      <c r="E62" s="74">
        <v>660.45</v>
      </c>
      <c r="F62" s="75">
        <f>E62/100</f>
        <v>6.6045000000000007</v>
      </c>
      <c r="G62" s="13">
        <v>1040.8399999999999</v>
      </c>
      <c r="H62" s="76">
        <f>F62*G62/1000</f>
        <v>6.87422778</v>
      </c>
      <c r="I62" s="13">
        <f>G62*(1.2/100)</f>
        <v>12.490079999999999</v>
      </c>
    </row>
    <row r="63" spans="1:9" ht="18" customHeight="1">
      <c r="A63" s="30">
        <v>14</v>
      </c>
      <c r="B63" s="72" t="s">
        <v>112</v>
      </c>
      <c r="C63" s="73" t="s">
        <v>25</v>
      </c>
      <c r="D63" s="72" t="s">
        <v>30</v>
      </c>
      <c r="E63" s="74">
        <v>200</v>
      </c>
      <c r="F63" s="77">
        <f>E63*12</f>
        <v>2400</v>
      </c>
      <c r="G63" s="57">
        <v>2.8</v>
      </c>
      <c r="H63" s="75">
        <f>F63*G63/1000</f>
        <v>6.72</v>
      </c>
      <c r="I63" s="13">
        <f>2856/12*G63</f>
        <v>666.4</v>
      </c>
    </row>
    <row r="64" spans="1:9" hidden="1">
      <c r="A64" s="30"/>
      <c r="B64" s="84" t="s">
        <v>44</v>
      </c>
      <c r="C64" s="73"/>
      <c r="D64" s="72"/>
      <c r="E64" s="74"/>
      <c r="F64" s="77"/>
      <c r="G64" s="77"/>
      <c r="H64" s="75" t="s">
        <v>122</v>
      </c>
      <c r="I64" s="13"/>
    </row>
    <row r="65" spans="1:9" hidden="1">
      <c r="A65" s="30">
        <v>14</v>
      </c>
      <c r="B65" s="14" t="s">
        <v>45</v>
      </c>
      <c r="C65" s="16" t="s">
        <v>101</v>
      </c>
      <c r="D65" s="44" t="s">
        <v>65</v>
      </c>
      <c r="E65" s="18">
        <v>10</v>
      </c>
      <c r="F65" s="66">
        <f>SUM(E65)</f>
        <v>10</v>
      </c>
      <c r="G65" s="122">
        <v>291.68</v>
      </c>
      <c r="H65" s="78">
        <f t="shared" ref="H65:H83" si="9">SUM(F65*G65/1000)</f>
        <v>2.9168000000000003</v>
      </c>
      <c r="I65" s="13">
        <f>G65*4</f>
        <v>1166.72</v>
      </c>
    </row>
    <row r="66" spans="1:9" hidden="1">
      <c r="A66" s="30"/>
      <c r="B66" s="14" t="s">
        <v>46</v>
      </c>
      <c r="C66" s="16" t="s">
        <v>101</v>
      </c>
      <c r="D66" s="14" t="s">
        <v>65</v>
      </c>
      <c r="E66" s="18">
        <v>9</v>
      </c>
      <c r="F66" s="66">
        <f>SUM(E66)</f>
        <v>9</v>
      </c>
      <c r="G66" s="13">
        <v>100.01</v>
      </c>
      <c r="H66" s="78">
        <f t="shared" si="9"/>
        <v>0.90009000000000006</v>
      </c>
      <c r="I66" s="13">
        <v>0</v>
      </c>
    </row>
    <row r="67" spans="1:9" hidden="1">
      <c r="A67" s="30">
        <v>16</v>
      </c>
      <c r="B67" s="14" t="s">
        <v>47</v>
      </c>
      <c r="C67" s="16" t="s">
        <v>103</v>
      </c>
      <c r="D67" s="14" t="s">
        <v>52</v>
      </c>
      <c r="E67" s="65">
        <v>19836</v>
      </c>
      <c r="F67" s="13">
        <f>SUM(E67/100)</f>
        <v>198.36</v>
      </c>
      <c r="G67" s="13">
        <v>278.24</v>
      </c>
      <c r="H67" s="78">
        <f t="shared" si="9"/>
        <v>55.191686400000009</v>
      </c>
      <c r="I67" s="13">
        <f>F67*G67</f>
        <v>55191.686400000006</v>
      </c>
    </row>
    <row r="68" spans="1:9" hidden="1">
      <c r="A68" s="30">
        <v>27</v>
      </c>
      <c r="B68" s="14" t="s">
        <v>48</v>
      </c>
      <c r="C68" s="16" t="s">
        <v>104</v>
      </c>
      <c r="D68" s="14"/>
      <c r="E68" s="65">
        <v>19836</v>
      </c>
      <c r="F68" s="13">
        <f>SUM(E68/1000)</f>
        <v>19.835999999999999</v>
      </c>
      <c r="G68" s="13">
        <v>216.68</v>
      </c>
      <c r="H68" s="78">
        <f t="shared" si="9"/>
        <v>4.2980644799999999</v>
      </c>
      <c r="I68" s="13">
        <f t="shared" ref="I68:I72" si="10">F68*G68</f>
        <v>4298.06448</v>
      </c>
    </row>
    <row r="69" spans="1:9" hidden="1">
      <c r="A69" s="30">
        <v>28</v>
      </c>
      <c r="B69" s="14" t="s">
        <v>49</v>
      </c>
      <c r="C69" s="16" t="s">
        <v>73</v>
      </c>
      <c r="D69" s="14" t="s">
        <v>52</v>
      </c>
      <c r="E69" s="65">
        <v>3155</v>
      </c>
      <c r="F69" s="13">
        <f>SUM(E69/100)</f>
        <v>31.55</v>
      </c>
      <c r="G69" s="13">
        <v>2720.94</v>
      </c>
      <c r="H69" s="78">
        <f t="shared" si="9"/>
        <v>85.845657000000003</v>
      </c>
      <c r="I69" s="13">
        <f t="shared" si="10"/>
        <v>85845.657000000007</v>
      </c>
    </row>
    <row r="70" spans="1:9" hidden="1">
      <c r="A70" s="30">
        <v>29</v>
      </c>
      <c r="B70" s="79" t="s">
        <v>105</v>
      </c>
      <c r="C70" s="16" t="s">
        <v>33</v>
      </c>
      <c r="D70" s="14"/>
      <c r="E70" s="65">
        <v>34.5</v>
      </c>
      <c r="F70" s="13">
        <f>SUM(E70)</f>
        <v>34.5</v>
      </c>
      <c r="G70" s="13">
        <v>44.31</v>
      </c>
      <c r="H70" s="78">
        <f t="shared" si="9"/>
        <v>1.5286950000000001</v>
      </c>
      <c r="I70" s="13">
        <f t="shared" si="10"/>
        <v>1528.6950000000002</v>
      </c>
    </row>
    <row r="71" spans="1:9" hidden="1">
      <c r="A71" s="30">
        <v>30</v>
      </c>
      <c r="B71" s="79" t="s">
        <v>106</v>
      </c>
      <c r="C71" s="16" t="s">
        <v>33</v>
      </c>
      <c r="D71" s="14"/>
      <c r="E71" s="65">
        <v>34.5</v>
      </c>
      <c r="F71" s="13">
        <f t="shared" ref="F71:F72" si="11">SUM(E71)</f>
        <v>34.5</v>
      </c>
      <c r="G71" s="13">
        <v>47.79</v>
      </c>
      <c r="H71" s="78">
        <f t="shared" si="9"/>
        <v>1.648755</v>
      </c>
      <c r="I71" s="13">
        <f t="shared" si="10"/>
        <v>1648.7549999999999</v>
      </c>
    </row>
    <row r="72" spans="1:9" hidden="1">
      <c r="A72" s="30">
        <v>19</v>
      </c>
      <c r="B72" s="14" t="s">
        <v>55</v>
      </c>
      <c r="C72" s="16" t="s">
        <v>56</v>
      </c>
      <c r="D72" s="14" t="s">
        <v>52</v>
      </c>
      <c r="E72" s="18">
        <v>5</v>
      </c>
      <c r="F72" s="13">
        <f t="shared" si="11"/>
        <v>5</v>
      </c>
      <c r="G72" s="13">
        <v>65.42</v>
      </c>
      <c r="H72" s="78">
        <f t="shared" si="9"/>
        <v>0.3271</v>
      </c>
      <c r="I72" s="13">
        <f t="shared" si="10"/>
        <v>327.10000000000002</v>
      </c>
    </row>
    <row r="73" spans="1:9" ht="16.5" customHeight="1">
      <c r="A73" s="30"/>
      <c r="B73" s="102" t="s">
        <v>152</v>
      </c>
      <c r="C73" s="49"/>
      <c r="D73" s="14"/>
      <c r="E73" s="18"/>
      <c r="F73" s="13"/>
      <c r="G73" s="13"/>
      <c r="H73" s="78"/>
      <c r="I73" s="13"/>
    </row>
    <row r="74" spans="1:9" ht="18.75" customHeight="1">
      <c r="A74" s="30">
        <v>16</v>
      </c>
      <c r="B74" s="14" t="s">
        <v>153</v>
      </c>
      <c r="C74" s="30" t="s">
        <v>154</v>
      </c>
      <c r="D74" s="44" t="s">
        <v>65</v>
      </c>
      <c r="E74" s="18">
        <v>4731.7</v>
      </c>
      <c r="F74" s="13">
        <f>SUM(E74*12)</f>
        <v>56780.399999999994</v>
      </c>
      <c r="G74" s="13">
        <v>2.2799999999999998</v>
      </c>
      <c r="H74" s="78">
        <f t="shared" ref="H74" si="12">SUM(F74*G74/1000)</f>
        <v>129.45931199999998</v>
      </c>
      <c r="I74" s="13">
        <f>F74/12*G74</f>
        <v>10788.275999999998</v>
      </c>
    </row>
    <row r="75" spans="1:9" ht="17.25" customHeight="1">
      <c r="A75" s="30"/>
      <c r="B75" s="167" t="s">
        <v>69</v>
      </c>
      <c r="C75" s="16"/>
      <c r="D75" s="14"/>
      <c r="E75" s="18"/>
      <c r="F75" s="13"/>
      <c r="G75" s="13"/>
      <c r="H75" s="78" t="s">
        <v>122</v>
      </c>
      <c r="I75" s="13"/>
    </row>
    <row r="76" spans="1:9" ht="30" hidden="1">
      <c r="A76" s="30"/>
      <c r="B76" s="14" t="s">
        <v>155</v>
      </c>
      <c r="C76" s="16" t="s">
        <v>101</v>
      </c>
      <c r="D76" s="14" t="s">
        <v>65</v>
      </c>
      <c r="E76" s="18">
        <v>1</v>
      </c>
      <c r="F76" s="13">
        <v>1</v>
      </c>
      <c r="G76" s="13">
        <v>1543.4</v>
      </c>
      <c r="H76" s="78">
        <f t="shared" ref="H76:H79" si="13">SUM(F76*G76/1000)</f>
        <v>1.5434000000000001</v>
      </c>
      <c r="I76" s="13">
        <v>0</v>
      </c>
    </row>
    <row r="77" spans="1:9" hidden="1">
      <c r="A77" s="30">
        <v>19</v>
      </c>
      <c r="B77" s="47" t="s">
        <v>156</v>
      </c>
      <c r="C77" s="49" t="s">
        <v>101</v>
      </c>
      <c r="D77" s="14" t="s">
        <v>65</v>
      </c>
      <c r="E77" s="18">
        <v>4</v>
      </c>
      <c r="F77" s="13">
        <v>1</v>
      </c>
      <c r="G77" s="13">
        <v>130.96</v>
      </c>
      <c r="H77" s="78">
        <f>SUM(F77*G77/1000)</f>
        <v>0.13096000000000002</v>
      </c>
      <c r="I77" s="13">
        <v>0</v>
      </c>
    </row>
    <row r="78" spans="1:9" hidden="1">
      <c r="A78" s="30">
        <v>13</v>
      </c>
      <c r="B78" s="14" t="s">
        <v>70</v>
      </c>
      <c r="C78" s="16" t="s">
        <v>71</v>
      </c>
      <c r="D78" s="44" t="s">
        <v>65</v>
      </c>
      <c r="E78" s="18">
        <v>8</v>
      </c>
      <c r="F78" s="13">
        <f>E78/10</f>
        <v>0.8</v>
      </c>
      <c r="G78" s="13">
        <v>657.87</v>
      </c>
      <c r="H78" s="78">
        <f t="shared" si="13"/>
        <v>0.5262960000000001</v>
      </c>
      <c r="I78" s="13">
        <f>G78*0.2</f>
        <v>131.57400000000001</v>
      </c>
    </row>
    <row r="79" spans="1:9" hidden="1">
      <c r="A79" s="30"/>
      <c r="B79" s="14" t="s">
        <v>157</v>
      </c>
      <c r="C79" s="16" t="s">
        <v>101</v>
      </c>
      <c r="D79" s="14" t="s">
        <v>65</v>
      </c>
      <c r="E79" s="18">
        <v>1</v>
      </c>
      <c r="F79" s="66">
        <f>SUM(E79)</f>
        <v>1</v>
      </c>
      <c r="G79" s="13">
        <v>1118.72</v>
      </c>
      <c r="H79" s="78">
        <f t="shared" si="13"/>
        <v>1.1187199999999999</v>
      </c>
      <c r="I79" s="13">
        <v>0</v>
      </c>
    </row>
    <row r="80" spans="1:9" hidden="1">
      <c r="A80" s="30"/>
      <c r="B80" s="47" t="s">
        <v>158</v>
      </c>
      <c r="C80" s="49" t="s">
        <v>101</v>
      </c>
      <c r="D80" s="14" t="s">
        <v>65</v>
      </c>
      <c r="E80" s="18">
        <v>1</v>
      </c>
      <c r="F80" s="57">
        <v>1</v>
      </c>
      <c r="G80" s="13">
        <v>3757.02</v>
      </c>
      <c r="H80" s="78">
        <f>SUM(F80*G80/1000)</f>
        <v>3.7570199999999998</v>
      </c>
      <c r="I80" s="13">
        <v>0</v>
      </c>
    </row>
    <row r="81" spans="1:9" ht="15.75" customHeight="1">
      <c r="A81" s="30">
        <v>17</v>
      </c>
      <c r="B81" s="47" t="s">
        <v>159</v>
      </c>
      <c r="C81" s="49" t="s">
        <v>101</v>
      </c>
      <c r="D81" s="14" t="s">
        <v>30</v>
      </c>
      <c r="E81" s="99">
        <v>2</v>
      </c>
      <c r="F81" s="77">
        <f>E81*12</f>
        <v>24</v>
      </c>
      <c r="G81" s="100">
        <v>53.42</v>
      </c>
      <c r="H81" s="78">
        <f t="shared" ref="H81" si="14">SUM(F81*G81/1000)</f>
        <v>1.2820799999999999</v>
      </c>
      <c r="I81" s="13">
        <f>G81*2</f>
        <v>106.84</v>
      </c>
    </row>
    <row r="82" spans="1:9" hidden="1">
      <c r="A82" s="30"/>
      <c r="B82" s="81" t="s">
        <v>72</v>
      </c>
      <c r="C82" s="16"/>
      <c r="D82" s="14"/>
      <c r="E82" s="18"/>
      <c r="F82" s="13"/>
      <c r="G82" s="13" t="s">
        <v>122</v>
      </c>
      <c r="H82" s="78" t="s">
        <v>122</v>
      </c>
      <c r="I82" s="13"/>
    </row>
    <row r="83" spans="1:9" hidden="1">
      <c r="A83" s="30"/>
      <c r="B83" s="44" t="s">
        <v>114</v>
      </c>
      <c r="C83" s="16" t="s">
        <v>73</v>
      </c>
      <c r="D83" s="14"/>
      <c r="E83" s="18"/>
      <c r="F83" s="13">
        <v>0.3</v>
      </c>
      <c r="G83" s="13">
        <v>3619.09</v>
      </c>
      <c r="H83" s="78">
        <f t="shared" si="9"/>
        <v>1.0857270000000001</v>
      </c>
      <c r="I83" s="13">
        <v>0</v>
      </c>
    </row>
    <row r="84" spans="1:9" ht="28.5" hidden="1">
      <c r="A84" s="30"/>
      <c r="B84" s="103" t="s">
        <v>90</v>
      </c>
      <c r="C84" s="81"/>
      <c r="D84" s="32"/>
      <c r="E84" s="33"/>
      <c r="F84" s="69"/>
      <c r="G84" s="69"/>
      <c r="H84" s="82">
        <f>SUM(H57:H83)</f>
        <v>323.6067762400001</v>
      </c>
      <c r="I84" s="69"/>
    </row>
    <row r="85" spans="1:9" hidden="1">
      <c r="A85" s="30"/>
      <c r="B85" s="63" t="s">
        <v>107</v>
      </c>
      <c r="C85" s="16"/>
      <c r="D85" s="14"/>
      <c r="E85" s="58"/>
      <c r="F85" s="13">
        <v>1</v>
      </c>
      <c r="G85" s="13">
        <v>20512</v>
      </c>
      <c r="H85" s="78">
        <f>G85*F85/1000</f>
        <v>20.512</v>
      </c>
      <c r="I85" s="13">
        <v>0</v>
      </c>
    </row>
    <row r="86" spans="1:9">
      <c r="A86" s="194" t="s">
        <v>130</v>
      </c>
      <c r="B86" s="195"/>
      <c r="C86" s="195"/>
      <c r="D86" s="195"/>
      <c r="E86" s="195"/>
      <c r="F86" s="195"/>
      <c r="G86" s="195"/>
      <c r="H86" s="195"/>
      <c r="I86" s="196"/>
    </row>
    <row r="87" spans="1:9" ht="15" customHeight="1">
      <c r="A87" s="30">
        <v>18</v>
      </c>
      <c r="B87" s="63" t="s">
        <v>108</v>
      </c>
      <c r="C87" s="16" t="s">
        <v>53</v>
      </c>
      <c r="D87" s="101"/>
      <c r="E87" s="13">
        <v>4731.7</v>
      </c>
      <c r="F87" s="13">
        <f>SUM(E87*12)</f>
        <v>56780.399999999994</v>
      </c>
      <c r="G87" s="13">
        <v>3.1</v>
      </c>
      <c r="H87" s="78">
        <f>SUM(F87*G87/1000)</f>
        <v>176.01924</v>
      </c>
      <c r="I87" s="13">
        <f>F87/12*G87</f>
        <v>14668.27</v>
      </c>
    </row>
    <row r="88" spans="1:9" ht="33" customHeight="1">
      <c r="A88" s="30">
        <v>19</v>
      </c>
      <c r="B88" s="14" t="s">
        <v>74</v>
      </c>
      <c r="C88" s="16"/>
      <c r="D88" s="44"/>
      <c r="E88" s="65">
        <f>E87</f>
        <v>4731.7</v>
      </c>
      <c r="F88" s="13">
        <f>E88*12</f>
        <v>56780.399999999994</v>
      </c>
      <c r="G88" s="13">
        <v>3.5</v>
      </c>
      <c r="H88" s="78">
        <f>F88*G88/1000</f>
        <v>198.73139999999995</v>
      </c>
      <c r="I88" s="13">
        <f>F88/12*G88</f>
        <v>16560.95</v>
      </c>
    </row>
    <row r="89" spans="1:9">
      <c r="A89" s="30"/>
      <c r="B89" s="37" t="s">
        <v>76</v>
      </c>
      <c r="C89" s="81"/>
      <c r="D89" s="80"/>
      <c r="E89" s="69"/>
      <c r="F89" s="69"/>
      <c r="G89" s="69"/>
      <c r="H89" s="82">
        <f>H88</f>
        <v>198.73139999999995</v>
      </c>
      <c r="I89" s="69">
        <f>I88+I87+I81+I74+I63+I59+I50+I44+I43+I42+I41+I40+I39+I38+I26+I19+I17+I16</f>
        <v>63147.773756333321</v>
      </c>
    </row>
    <row r="90" spans="1:9">
      <c r="A90" s="191" t="s">
        <v>58</v>
      </c>
      <c r="B90" s="192"/>
      <c r="C90" s="192"/>
      <c r="D90" s="192"/>
      <c r="E90" s="192"/>
      <c r="F90" s="192"/>
      <c r="G90" s="192"/>
      <c r="H90" s="192"/>
      <c r="I90" s="193"/>
    </row>
    <row r="91" spans="1:9" ht="30">
      <c r="A91" s="30">
        <v>20</v>
      </c>
      <c r="B91" s="62" t="s">
        <v>138</v>
      </c>
      <c r="C91" s="30" t="s">
        <v>139</v>
      </c>
      <c r="D91" s="16"/>
      <c r="E91" s="35"/>
      <c r="F91" s="35"/>
      <c r="G91" s="13">
        <v>326.66000000000003</v>
      </c>
      <c r="H91" s="35"/>
      <c r="I91" s="13">
        <f>G91*1.1</f>
        <v>359.32600000000008</v>
      </c>
    </row>
    <row r="92" spans="1:9" ht="30">
      <c r="A92" s="30">
        <v>21</v>
      </c>
      <c r="B92" s="47" t="s">
        <v>287</v>
      </c>
      <c r="C92" s="49" t="s">
        <v>127</v>
      </c>
      <c r="D92" s="16" t="s">
        <v>288</v>
      </c>
      <c r="E92" s="35"/>
      <c r="F92" s="35"/>
      <c r="G92" s="13">
        <v>1272</v>
      </c>
      <c r="H92" s="35"/>
      <c r="I92" s="13">
        <f>G92*7</f>
        <v>8904</v>
      </c>
    </row>
    <row r="93" spans="1:9">
      <c r="A93" s="30">
        <v>22</v>
      </c>
      <c r="B93" s="112" t="s">
        <v>208</v>
      </c>
      <c r="C93" s="113" t="s">
        <v>79</v>
      </c>
      <c r="D93" s="16"/>
      <c r="E93" s="35"/>
      <c r="F93" s="35"/>
      <c r="G93" s="35">
        <v>203.68</v>
      </c>
      <c r="H93" s="35"/>
      <c r="I93" s="13">
        <f>G93*6</f>
        <v>1222.08</v>
      </c>
    </row>
    <row r="94" spans="1:9">
      <c r="A94" s="30">
        <v>23</v>
      </c>
      <c r="B94" s="47" t="s">
        <v>77</v>
      </c>
      <c r="C94" s="49" t="s">
        <v>101</v>
      </c>
      <c r="D94" s="44"/>
      <c r="E94" s="35"/>
      <c r="F94" s="35"/>
      <c r="G94" s="35">
        <v>197.48</v>
      </c>
      <c r="H94" s="35"/>
      <c r="I94" s="13">
        <f>G94*1</f>
        <v>197.48</v>
      </c>
    </row>
    <row r="95" spans="1:9" ht="30">
      <c r="A95" s="30">
        <v>24</v>
      </c>
      <c r="B95" s="112" t="s">
        <v>227</v>
      </c>
      <c r="C95" s="113" t="s">
        <v>37</v>
      </c>
      <c r="D95" s="16"/>
      <c r="E95" s="35"/>
      <c r="F95" s="35"/>
      <c r="G95" s="35">
        <v>3724.37</v>
      </c>
      <c r="H95" s="35"/>
      <c r="I95" s="13">
        <f>G95*0.02</f>
        <v>74.487399999999994</v>
      </c>
    </row>
    <row r="96" spans="1:9" ht="30">
      <c r="A96" s="30">
        <v>25</v>
      </c>
      <c r="B96" s="112" t="s">
        <v>280</v>
      </c>
      <c r="C96" s="113" t="s">
        <v>281</v>
      </c>
      <c r="D96" s="16"/>
      <c r="E96" s="35"/>
      <c r="F96" s="35"/>
      <c r="G96" s="35">
        <v>24829.08</v>
      </c>
      <c r="H96" s="35"/>
      <c r="I96" s="13">
        <f>G96*0.01</f>
        <v>248.29080000000002</v>
      </c>
    </row>
    <row r="97" spans="1:9" ht="30">
      <c r="A97" s="30">
        <v>26</v>
      </c>
      <c r="B97" s="112" t="s">
        <v>290</v>
      </c>
      <c r="C97" s="113" t="s">
        <v>101</v>
      </c>
      <c r="D97" s="16"/>
      <c r="E97" s="35"/>
      <c r="F97" s="35"/>
      <c r="G97" s="35">
        <v>419.84</v>
      </c>
      <c r="H97" s="35"/>
      <c r="I97" s="13">
        <f>G97*1</f>
        <v>419.84</v>
      </c>
    </row>
    <row r="98" spans="1:9" ht="30">
      <c r="A98" s="30">
        <v>27</v>
      </c>
      <c r="B98" s="47" t="s">
        <v>293</v>
      </c>
      <c r="C98" s="49" t="s">
        <v>127</v>
      </c>
      <c r="D98" s="16" t="s">
        <v>291</v>
      </c>
      <c r="E98" s="35"/>
      <c r="F98" s="35"/>
      <c r="G98" s="35">
        <v>1187</v>
      </c>
      <c r="H98" s="35"/>
      <c r="I98" s="13">
        <f>G98*16</f>
        <v>18992</v>
      </c>
    </row>
    <row r="99" spans="1:9" ht="30">
      <c r="A99" s="30">
        <v>28</v>
      </c>
      <c r="B99" s="47" t="s">
        <v>292</v>
      </c>
      <c r="C99" s="49" t="s">
        <v>127</v>
      </c>
      <c r="D99" s="16" t="s">
        <v>264</v>
      </c>
      <c r="E99" s="35"/>
      <c r="F99" s="35"/>
      <c r="G99" s="35">
        <v>1146</v>
      </c>
      <c r="H99" s="35"/>
      <c r="I99" s="13">
        <f>G99*12</f>
        <v>13752</v>
      </c>
    </row>
    <row r="100" spans="1:9">
      <c r="A100" s="30">
        <v>29</v>
      </c>
      <c r="B100" s="47" t="s">
        <v>294</v>
      </c>
      <c r="C100" s="49" t="s">
        <v>101</v>
      </c>
      <c r="D100" s="16"/>
      <c r="E100" s="35"/>
      <c r="F100" s="35"/>
      <c r="G100" s="35">
        <v>5.42</v>
      </c>
      <c r="H100" s="35"/>
      <c r="I100" s="13">
        <f>G100*20</f>
        <v>108.4</v>
      </c>
    </row>
    <row r="101" spans="1:9">
      <c r="A101" s="30">
        <v>30</v>
      </c>
      <c r="B101" s="47" t="s">
        <v>295</v>
      </c>
      <c r="C101" s="49" t="s">
        <v>101</v>
      </c>
      <c r="D101" s="16"/>
      <c r="E101" s="35"/>
      <c r="F101" s="35"/>
      <c r="G101" s="35">
        <v>6.2</v>
      </c>
      <c r="H101" s="35"/>
      <c r="I101" s="13">
        <f>G101*4</f>
        <v>24.8</v>
      </c>
    </row>
    <row r="102" spans="1:9">
      <c r="A102" s="30">
        <v>31</v>
      </c>
      <c r="B102" s="47" t="s">
        <v>296</v>
      </c>
      <c r="C102" s="49" t="s">
        <v>101</v>
      </c>
      <c r="D102" s="16"/>
      <c r="E102" s="35"/>
      <c r="F102" s="35"/>
      <c r="G102" s="35">
        <v>23.29</v>
      </c>
      <c r="H102" s="35"/>
      <c r="I102" s="13">
        <f>G102*4</f>
        <v>93.16</v>
      </c>
    </row>
    <row r="103" spans="1:9">
      <c r="A103" s="30">
        <v>32</v>
      </c>
      <c r="B103" s="47" t="s">
        <v>192</v>
      </c>
      <c r="C103" s="49" t="s">
        <v>101</v>
      </c>
      <c r="D103" s="16"/>
      <c r="E103" s="35"/>
      <c r="F103" s="35"/>
      <c r="G103" s="35">
        <v>151.31</v>
      </c>
      <c r="H103" s="35"/>
      <c r="I103" s="13">
        <f>G103*7</f>
        <v>1059.17</v>
      </c>
    </row>
    <row r="104" spans="1:9">
      <c r="A104" s="30">
        <v>33</v>
      </c>
      <c r="B104" s="47" t="s">
        <v>193</v>
      </c>
      <c r="C104" s="49" t="s">
        <v>101</v>
      </c>
      <c r="D104" s="16"/>
      <c r="E104" s="35"/>
      <c r="F104" s="35"/>
      <c r="G104" s="35">
        <v>169.24</v>
      </c>
      <c r="H104" s="35"/>
      <c r="I104" s="13">
        <f>G104*3</f>
        <v>507.72</v>
      </c>
    </row>
    <row r="105" spans="1:9">
      <c r="A105" s="30">
        <v>34</v>
      </c>
      <c r="B105" s="47" t="s">
        <v>191</v>
      </c>
      <c r="C105" s="49" t="s">
        <v>101</v>
      </c>
      <c r="D105" s="16"/>
      <c r="E105" s="35"/>
      <c r="F105" s="35"/>
      <c r="G105" s="35">
        <v>89.92</v>
      </c>
      <c r="H105" s="35"/>
      <c r="I105" s="13">
        <f>G105*6</f>
        <v>539.52</v>
      </c>
    </row>
    <row r="106" spans="1:9">
      <c r="A106" s="30">
        <v>35</v>
      </c>
      <c r="B106" s="47" t="s">
        <v>297</v>
      </c>
      <c r="C106" s="49" t="s">
        <v>101</v>
      </c>
      <c r="D106" s="16"/>
      <c r="E106" s="35"/>
      <c r="F106" s="35"/>
      <c r="G106" s="35">
        <v>38.67</v>
      </c>
      <c r="H106" s="35"/>
      <c r="I106" s="13">
        <f>G106*8</f>
        <v>309.36</v>
      </c>
    </row>
    <row r="107" spans="1:9">
      <c r="A107" s="30">
        <v>36</v>
      </c>
      <c r="B107" s="47" t="s">
        <v>298</v>
      </c>
      <c r="C107" s="49" t="s">
        <v>101</v>
      </c>
      <c r="D107" s="16"/>
      <c r="E107" s="35"/>
      <c r="F107" s="35"/>
      <c r="G107" s="35">
        <v>5.43</v>
      </c>
      <c r="H107" s="35"/>
      <c r="I107" s="13">
        <f>G107*6</f>
        <v>32.58</v>
      </c>
    </row>
    <row r="108" spans="1:9">
      <c r="A108" s="30">
        <v>37</v>
      </c>
      <c r="B108" s="47" t="s">
        <v>299</v>
      </c>
      <c r="C108" s="49" t="s">
        <v>101</v>
      </c>
      <c r="D108" s="16"/>
      <c r="E108" s="35"/>
      <c r="F108" s="35"/>
      <c r="G108" s="35">
        <v>4.46</v>
      </c>
      <c r="H108" s="35"/>
      <c r="I108" s="13">
        <f>G108*2</f>
        <v>8.92</v>
      </c>
    </row>
    <row r="109" spans="1:9">
      <c r="A109" s="30">
        <v>38</v>
      </c>
      <c r="B109" s="47" t="s">
        <v>266</v>
      </c>
      <c r="C109" s="49" t="s">
        <v>101</v>
      </c>
      <c r="D109" s="16"/>
      <c r="E109" s="35"/>
      <c r="F109" s="35"/>
      <c r="G109" s="35">
        <v>5.42</v>
      </c>
      <c r="H109" s="35"/>
      <c r="I109" s="13">
        <f>G109*2</f>
        <v>10.84</v>
      </c>
    </row>
    <row r="110" spans="1:9">
      <c r="A110" s="30">
        <v>39</v>
      </c>
      <c r="B110" s="47" t="s">
        <v>300</v>
      </c>
      <c r="C110" s="49" t="s">
        <v>101</v>
      </c>
      <c r="D110" s="16"/>
      <c r="E110" s="35"/>
      <c r="F110" s="35"/>
      <c r="G110" s="35">
        <v>6.84</v>
      </c>
      <c r="H110" s="35"/>
      <c r="I110" s="13">
        <f>G110*6</f>
        <v>41.04</v>
      </c>
    </row>
    <row r="111" spans="1:9" ht="17.25" customHeight="1">
      <c r="A111" s="30"/>
      <c r="B111" s="32" t="s">
        <v>50</v>
      </c>
      <c r="C111" s="38"/>
      <c r="D111" s="45"/>
      <c r="E111" s="38">
        <v>1</v>
      </c>
      <c r="F111" s="38"/>
      <c r="G111" s="38"/>
      <c r="H111" s="38"/>
      <c r="I111" s="33">
        <f>SUM(I91:I110)</f>
        <v>46905.014200000005</v>
      </c>
    </row>
    <row r="112" spans="1:9">
      <c r="A112" s="30"/>
      <c r="B112" s="44" t="s">
        <v>75</v>
      </c>
      <c r="C112" s="15"/>
      <c r="D112" s="15"/>
      <c r="E112" s="39"/>
      <c r="F112" s="39"/>
      <c r="G112" s="40"/>
      <c r="H112" s="40"/>
      <c r="I112" s="17">
        <v>0</v>
      </c>
    </row>
    <row r="113" spans="1:9">
      <c r="A113" s="46"/>
      <c r="B113" s="43" t="s">
        <v>143</v>
      </c>
      <c r="C113" s="34"/>
      <c r="D113" s="34"/>
      <c r="E113" s="34"/>
      <c r="F113" s="34"/>
      <c r="G113" s="34"/>
      <c r="H113" s="34"/>
      <c r="I113" s="41">
        <f>I89+I111</f>
        <v>110052.78795633333</v>
      </c>
    </row>
    <row r="114" spans="1:9" ht="15.75">
      <c r="A114" s="188" t="s">
        <v>317</v>
      </c>
      <c r="B114" s="188"/>
      <c r="C114" s="188"/>
      <c r="D114" s="188"/>
      <c r="E114" s="188"/>
      <c r="F114" s="188"/>
      <c r="G114" s="188"/>
      <c r="H114" s="188"/>
      <c r="I114" s="188"/>
    </row>
    <row r="115" spans="1:9" ht="15.75">
      <c r="A115" s="56"/>
      <c r="B115" s="189" t="s">
        <v>318</v>
      </c>
      <c r="C115" s="189"/>
      <c r="D115" s="189"/>
      <c r="E115" s="189"/>
      <c r="F115" s="189"/>
      <c r="G115" s="189"/>
      <c r="H115" s="61"/>
      <c r="I115" s="3"/>
    </row>
    <row r="116" spans="1:9">
      <c r="A116" s="165"/>
      <c r="B116" s="179" t="s">
        <v>6</v>
      </c>
      <c r="C116" s="179"/>
      <c r="D116" s="179"/>
      <c r="E116" s="179"/>
      <c r="F116" s="179"/>
      <c r="G116" s="179"/>
      <c r="H116" s="25"/>
      <c r="I116" s="5"/>
    </row>
    <row r="117" spans="1:9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ht="15.75">
      <c r="A118" s="190" t="s">
        <v>7</v>
      </c>
      <c r="B118" s="190"/>
      <c r="C118" s="190"/>
      <c r="D118" s="190"/>
      <c r="E118" s="190"/>
      <c r="F118" s="190"/>
      <c r="G118" s="190"/>
      <c r="H118" s="190"/>
      <c r="I118" s="190"/>
    </row>
    <row r="119" spans="1:9" ht="15.75">
      <c r="A119" s="190" t="s">
        <v>8</v>
      </c>
      <c r="B119" s="190"/>
      <c r="C119" s="190"/>
      <c r="D119" s="190"/>
      <c r="E119" s="190"/>
      <c r="F119" s="190"/>
      <c r="G119" s="190"/>
      <c r="H119" s="190"/>
      <c r="I119" s="190"/>
    </row>
    <row r="120" spans="1:9" ht="15.75">
      <c r="A120" s="183" t="s">
        <v>59</v>
      </c>
      <c r="B120" s="183"/>
      <c r="C120" s="183"/>
      <c r="D120" s="183"/>
      <c r="E120" s="183"/>
      <c r="F120" s="183"/>
      <c r="G120" s="183"/>
      <c r="H120" s="183"/>
      <c r="I120" s="183"/>
    </row>
    <row r="121" spans="1:9" ht="15.75">
      <c r="A121" s="11"/>
    </row>
    <row r="122" spans="1:9" ht="15.75">
      <c r="A122" s="177" t="s">
        <v>9</v>
      </c>
      <c r="B122" s="177"/>
      <c r="C122" s="177"/>
      <c r="D122" s="177"/>
      <c r="E122" s="177"/>
      <c r="F122" s="177"/>
      <c r="G122" s="177"/>
      <c r="H122" s="177"/>
      <c r="I122" s="177"/>
    </row>
    <row r="123" spans="1:9" ht="15.75">
      <c r="A123" s="4"/>
    </row>
    <row r="124" spans="1:9" ht="15.75">
      <c r="B124" s="168" t="s">
        <v>10</v>
      </c>
      <c r="C124" s="178" t="s">
        <v>131</v>
      </c>
      <c r="D124" s="178"/>
      <c r="E124" s="178"/>
      <c r="F124" s="59"/>
      <c r="I124" s="170"/>
    </row>
    <row r="125" spans="1:9">
      <c r="A125" s="165"/>
      <c r="C125" s="179" t="s">
        <v>11</v>
      </c>
      <c r="D125" s="179"/>
      <c r="E125" s="179"/>
      <c r="F125" s="25"/>
      <c r="I125" s="169" t="s">
        <v>12</v>
      </c>
    </row>
    <row r="126" spans="1:9" ht="15.75">
      <c r="A126" s="26"/>
      <c r="C126" s="12"/>
      <c r="D126" s="12"/>
      <c r="G126" s="12"/>
      <c r="H126" s="12"/>
    </row>
    <row r="127" spans="1:9" ht="15.75">
      <c r="B127" s="168" t="s">
        <v>13</v>
      </c>
      <c r="C127" s="180"/>
      <c r="D127" s="180"/>
      <c r="E127" s="180"/>
      <c r="F127" s="60"/>
      <c r="I127" s="170"/>
    </row>
    <row r="128" spans="1:9">
      <c r="A128" s="165"/>
      <c r="C128" s="181" t="s">
        <v>11</v>
      </c>
      <c r="D128" s="181"/>
      <c r="E128" s="181"/>
      <c r="F128" s="165"/>
      <c r="I128" s="169" t="s">
        <v>12</v>
      </c>
    </row>
    <row r="129" spans="1:9" ht="15.75">
      <c r="A129" s="4" t="s">
        <v>14</v>
      </c>
    </row>
    <row r="130" spans="1:9">
      <c r="A130" s="182" t="s">
        <v>15</v>
      </c>
      <c r="B130" s="182"/>
      <c r="C130" s="182"/>
      <c r="D130" s="182"/>
      <c r="E130" s="182"/>
      <c r="F130" s="182"/>
      <c r="G130" s="182"/>
      <c r="H130" s="182"/>
      <c r="I130" s="182"/>
    </row>
    <row r="131" spans="1:9" ht="43.5" customHeight="1">
      <c r="A131" s="176" t="s">
        <v>16</v>
      </c>
      <c r="B131" s="176"/>
      <c r="C131" s="176"/>
      <c r="D131" s="176"/>
      <c r="E131" s="176"/>
      <c r="F131" s="176"/>
      <c r="G131" s="176"/>
      <c r="H131" s="176"/>
      <c r="I131" s="176"/>
    </row>
    <row r="132" spans="1:9" ht="33" customHeight="1">
      <c r="A132" s="176" t="s">
        <v>17</v>
      </c>
      <c r="B132" s="176"/>
      <c r="C132" s="176"/>
      <c r="D132" s="176"/>
      <c r="E132" s="176"/>
      <c r="F132" s="176"/>
      <c r="G132" s="176"/>
      <c r="H132" s="176"/>
      <c r="I132" s="176"/>
    </row>
    <row r="133" spans="1:9" ht="36.75" customHeight="1">
      <c r="A133" s="176" t="s">
        <v>21</v>
      </c>
      <c r="B133" s="176"/>
      <c r="C133" s="176"/>
      <c r="D133" s="176"/>
      <c r="E133" s="176"/>
      <c r="F133" s="176"/>
      <c r="G133" s="176"/>
      <c r="H133" s="176"/>
      <c r="I133" s="176"/>
    </row>
    <row r="134" spans="1:9" ht="15.75">
      <c r="A134" s="176" t="s">
        <v>20</v>
      </c>
      <c r="B134" s="176"/>
      <c r="C134" s="176"/>
      <c r="D134" s="176"/>
      <c r="E134" s="176"/>
      <c r="F134" s="176"/>
      <c r="G134" s="176"/>
      <c r="H134" s="176"/>
      <c r="I134" s="176"/>
    </row>
  </sheetData>
  <mergeCells count="28">
    <mergeCell ref="A131:I131"/>
    <mergeCell ref="A132:I132"/>
    <mergeCell ref="A133:I133"/>
    <mergeCell ref="A134:I134"/>
    <mergeCell ref="A122:I122"/>
    <mergeCell ref="C124:E124"/>
    <mergeCell ref="C125:E125"/>
    <mergeCell ref="C127:E127"/>
    <mergeCell ref="C128:E128"/>
    <mergeCell ref="A130:I130"/>
    <mergeCell ref="A120:I120"/>
    <mergeCell ref="A15:I15"/>
    <mergeCell ref="A28:I28"/>
    <mergeCell ref="A45:I45"/>
    <mergeCell ref="A55:I55"/>
    <mergeCell ref="A86:I86"/>
    <mergeCell ref="A90:I90"/>
    <mergeCell ref="A114:I114"/>
    <mergeCell ref="B115:G115"/>
    <mergeCell ref="B116:G116"/>
    <mergeCell ref="A118:I118"/>
    <mergeCell ref="A119:I119"/>
    <mergeCell ref="A14:I14"/>
    <mergeCell ref="A3:I3"/>
    <mergeCell ref="A4:I4"/>
    <mergeCell ref="A5:I5"/>
    <mergeCell ref="A8:I8"/>
    <mergeCell ref="A10:I10"/>
  </mergeCells>
  <pageMargins left="0.70866141732283472" right="0.31496062992125984" top="0.74803149606299213" bottom="0.74803149606299213" header="0.31496062992125984" footer="0.31496062992125984"/>
  <pageSetup paperSize="9" scale="6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21"/>
  <sheetViews>
    <sheetView topLeftCell="A81" workbookViewId="0">
      <selection activeCell="K104" sqref="K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3.7109375" hidden="1" customWidth="1"/>
    <col min="6" max="6" width="14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82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99" t="s">
        <v>134</v>
      </c>
      <c r="B3" s="199"/>
      <c r="C3" s="199"/>
      <c r="D3" s="199"/>
      <c r="E3" s="199"/>
      <c r="F3" s="199"/>
      <c r="G3" s="199"/>
      <c r="H3" s="199"/>
      <c r="I3" s="199"/>
      <c r="J3" s="3"/>
      <c r="K3" s="3"/>
      <c r="L3" s="3"/>
    </row>
    <row r="4" spans="1:13" ht="31.5" customHeight="1">
      <c r="A4" s="200" t="s">
        <v>245</v>
      </c>
      <c r="B4" s="200"/>
      <c r="C4" s="200"/>
      <c r="D4" s="200"/>
      <c r="E4" s="200"/>
      <c r="F4" s="200"/>
      <c r="G4" s="200"/>
      <c r="H4" s="200"/>
      <c r="I4" s="200"/>
    </row>
    <row r="5" spans="1:13" ht="15.75">
      <c r="A5" s="199" t="s">
        <v>161</v>
      </c>
      <c r="B5" s="201"/>
      <c r="C5" s="201"/>
      <c r="D5" s="201"/>
      <c r="E5" s="201"/>
      <c r="F5" s="201"/>
      <c r="G5" s="201"/>
      <c r="H5" s="201"/>
      <c r="I5" s="201"/>
      <c r="J5" s="2"/>
      <c r="K5" s="2"/>
      <c r="L5" s="2"/>
      <c r="M5" s="2"/>
    </row>
    <row r="6" spans="1:13" ht="15.75">
      <c r="A6" s="2"/>
      <c r="B6" s="91"/>
      <c r="C6" s="91"/>
      <c r="D6" s="91"/>
      <c r="E6" s="91"/>
      <c r="F6" s="91"/>
      <c r="G6" s="91"/>
      <c r="H6" s="91"/>
      <c r="I6" s="31">
        <v>43159</v>
      </c>
      <c r="J6" s="2"/>
      <c r="K6" s="2"/>
      <c r="L6" s="2"/>
      <c r="M6" s="2"/>
    </row>
    <row r="7" spans="1:13" ht="15.75">
      <c r="B7" s="90"/>
      <c r="C7" s="90"/>
      <c r="D7" s="9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02" t="s">
        <v>162</v>
      </c>
      <c r="B8" s="202"/>
      <c r="C8" s="202"/>
      <c r="D8" s="202"/>
      <c r="E8" s="202"/>
      <c r="F8" s="202"/>
      <c r="G8" s="202"/>
      <c r="H8" s="202"/>
      <c r="I8" s="20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03" t="s">
        <v>144</v>
      </c>
      <c r="B10" s="203"/>
      <c r="C10" s="203"/>
      <c r="D10" s="203"/>
      <c r="E10" s="203"/>
      <c r="F10" s="203"/>
      <c r="G10" s="203"/>
      <c r="H10" s="203"/>
      <c r="I10" s="20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4" t="s">
        <v>57</v>
      </c>
      <c r="B14" s="204"/>
      <c r="C14" s="204"/>
      <c r="D14" s="204"/>
      <c r="E14" s="204"/>
      <c r="F14" s="204"/>
      <c r="G14" s="204"/>
      <c r="H14" s="204"/>
      <c r="I14" s="204"/>
      <c r="J14" s="8"/>
      <c r="K14" s="8"/>
      <c r="L14" s="8"/>
      <c r="M14" s="8"/>
    </row>
    <row r="15" spans="1:13" ht="15" customHeight="1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  <c r="J15" s="8"/>
      <c r="K15" s="8"/>
      <c r="L15" s="8"/>
      <c r="M15" s="8"/>
    </row>
    <row r="16" spans="1:13" ht="15.75" customHeight="1">
      <c r="A16" s="30">
        <v>1</v>
      </c>
      <c r="B16" s="63" t="s">
        <v>83</v>
      </c>
      <c r="C16" s="64" t="s">
        <v>84</v>
      </c>
      <c r="D16" s="63" t="s">
        <v>135</v>
      </c>
      <c r="E16" s="65">
        <v>143.78</v>
      </c>
      <c r="F16" s="66">
        <f>SUM(E16*156/100)</f>
        <v>224.29679999999999</v>
      </c>
      <c r="G16" s="66">
        <v>230</v>
      </c>
      <c r="H16" s="67">
        <f t="shared" ref="H16:H24" si="0">SUM(F16*G16/1000)</f>
        <v>51.588263999999995</v>
      </c>
      <c r="I16" s="13">
        <f>F16/12*G16</f>
        <v>4299.0219999999999</v>
      </c>
      <c r="J16" s="22"/>
      <c r="K16" s="8"/>
      <c r="L16" s="8"/>
      <c r="M16" s="8"/>
    </row>
    <row r="17" spans="1:13" ht="15.75" customHeight="1">
      <c r="A17" s="30">
        <v>2</v>
      </c>
      <c r="B17" s="63" t="s">
        <v>109</v>
      </c>
      <c r="C17" s="64" t="s">
        <v>84</v>
      </c>
      <c r="D17" s="63" t="s">
        <v>136</v>
      </c>
      <c r="E17" s="65">
        <v>575.12</v>
      </c>
      <c r="F17" s="66">
        <f>SUM(E17*104/100)</f>
        <v>598.12480000000005</v>
      </c>
      <c r="G17" s="66">
        <v>230</v>
      </c>
      <c r="H17" s="67">
        <f t="shared" si="0"/>
        <v>137.568704</v>
      </c>
      <c r="I17" s="13">
        <f>F17/12*G17</f>
        <v>11464.058666666668</v>
      </c>
      <c r="J17" s="23"/>
      <c r="K17" s="8"/>
      <c r="L17" s="8"/>
      <c r="M17" s="8"/>
    </row>
    <row r="18" spans="1:13" ht="15.75" customHeight="1">
      <c r="A18" s="30">
        <v>3</v>
      </c>
      <c r="B18" s="63" t="s">
        <v>110</v>
      </c>
      <c r="C18" s="64" t="s">
        <v>84</v>
      </c>
      <c r="D18" s="63" t="s">
        <v>137</v>
      </c>
      <c r="E18" s="65">
        <v>718.9</v>
      </c>
      <c r="F18" s="66">
        <f>SUM(E18*24/100)</f>
        <v>172.53599999999997</v>
      </c>
      <c r="G18" s="66">
        <v>661.67</v>
      </c>
      <c r="H18" s="67">
        <f t="shared" si="0"/>
        <v>114.16189511999997</v>
      </c>
      <c r="I18" s="13">
        <f>F18/12*G18</f>
        <v>9513.4912599999989</v>
      </c>
      <c r="J18" s="23"/>
      <c r="K18" s="8"/>
      <c r="L18" s="8"/>
      <c r="M18" s="8"/>
    </row>
    <row r="19" spans="1:13" ht="15.75" hidden="1" customHeight="1">
      <c r="A19" s="30"/>
      <c r="B19" s="63" t="s">
        <v>91</v>
      </c>
      <c r="C19" s="64" t="s">
        <v>92</v>
      </c>
      <c r="D19" s="63" t="s">
        <v>93</v>
      </c>
      <c r="E19" s="65">
        <v>42.2</v>
      </c>
      <c r="F19" s="66">
        <f>SUM(E19/10)</f>
        <v>4.2200000000000006</v>
      </c>
      <c r="G19" s="66">
        <v>223.17</v>
      </c>
      <c r="H19" s="67">
        <f t="shared" si="0"/>
        <v>0.9417774000000001</v>
      </c>
      <c r="I19" s="13">
        <f>F19*G19</f>
        <v>941.77740000000006</v>
      </c>
      <c r="J19" s="23"/>
      <c r="K19" s="8"/>
      <c r="L19" s="8"/>
      <c r="M19" s="8"/>
    </row>
    <row r="20" spans="1:13" ht="15.75" hidden="1" customHeight="1">
      <c r="A20" s="30">
        <v>4</v>
      </c>
      <c r="B20" s="63" t="s">
        <v>94</v>
      </c>
      <c r="C20" s="64" t="s">
        <v>84</v>
      </c>
      <c r="D20" s="63" t="s">
        <v>41</v>
      </c>
      <c r="E20" s="65">
        <v>14</v>
      </c>
      <c r="F20" s="66">
        <f>SUM(E20*2/100)</f>
        <v>0.28000000000000003</v>
      </c>
      <c r="G20" s="66">
        <v>285.76</v>
      </c>
      <c r="H20" s="67">
        <f t="shared" si="0"/>
        <v>8.0012799999999995E-2</v>
      </c>
      <c r="I20" s="13">
        <f>F20/2*G20</f>
        <v>40.006399999999999</v>
      </c>
      <c r="J20" s="23"/>
      <c r="K20" s="8"/>
      <c r="L20" s="8"/>
      <c r="M20" s="8"/>
    </row>
    <row r="21" spans="1:13" ht="15.75" hidden="1" customHeight="1">
      <c r="A21" s="30">
        <v>5</v>
      </c>
      <c r="B21" s="63" t="s">
        <v>95</v>
      </c>
      <c r="C21" s="64" t="s">
        <v>84</v>
      </c>
      <c r="D21" s="63" t="s">
        <v>41</v>
      </c>
      <c r="E21" s="65">
        <v>6</v>
      </c>
      <c r="F21" s="66">
        <f>SUM(E21*2/100)</f>
        <v>0.12</v>
      </c>
      <c r="G21" s="66">
        <v>283.44</v>
      </c>
      <c r="H21" s="67">
        <f>SUM(F21*G21/1000)</f>
        <v>3.4012799999999996E-2</v>
      </c>
      <c r="I21" s="13">
        <f>F21/2*G21</f>
        <v>17.006399999999999</v>
      </c>
      <c r="J21" s="23"/>
      <c r="K21" s="8"/>
      <c r="L21" s="8"/>
      <c r="M21" s="8"/>
    </row>
    <row r="22" spans="1:13" ht="15.75" hidden="1" customHeight="1">
      <c r="A22" s="30"/>
      <c r="B22" s="63" t="s">
        <v>96</v>
      </c>
      <c r="C22" s="64" t="s">
        <v>51</v>
      </c>
      <c r="D22" s="63" t="s">
        <v>93</v>
      </c>
      <c r="E22" s="65">
        <v>640</v>
      </c>
      <c r="F22" s="66">
        <f>SUM(E22/100)</f>
        <v>6.4</v>
      </c>
      <c r="G22" s="66">
        <v>353.14</v>
      </c>
      <c r="H22" s="67">
        <f t="shared" si="0"/>
        <v>2.2600959999999999</v>
      </c>
      <c r="I22" s="13">
        <f t="shared" ref="I22:I25" si="1">F22*G22</f>
        <v>2260.096</v>
      </c>
      <c r="J22" s="23"/>
      <c r="K22" s="8"/>
      <c r="L22" s="8"/>
      <c r="M22" s="8"/>
    </row>
    <row r="23" spans="1:13" ht="15.75" hidden="1" customHeight="1">
      <c r="A23" s="30"/>
      <c r="B23" s="63" t="s">
        <v>97</v>
      </c>
      <c r="C23" s="64" t="s">
        <v>51</v>
      </c>
      <c r="D23" s="63" t="s">
        <v>93</v>
      </c>
      <c r="E23" s="68">
        <v>49</v>
      </c>
      <c r="F23" s="66">
        <f>SUM(E23/100)</f>
        <v>0.49</v>
      </c>
      <c r="G23" s="66">
        <v>58.08</v>
      </c>
      <c r="H23" s="67">
        <f t="shared" si="0"/>
        <v>2.84592E-2</v>
      </c>
      <c r="I23" s="13">
        <f t="shared" si="1"/>
        <v>28.459199999999999</v>
      </c>
      <c r="J23" s="23"/>
      <c r="K23" s="8"/>
      <c r="L23" s="8"/>
      <c r="M23" s="8"/>
    </row>
    <row r="24" spans="1:13" ht="15.75" hidden="1" customHeight="1">
      <c r="A24" s="30"/>
      <c r="B24" s="63" t="s">
        <v>98</v>
      </c>
      <c r="C24" s="64" t="s">
        <v>51</v>
      </c>
      <c r="D24" s="63" t="s">
        <v>52</v>
      </c>
      <c r="E24" s="65">
        <v>19</v>
      </c>
      <c r="F24" s="66">
        <f>SUM(E24/100)</f>
        <v>0.19</v>
      </c>
      <c r="G24" s="66">
        <v>283.44</v>
      </c>
      <c r="H24" s="67">
        <f t="shared" si="0"/>
        <v>5.3853600000000001E-2</v>
      </c>
      <c r="I24" s="13">
        <f t="shared" si="1"/>
        <v>53.8536</v>
      </c>
      <c r="J24" s="23"/>
      <c r="K24" s="8"/>
      <c r="L24" s="8"/>
      <c r="M24" s="8"/>
    </row>
    <row r="25" spans="1:13" ht="15.75" hidden="1" customHeight="1">
      <c r="A25" s="30"/>
      <c r="B25" s="63" t="s">
        <v>113</v>
      </c>
      <c r="C25" s="64" t="s">
        <v>51</v>
      </c>
      <c r="D25" s="63" t="s">
        <v>52</v>
      </c>
      <c r="E25" s="65">
        <v>19</v>
      </c>
      <c r="F25" s="66">
        <f>E25/100</f>
        <v>0.19</v>
      </c>
      <c r="G25" s="66">
        <v>283.44</v>
      </c>
      <c r="H25" s="67">
        <f>G25*F25/1000</f>
        <v>5.3853600000000001E-2</v>
      </c>
      <c r="I25" s="13">
        <f t="shared" si="1"/>
        <v>53.8536</v>
      </c>
      <c r="J25" s="23"/>
      <c r="K25" s="8"/>
      <c r="L25" s="8"/>
      <c r="M25" s="8"/>
    </row>
    <row r="26" spans="1:13" ht="15.75" customHeight="1">
      <c r="A26" s="30">
        <v>4</v>
      </c>
      <c r="B26" s="63" t="s">
        <v>62</v>
      </c>
      <c r="C26" s="64" t="s">
        <v>33</v>
      </c>
      <c r="D26" s="63" t="s">
        <v>160</v>
      </c>
      <c r="E26" s="65">
        <v>0.1</v>
      </c>
      <c r="F26" s="66">
        <f>SUM(E26*182)</f>
        <v>18.2</v>
      </c>
      <c r="G26" s="66">
        <v>264.85000000000002</v>
      </c>
      <c r="H26" s="67">
        <f>SUM(F26*G26/1000)</f>
        <v>4.8202700000000007</v>
      </c>
      <c r="I26" s="13">
        <f>F26/12*G26</f>
        <v>401.68916666666667</v>
      </c>
      <c r="J26" s="23"/>
      <c r="K26" s="8"/>
    </row>
    <row r="27" spans="1:13" ht="15.75" customHeight="1">
      <c r="A27" s="30">
        <v>5</v>
      </c>
      <c r="B27" s="71" t="s">
        <v>23</v>
      </c>
      <c r="C27" s="64" t="s">
        <v>24</v>
      </c>
      <c r="D27" s="63"/>
      <c r="E27" s="65">
        <v>4731.7</v>
      </c>
      <c r="F27" s="66">
        <f>SUM(E27*12)</f>
        <v>56780.399999999994</v>
      </c>
      <c r="G27" s="66">
        <v>3.52</v>
      </c>
      <c r="H27" s="67">
        <f>SUM(F27*G27/1000)</f>
        <v>199.86700799999997</v>
      </c>
      <c r="I27" s="13">
        <f>F27/12*G27</f>
        <v>16655.583999999999</v>
      </c>
      <c r="J27" s="24"/>
    </row>
    <row r="28" spans="1:13" ht="15.75" customHeight="1">
      <c r="A28" s="184" t="s">
        <v>81</v>
      </c>
      <c r="B28" s="184"/>
      <c r="C28" s="184"/>
      <c r="D28" s="184"/>
      <c r="E28" s="184"/>
      <c r="F28" s="184"/>
      <c r="G28" s="184"/>
      <c r="H28" s="184"/>
      <c r="I28" s="184"/>
      <c r="J28" s="23"/>
      <c r="K28" s="8"/>
      <c r="L28" s="8"/>
      <c r="M28" s="8"/>
    </row>
    <row r="29" spans="1:13" ht="15.75" hidden="1" customHeight="1">
      <c r="A29" s="30"/>
      <c r="B29" s="83" t="s">
        <v>28</v>
      </c>
      <c r="C29" s="64"/>
      <c r="D29" s="63"/>
      <c r="E29" s="65"/>
      <c r="F29" s="66"/>
      <c r="G29" s="66"/>
      <c r="H29" s="67"/>
      <c r="I29" s="13"/>
      <c r="J29" s="24"/>
    </row>
    <row r="30" spans="1:13" ht="15.75" hidden="1" customHeight="1">
      <c r="A30" s="30"/>
      <c r="B30" s="63" t="s">
        <v>100</v>
      </c>
      <c r="C30" s="64" t="s">
        <v>86</v>
      </c>
      <c r="D30" s="63" t="s">
        <v>141</v>
      </c>
      <c r="E30" s="66">
        <v>436.6</v>
      </c>
      <c r="F30" s="66">
        <f>SUM(E30*52/1000)</f>
        <v>22.703200000000002</v>
      </c>
      <c r="G30" s="66">
        <v>204.44</v>
      </c>
      <c r="H30" s="67">
        <f t="shared" ref="H30:H36" si="2">SUM(F30*G30/1000)</f>
        <v>4.641442208</v>
      </c>
      <c r="I30" s="13">
        <f>F30/6*G30</f>
        <v>773.57370133333336</v>
      </c>
      <c r="J30" s="24"/>
    </row>
    <row r="31" spans="1:13" ht="31.5" hidden="1" customHeight="1">
      <c r="A31" s="30"/>
      <c r="B31" s="63" t="s">
        <v>111</v>
      </c>
      <c r="C31" s="64" t="s">
        <v>86</v>
      </c>
      <c r="D31" s="63" t="s">
        <v>142</v>
      </c>
      <c r="E31" s="66">
        <v>54.4</v>
      </c>
      <c r="F31" s="66">
        <f>SUM(E31*78/1000)</f>
        <v>4.2431999999999999</v>
      </c>
      <c r="G31" s="66">
        <v>339.21</v>
      </c>
      <c r="H31" s="67">
        <f t="shared" si="2"/>
        <v>1.4393358719999998</v>
      </c>
      <c r="I31" s="13">
        <f t="shared" ref="I31:I34" si="3">F31/6*G31</f>
        <v>239.88931199999996</v>
      </c>
      <c r="J31" s="23"/>
      <c r="K31" s="8"/>
      <c r="L31" s="8"/>
      <c r="M31" s="8"/>
    </row>
    <row r="32" spans="1:13" ht="15.75" hidden="1" customHeight="1">
      <c r="A32" s="30"/>
      <c r="B32" s="63" t="s">
        <v>27</v>
      </c>
      <c r="C32" s="64" t="s">
        <v>86</v>
      </c>
      <c r="D32" s="63" t="s">
        <v>52</v>
      </c>
      <c r="E32" s="66">
        <v>436.6</v>
      </c>
      <c r="F32" s="66">
        <f>SUM(E32/1000)</f>
        <v>0.43660000000000004</v>
      </c>
      <c r="G32" s="66">
        <v>3961.23</v>
      </c>
      <c r="H32" s="67">
        <f t="shared" si="2"/>
        <v>1.7294730180000002</v>
      </c>
      <c r="I32" s="13">
        <f>F32*G32</f>
        <v>1729.4730180000001</v>
      </c>
      <c r="J32" s="23"/>
      <c r="K32" s="8"/>
      <c r="L32" s="8"/>
      <c r="M32" s="8"/>
    </row>
    <row r="33" spans="1:14" ht="15.75" hidden="1" customHeight="1">
      <c r="A33" s="30"/>
      <c r="B33" s="63" t="s">
        <v>123</v>
      </c>
      <c r="C33" s="64" t="s">
        <v>39</v>
      </c>
      <c r="D33" s="63" t="s">
        <v>61</v>
      </c>
      <c r="E33" s="66">
        <v>4</v>
      </c>
      <c r="F33" s="66">
        <f>E33*155/100</f>
        <v>6.2</v>
      </c>
      <c r="G33" s="66">
        <v>1707.63</v>
      </c>
      <c r="H33" s="67">
        <f>G33*F33/1000</f>
        <v>10.587306</v>
      </c>
      <c r="I33" s="13">
        <f t="shared" si="3"/>
        <v>1764.5510000000004</v>
      </c>
      <c r="J33" s="23"/>
      <c r="K33" s="8"/>
      <c r="L33" s="8"/>
      <c r="M33" s="8"/>
    </row>
    <row r="34" spans="1:14" ht="15.75" hidden="1" customHeight="1">
      <c r="A34" s="30"/>
      <c r="B34" s="63" t="s">
        <v>99</v>
      </c>
      <c r="C34" s="64" t="s">
        <v>31</v>
      </c>
      <c r="D34" s="63" t="s">
        <v>61</v>
      </c>
      <c r="E34" s="70">
        <f>1/3</f>
        <v>0.33333333333333331</v>
      </c>
      <c r="F34" s="66">
        <f>155/3</f>
        <v>51.666666666666664</v>
      </c>
      <c r="G34" s="66">
        <v>74.349999999999994</v>
      </c>
      <c r="H34" s="67">
        <f>SUM(G34*155/3/1000)</f>
        <v>3.8414166666666665</v>
      </c>
      <c r="I34" s="13">
        <f t="shared" si="3"/>
        <v>640.23611111111109</v>
      </c>
      <c r="J34" s="23"/>
      <c r="K34" s="8"/>
      <c r="L34" s="8"/>
      <c r="M34" s="8"/>
    </row>
    <row r="35" spans="1:14" ht="15.75" hidden="1" customHeight="1">
      <c r="A35" s="30"/>
      <c r="B35" s="63" t="s">
        <v>63</v>
      </c>
      <c r="C35" s="64" t="s">
        <v>33</v>
      </c>
      <c r="D35" s="63" t="s">
        <v>65</v>
      </c>
      <c r="E35" s="65"/>
      <c r="F35" s="66">
        <v>2</v>
      </c>
      <c r="G35" s="66">
        <v>250.92</v>
      </c>
      <c r="H35" s="67">
        <f t="shared" si="2"/>
        <v>0.50183999999999995</v>
      </c>
      <c r="I35" s="13">
        <v>0</v>
      </c>
      <c r="J35" s="24"/>
    </row>
    <row r="36" spans="1:14" ht="15.75" hidden="1" customHeight="1">
      <c r="A36" s="30"/>
      <c r="B36" s="63" t="s">
        <v>64</v>
      </c>
      <c r="C36" s="64" t="s">
        <v>32</v>
      </c>
      <c r="D36" s="63" t="s">
        <v>65</v>
      </c>
      <c r="E36" s="65"/>
      <c r="F36" s="66">
        <v>1</v>
      </c>
      <c r="G36" s="66">
        <v>1490.31</v>
      </c>
      <c r="H36" s="67">
        <f t="shared" si="2"/>
        <v>1.49031</v>
      </c>
      <c r="I36" s="13">
        <v>0</v>
      </c>
      <c r="J36" s="24"/>
    </row>
    <row r="37" spans="1:14" ht="15.75" customHeight="1">
      <c r="A37" s="30"/>
      <c r="B37" s="83" t="s">
        <v>5</v>
      </c>
      <c r="C37" s="64"/>
      <c r="D37" s="63"/>
      <c r="E37" s="65"/>
      <c r="F37" s="66"/>
      <c r="G37" s="66"/>
      <c r="H37" s="67" t="s">
        <v>122</v>
      </c>
      <c r="I37" s="13"/>
      <c r="J37" s="24"/>
      <c r="L37" s="19"/>
      <c r="M37" s="20"/>
      <c r="N37" s="21"/>
    </row>
    <row r="38" spans="1:14" ht="15.75" customHeight="1">
      <c r="A38" s="30">
        <v>6</v>
      </c>
      <c r="B38" s="63" t="s">
        <v>26</v>
      </c>
      <c r="C38" s="64" t="s">
        <v>32</v>
      </c>
      <c r="D38" s="63"/>
      <c r="E38" s="65"/>
      <c r="F38" s="66">
        <v>5</v>
      </c>
      <c r="G38" s="66">
        <v>2003</v>
      </c>
      <c r="H38" s="67">
        <f t="shared" ref="H38:H44" si="4">SUM(F38*G38/1000)</f>
        <v>10.015000000000001</v>
      </c>
      <c r="I38" s="13">
        <f t="shared" ref="I38:I44" si="5">F38/6*G38</f>
        <v>1669.1666666666667</v>
      </c>
      <c r="J38" s="24"/>
      <c r="L38" s="19"/>
      <c r="M38" s="20"/>
      <c r="N38" s="21"/>
    </row>
    <row r="39" spans="1:14" ht="15.75" customHeight="1">
      <c r="A39" s="30">
        <v>7</v>
      </c>
      <c r="B39" s="63" t="s">
        <v>146</v>
      </c>
      <c r="C39" s="64" t="s">
        <v>29</v>
      </c>
      <c r="D39" s="63" t="s">
        <v>115</v>
      </c>
      <c r="E39" s="65">
        <v>54.4</v>
      </c>
      <c r="F39" s="66">
        <f>E39*30/1000</f>
        <v>1.6319999999999999</v>
      </c>
      <c r="G39" s="66">
        <v>2757.78</v>
      </c>
      <c r="H39" s="67">
        <f t="shared" si="4"/>
        <v>4.50069696</v>
      </c>
      <c r="I39" s="13">
        <f t="shared" si="5"/>
        <v>750.11615999999992</v>
      </c>
      <c r="J39" s="24"/>
      <c r="L39" s="19"/>
      <c r="M39" s="20"/>
      <c r="N39" s="21"/>
    </row>
    <row r="40" spans="1:14" ht="15.75" customHeight="1">
      <c r="A40" s="30">
        <v>8</v>
      </c>
      <c r="B40" s="63" t="s">
        <v>66</v>
      </c>
      <c r="C40" s="64" t="s">
        <v>29</v>
      </c>
      <c r="D40" s="63" t="s">
        <v>85</v>
      </c>
      <c r="E40" s="66">
        <v>54.4</v>
      </c>
      <c r="F40" s="66">
        <f>SUM(E40*155/1000)</f>
        <v>8.4320000000000004</v>
      </c>
      <c r="G40" s="66">
        <v>460.02</v>
      </c>
      <c r="H40" s="67">
        <f t="shared" si="4"/>
        <v>3.87888864</v>
      </c>
      <c r="I40" s="13">
        <f t="shared" si="5"/>
        <v>646.48144000000002</v>
      </c>
      <c r="J40" s="24"/>
      <c r="L40" s="19"/>
      <c r="M40" s="20"/>
      <c r="N40" s="21"/>
    </row>
    <row r="41" spans="1:14" ht="47.25" customHeight="1">
      <c r="A41" s="30">
        <v>9</v>
      </c>
      <c r="B41" s="63" t="s">
        <v>78</v>
      </c>
      <c r="C41" s="64" t="s">
        <v>86</v>
      </c>
      <c r="D41" s="63" t="s">
        <v>116</v>
      </c>
      <c r="E41" s="66">
        <v>31.2</v>
      </c>
      <c r="F41" s="66">
        <f>SUM(E41*35/1000)</f>
        <v>1.0920000000000001</v>
      </c>
      <c r="G41" s="66">
        <v>7611.16</v>
      </c>
      <c r="H41" s="67">
        <f t="shared" si="4"/>
        <v>8.3113867199999998</v>
      </c>
      <c r="I41" s="13">
        <f t="shared" si="5"/>
        <v>1385.2311200000001</v>
      </c>
      <c r="J41" s="24"/>
      <c r="L41" s="19"/>
      <c r="M41" s="20"/>
      <c r="N41" s="21"/>
    </row>
    <row r="42" spans="1:14" ht="15.75" customHeight="1">
      <c r="A42" s="30">
        <v>10</v>
      </c>
      <c r="B42" s="63" t="s">
        <v>87</v>
      </c>
      <c r="C42" s="64" t="s">
        <v>86</v>
      </c>
      <c r="D42" s="63" t="s">
        <v>67</v>
      </c>
      <c r="E42" s="66">
        <v>54.4</v>
      </c>
      <c r="F42" s="66">
        <f>SUM(E42*45/1000)</f>
        <v>2.448</v>
      </c>
      <c r="G42" s="66">
        <v>562.25</v>
      </c>
      <c r="H42" s="67">
        <f t="shared" si="4"/>
        <v>1.3763879999999999</v>
      </c>
      <c r="I42" s="13">
        <f>E42*5/1000*G42</f>
        <v>152.93200000000002</v>
      </c>
      <c r="J42" s="24"/>
      <c r="L42" s="19"/>
      <c r="M42" s="20"/>
      <c r="N42" s="21"/>
    </row>
    <row r="43" spans="1:14" ht="15.75" customHeight="1">
      <c r="A43" s="30">
        <v>11</v>
      </c>
      <c r="B43" s="63" t="s">
        <v>68</v>
      </c>
      <c r="C43" s="64" t="s">
        <v>33</v>
      </c>
      <c r="D43" s="63"/>
      <c r="E43" s="65"/>
      <c r="F43" s="66">
        <v>0.9</v>
      </c>
      <c r="G43" s="66">
        <v>974.83</v>
      </c>
      <c r="H43" s="67">
        <f t="shared" si="4"/>
        <v>0.8773470000000001</v>
      </c>
      <c r="I43" s="13">
        <f>0.9/45*5*G43</f>
        <v>97.483000000000004</v>
      </c>
      <c r="J43" s="24"/>
      <c r="L43" s="19"/>
      <c r="M43" s="20"/>
      <c r="N43" s="21"/>
    </row>
    <row r="44" spans="1:14" ht="15.75" customHeight="1">
      <c r="A44" s="30">
        <v>12</v>
      </c>
      <c r="B44" s="47" t="s">
        <v>147</v>
      </c>
      <c r="C44" s="49" t="s">
        <v>29</v>
      </c>
      <c r="D44" s="63" t="s">
        <v>148</v>
      </c>
      <c r="E44" s="65">
        <v>3</v>
      </c>
      <c r="F44" s="66">
        <f>SUM(E44*12/1000)</f>
        <v>3.5999999999999997E-2</v>
      </c>
      <c r="G44" s="66">
        <v>260.2</v>
      </c>
      <c r="H44" s="67">
        <f t="shared" si="4"/>
        <v>9.3671999999999991E-3</v>
      </c>
      <c r="I44" s="13">
        <f t="shared" si="5"/>
        <v>1.5611999999999997</v>
      </c>
      <c r="J44" s="24"/>
      <c r="L44" s="19"/>
      <c r="M44" s="20"/>
      <c r="N44" s="21"/>
    </row>
    <row r="45" spans="1:14" ht="15.75" customHeight="1">
      <c r="A45" s="185" t="s">
        <v>128</v>
      </c>
      <c r="B45" s="186"/>
      <c r="C45" s="186"/>
      <c r="D45" s="186"/>
      <c r="E45" s="186"/>
      <c r="F45" s="186"/>
      <c r="G45" s="186"/>
      <c r="H45" s="186"/>
      <c r="I45" s="187"/>
      <c r="J45" s="24"/>
      <c r="L45" s="19"/>
      <c r="M45" s="20"/>
      <c r="N45" s="21"/>
    </row>
    <row r="46" spans="1:14" ht="15.75" hidden="1" customHeight="1">
      <c r="A46" s="30"/>
      <c r="B46" s="63" t="s">
        <v>117</v>
      </c>
      <c r="C46" s="64" t="s">
        <v>86</v>
      </c>
      <c r="D46" s="63" t="s">
        <v>41</v>
      </c>
      <c r="E46" s="65">
        <v>1320.9</v>
      </c>
      <c r="F46" s="66">
        <f>SUM(E46*2/1000)</f>
        <v>2.6418000000000004</v>
      </c>
      <c r="G46" s="13">
        <v>1114.1300000000001</v>
      </c>
      <c r="H46" s="67">
        <f t="shared" ref="H46:H54" si="6">SUM(F46*G46/1000)</f>
        <v>2.943308634000001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63" t="s">
        <v>34</v>
      </c>
      <c r="C47" s="64" t="s">
        <v>86</v>
      </c>
      <c r="D47" s="63" t="s">
        <v>41</v>
      </c>
      <c r="E47" s="65">
        <v>52</v>
      </c>
      <c r="F47" s="66">
        <f>E47*2/1000</f>
        <v>0.104</v>
      </c>
      <c r="G47" s="13">
        <v>4419.05</v>
      </c>
      <c r="H47" s="67">
        <f t="shared" si="6"/>
        <v>0.45958120000000002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63" t="s">
        <v>35</v>
      </c>
      <c r="C48" s="64" t="s">
        <v>86</v>
      </c>
      <c r="D48" s="63" t="s">
        <v>41</v>
      </c>
      <c r="E48" s="65">
        <v>1520.8</v>
      </c>
      <c r="F48" s="66">
        <f>SUM(E48*2/1000)</f>
        <v>3.0415999999999999</v>
      </c>
      <c r="G48" s="13">
        <v>1803.69</v>
      </c>
      <c r="H48" s="67">
        <f t="shared" si="6"/>
        <v>5.4861035039999999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63" t="s">
        <v>36</v>
      </c>
      <c r="C49" s="64" t="s">
        <v>86</v>
      </c>
      <c r="D49" s="63" t="s">
        <v>41</v>
      </c>
      <c r="E49" s="65">
        <v>3433.81</v>
      </c>
      <c r="F49" s="66">
        <f>SUM(E49*2/1000)</f>
        <v>6.8676199999999996</v>
      </c>
      <c r="G49" s="13">
        <v>1243.43</v>
      </c>
      <c r="H49" s="67">
        <f t="shared" si="6"/>
        <v>8.5394047365999999</v>
      </c>
      <c r="I49" s="13">
        <v>0</v>
      </c>
      <c r="J49" s="24"/>
      <c r="L49" s="19"/>
      <c r="M49" s="20"/>
      <c r="N49" s="21"/>
    </row>
    <row r="50" spans="1:22" ht="15.75" customHeight="1">
      <c r="A50" s="30">
        <v>13</v>
      </c>
      <c r="B50" s="63" t="s">
        <v>54</v>
      </c>
      <c r="C50" s="64" t="s">
        <v>86</v>
      </c>
      <c r="D50" s="63" t="s">
        <v>133</v>
      </c>
      <c r="E50" s="65">
        <v>4731.7</v>
      </c>
      <c r="F50" s="66">
        <f>SUM(E50*5/1000)</f>
        <v>23.6585</v>
      </c>
      <c r="G50" s="13">
        <v>1803.69</v>
      </c>
      <c r="H50" s="67">
        <f t="shared" si="6"/>
        <v>42.672599865000002</v>
      </c>
      <c r="I50" s="13">
        <f>F50/5*G50</f>
        <v>8534.5199730000004</v>
      </c>
      <c r="J50" s="24"/>
      <c r="L50" s="19"/>
      <c r="M50" s="20"/>
      <c r="N50" s="21"/>
    </row>
    <row r="51" spans="1:22" ht="31.5" hidden="1" customHeight="1">
      <c r="A51" s="30"/>
      <c r="B51" s="63" t="s">
        <v>88</v>
      </c>
      <c r="C51" s="64" t="s">
        <v>86</v>
      </c>
      <c r="D51" s="63" t="s">
        <v>41</v>
      </c>
      <c r="E51" s="65">
        <v>4731.7</v>
      </c>
      <c r="F51" s="66">
        <f>SUM(E51*2/1000)</f>
        <v>9.4634</v>
      </c>
      <c r="G51" s="13">
        <v>1591.6</v>
      </c>
      <c r="H51" s="67">
        <f t="shared" si="6"/>
        <v>15.061947439999999</v>
      </c>
      <c r="I51" s="13">
        <v>0</v>
      </c>
      <c r="J51" s="24"/>
      <c r="L51" s="19"/>
      <c r="M51" s="20"/>
      <c r="N51" s="21"/>
    </row>
    <row r="52" spans="1:22" ht="31.5" hidden="1" customHeight="1">
      <c r="A52" s="30"/>
      <c r="B52" s="63" t="s">
        <v>89</v>
      </c>
      <c r="C52" s="64" t="s">
        <v>37</v>
      </c>
      <c r="D52" s="63" t="s">
        <v>41</v>
      </c>
      <c r="E52" s="65">
        <v>20</v>
      </c>
      <c r="F52" s="66">
        <f>SUM(E52*2/100)</f>
        <v>0.4</v>
      </c>
      <c r="G52" s="13">
        <v>4058.32</v>
      </c>
      <c r="H52" s="67">
        <f>SUM(F52*G52/1000)</f>
        <v>1.6233280000000001</v>
      </c>
      <c r="I52" s="13">
        <v>0</v>
      </c>
      <c r="J52" s="24"/>
      <c r="L52" s="19"/>
      <c r="M52" s="20"/>
      <c r="N52" s="21"/>
    </row>
    <row r="53" spans="1:22" ht="15.75" hidden="1" customHeight="1">
      <c r="A53" s="30"/>
      <c r="B53" s="63" t="s">
        <v>38</v>
      </c>
      <c r="C53" s="64" t="s">
        <v>39</v>
      </c>
      <c r="D53" s="63" t="s">
        <v>41</v>
      </c>
      <c r="E53" s="65">
        <v>1</v>
      </c>
      <c r="F53" s="66">
        <v>0.02</v>
      </c>
      <c r="G53" s="13">
        <v>7412.92</v>
      </c>
      <c r="H53" s="67">
        <f t="shared" si="6"/>
        <v>0.14825839999999998</v>
      </c>
      <c r="I53" s="13">
        <v>0</v>
      </c>
      <c r="J53" s="24"/>
      <c r="L53" s="19"/>
      <c r="M53" s="20"/>
      <c r="N53" s="21"/>
    </row>
    <row r="54" spans="1:22" ht="15.75" hidden="1" customHeight="1">
      <c r="A54" s="30"/>
      <c r="B54" s="63" t="s">
        <v>40</v>
      </c>
      <c r="C54" s="64" t="s">
        <v>101</v>
      </c>
      <c r="D54" s="63" t="s">
        <v>52</v>
      </c>
      <c r="E54" s="65">
        <v>160</v>
      </c>
      <c r="F54" s="66">
        <f>SUM(E54)</f>
        <v>160</v>
      </c>
      <c r="G54" s="13">
        <v>86.15</v>
      </c>
      <c r="H54" s="67">
        <f t="shared" si="6"/>
        <v>13.784000000000001</v>
      </c>
      <c r="I54" s="13">
        <v>0</v>
      </c>
      <c r="J54" s="24"/>
      <c r="L54" s="19"/>
    </row>
    <row r="55" spans="1:22" ht="15.75" customHeight="1">
      <c r="A55" s="185" t="s">
        <v>129</v>
      </c>
      <c r="B55" s="186"/>
      <c r="C55" s="186"/>
      <c r="D55" s="186"/>
      <c r="E55" s="186"/>
      <c r="F55" s="186"/>
      <c r="G55" s="186"/>
      <c r="H55" s="186"/>
      <c r="I55" s="187"/>
    </row>
    <row r="56" spans="1:22" ht="15.75" customHeight="1">
      <c r="A56" s="30"/>
      <c r="B56" s="83" t="s">
        <v>42</v>
      </c>
      <c r="C56" s="64"/>
      <c r="D56" s="63"/>
      <c r="E56" s="65"/>
      <c r="F56" s="66"/>
      <c r="G56" s="66"/>
      <c r="H56" s="67"/>
      <c r="I56" s="13"/>
    </row>
    <row r="57" spans="1:22" ht="31.5" hidden="1" customHeight="1">
      <c r="A57" s="30">
        <v>14</v>
      </c>
      <c r="B57" s="63" t="s">
        <v>118</v>
      </c>
      <c r="C57" s="64" t="s">
        <v>84</v>
      </c>
      <c r="D57" s="63" t="s">
        <v>102</v>
      </c>
      <c r="E57" s="65">
        <v>107.21</v>
      </c>
      <c r="F57" s="66">
        <f>SUM(E57*6/100)</f>
        <v>6.4325999999999999</v>
      </c>
      <c r="G57" s="13">
        <v>2029.3</v>
      </c>
      <c r="H57" s="67">
        <f>SUM(F57*G57/1000)</f>
        <v>13.053675180000001</v>
      </c>
      <c r="I57" s="13">
        <f>F57/6*G57</f>
        <v>2175.6125299999999</v>
      </c>
    </row>
    <row r="58" spans="1:22" ht="15.75" hidden="1" customHeight="1">
      <c r="A58" s="30">
        <v>15</v>
      </c>
      <c r="B58" s="72" t="s">
        <v>120</v>
      </c>
      <c r="C58" s="73" t="s">
        <v>121</v>
      </c>
      <c r="D58" s="72" t="s">
        <v>41</v>
      </c>
      <c r="E58" s="74">
        <v>4</v>
      </c>
      <c r="F58" s="75">
        <v>0.8</v>
      </c>
      <c r="G58" s="13">
        <v>237.1</v>
      </c>
      <c r="H58" s="67">
        <f t="shared" ref="H58:H59" si="7">SUM(F58*G58/1000)</f>
        <v>0.18968000000000002</v>
      </c>
      <c r="I58" s="13">
        <f>F58/2*G58</f>
        <v>94.84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0">
        <v>14</v>
      </c>
      <c r="B59" s="63" t="s">
        <v>119</v>
      </c>
      <c r="C59" s="64" t="s">
        <v>84</v>
      </c>
      <c r="D59" s="63" t="s">
        <v>102</v>
      </c>
      <c r="E59" s="65">
        <v>3.8</v>
      </c>
      <c r="F59" s="66">
        <f>SUM(E59*6/100)</f>
        <v>0.22799999999999998</v>
      </c>
      <c r="G59" s="13">
        <v>2029.3</v>
      </c>
      <c r="H59" s="67">
        <f t="shared" si="7"/>
        <v>0.46268039999999994</v>
      </c>
      <c r="I59" s="13">
        <f>F59/6*G59</f>
        <v>77.113399999999999</v>
      </c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customHeight="1">
      <c r="A60" s="30">
        <v>15</v>
      </c>
      <c r="B60" s="63" t="s">
        <v>149</v>
      </c>
      <c r="C60" s="64" t="s">
        <v>150</v>
      </c>
      <c r="D60" s="63" t="s">
        <v>65</v>
      </c>
      <c r="E60" s="65"/>
      <c r="F60" s="66">
        <v>3</v>
      </c>
      <c r="G60" s="13">
        <v>1582.05</v>
      </c>
      <c r="H60" s="67">
        <f>SUM(F60*G60/1000)</f>
        <v>4.7461499999999992</v>
      </c>
      <c r="I60" s="13">
        <f>G60*1.5</f>
        <v>2373.0749999999998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0"/>
      <c r="B61" s="84" t="s">
        <v>43</v>
      </c>
      <c r="C61" s="73"/>
      <c r="D61" s="72"/>
      <c r="E61" s="74"/>
      <c r="F61" s="75"/>
      <c r="G61" s="13"/>
      <c r="H61" s="76"/>
      <c r="I61" s="13"/>
      <c r="J61" s="5"/>
      <c r="K61" s="5"/>
      <c r="L61" s="5"/>
      <c r="M61" s="5"/>
      <c r="N61" s="5"/>
      <c r="O61" s="5"/>
      <c r="P61" s="5"/>
      <c r="Q61" s="5"/>
      <c r="R61" s="181"/>
      <c r="S61" s="181"/>
      <c r="T61" s="181"/>
      <c r="U61" s="181"/>
    </row>
    <row r="62" spans="1:22" ht="15.75" customHeight="1">
      <c r="A62" s="30">
        <v>16</v>
      </c>
      <c r="B62" s="72" t="s">
        <v>151</v>
      </c>
      <c r="C62" s="73" t="s">
        <v>51</v>
      </c>
      <c r="D62" s="72" t="s">
        <v>52</v>
      </c>
      <c r="E62" s="74">
        <v>660.45</v>
      </c>
      <c r="F62" s="75">
        <f>E62/100</f>
        <v>6.6045000000000007</v>
      </c>
      <c r="G62" s="13">
        <v>1040.8399999999999</v>
      </c>
      <c r="H62" s="76">
        <f>F62*G62/1000</f>
        <v>6.87422778</v>
      </c>
      <c r="I62" s="13">
        <f>G62*(1.2/100)</f>
        <v>12.490079999999999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customHeight="1">
      <c r="A63" s="30">
        <v>17</v>
      </c>
      <c r="B63" s="72" t="s">
        <v>112</v>
      </c>
      <c r="C63" s="73" t="s">
        <v>25</v>
      </c>
      <c r="D63" s="72" t="s">
        <v>30</v>
      </c>
      <c r="E63" s="74">
        <v>200</v>
      </c>
      <c r="F63" s="77">
        <f>E63*12</f>
        <v>2400</v>
      </c>
      <c r="G63" s="57">
        <v>1.2</v>
      </c>
      <c r="H63" s="75">
        <f>F63*G63/1000</f>
        <v>2.88</v>
      </c>
      <c r="I63" s="13">
        <f>F63/12*G63</f>
        <v>240</v>
      </c>
    </row>
    <row r="64" spans="1:22" ht="15.75" customHeight="1">
      <c r="A64" s="30"/>
      <c r="B64" s="84" t="s">
        <v>44</v>
      </c>
      <c r="C64" s="73"/>
      <c r="D64" s="72"/>
      <c r="E64" s="74"/>
      <c r="F64" s="77"/>
      <c r="G64" s="77"/>
      <c r="H64" s="75" t="s">
        <v>122</v>
      </c>
      <c r="I64" s="13"/>
    </row>
    <row r="65" spans="1:9" ht="15.75" customHeight="1">
      <c r="A65" s="30">
        <v>18</v>
      </c>
      <c r="B65" s="14" t="s">
        <v>45</v>
      </c>
      <c r="C65" s="16" t="s">
        <v>101</v>
      </c>
      <c r="D65" s="14" t="s">
        <v>65</v>
      </c>
      <c r="E65" s="18">
        <v>10</v>
      </c>
      <c r="F65" s="66">
        <f>SUM(E65)</f>
        <v>10</v>
      </c>
      <c r="G65" s="13">
        <v>291.68</v>
      </c>
      <c r="H65" s="78">
        <f t="shared" ref="H65:H83" si="8">SUM(F65*G65/1000)</f>
        <v>2.9168000000000003</v>
      </c>
      <c r="I65" s="13">
        <f>G65*2</f>
        <v>583.36</v>
      </c>
    </row>
    <row r="66" spans="1:9" ht="15.75" hidden="1" customHeight="1">
      <c r="A66" s="30"/>
      <c r="B66" s="14" t="s">
        <v>46</v>
      </c>
      <c r="C66" s="16" t="s">
        <v>101</v>
      </c>
      <c r="D66" s="14" t="s">
        <v>65</v>
      </c>
      <c r="E66" s="18">
        <v>9</v>
      </c>
      <c r="F66" s="66">
        <f>SUM(E66)</f>
        <v>9</v>
      </c>
      <c r="G66" s="13">
        <v>100.01</v>
      </c>
      <c r="H66" s="78">
        <f t="shared" si="8"/>
        <v>0.90009000000000006</v>
      </c>
      <c r="I66" s="13">
        <v>0</v>
      </c>
    </row>
    <row r="67" spans="1:9" ht="15.75" hidden="1" customHeight="1">
      <c r="A67" s="30"/>
      <c r="B67" s="14" t="s">
        <v>47</v>
      </c>
      <c r="C67" s="16" t="s">
        <v>103</v>
      </c>
      <c r="D67" s="14" t="s">
        <v>52</v>
      </c>
      <c r="E67" s="65">
        <v>19836</v>
      </c>
      <c r="F67" s="13">
        <f>SUM(E67/100)</f>
        <v>198.36</v>
      </c>
      <c r="G67" s="13">
        <v>278.24</v>
      </c>
      <c r="H67" s="78">
        <f t="shared" si="8"/>
        <v>55.191686400000009</v>
      </c>
      <c r="I67" s="13">
        <f>F67*G67</f>
        <v>55191.686400000006</v>
      </c>
    </row>
    <row r="68" spans="1:9" ht="15.75" hidden="1" customHeight="1">
      <c r="A68" s="30"/>
      <c r="B68" s="14" t="s">
        <v>48</v>
      </c>
      <c r="C68" s="16" t="s">
        <v>104</v>
      </c>
      <c r="D68" s="14"/>
      <c r="E68" s="65">
        <v>19836</v>
      </c>
      <c r="F68" s="13">
        <f>SUM(E68/1000)</f>
        <v>19.835999999999999</v>
      </c>
      <c r="G68" s="13">
        <v>216.68</v>
      </c>
      <c r="H68" s="78">
        <f t="shared" si="8"/>
        <v>4.2980644799999999</v>
      </c>
      <c r="I68" s="13">
        <f t="shared" ref="I68:I72" si="9">F68*G68</f>
        <v>4298.06448</v>
      </c>
    </row>
    <row r="69" spans="1:9" ht="15.75" hidden="1" customHeight="1">
      <c r="A69" s="30"/>
      <c r="B69" s="14" t="s">
        <v>49</v>
      </c>
      <c r="C69" s="16" t="s">
        <v>73</v>
      </c>
      <c r="D69" s="14" t="s">
        <v>52</v>
      </c>
      <c r="E69" s="65">
        <v>3155</v>
      </c>
      <c r="F69" s="13">
        <f>SUM(E69/100)</f>
        <v>31.55</v>
      </c>
      <c r="G69" s="13">
        <v>2720.94</v>
      </c>
      <c r="H69" s="78">
        <f t="shared" si="8"/>
        <v>85.845657000000003</v>
      </c>
      <c r="I69" s="13">
        <f t="shared" si="9"/>
        <v>85845.657000000007</v>
      </c>
    </row>
    <row r="70" spans="1:9" ht="15.75" hidden="1" customHeight="1">
      <c r="A70" s="30"/>
      <c r="B70" s="79" t="s">
        <v>105</v>
      </c>
      <c r="C70" s="16" t="s">
        <v>33</v>
      </c>
      <c r="D70" s="14"/>
      <c r="E70" s="65">
        <v>34.5</v>
      </c>
      <c r="F70" s="13">
        <f>SUM(E70)</f>
        <v>34.5</v>
      </c>
      <c r="G70" s="13">
        <v>44.31</v>
      </c>
      <c r="H70" s="78">
        <f t="shared" si="8"/>
        <v>1.5286950000000001</v>
      </c>
      <c r="I70" s="13">
        <f t="shared" si="9"/>
        <v>1528.6950000000002</v>
      </c>
    </row>
    <row r="71" spans="1:9" ht="15.75" hidden="1" customHeight="1">
      <c r="A71" s="30"/>
      <c r="B71" s="79" t="s">
        <v>106</v>
      </c>
      <c r="C71" s="16" t="s">
        <v>33</v>
      </c>
      <c r="D71" s="14"/>
      <c r="E71" s="65">
        <v>34.5</v>
      </c>
      <c r="F71" s="13">
        <f t="shared" ref="F71:F72" si="10">SUM(E71)</f>
        <v>34.5</v>
      </c>
      <c r="G71" s="13">
        <v>47.79</v>
      </c>
      <c r="H71" s="78">
        <f t="shared" si="8"/>
        <v>1.648755</v>
      </c>
      <c r="I71" s="13">
        <f t="shared" si="9"/>
        <v>1648.7549999999999</v>
      </c>
    </row>
    <row r="72" spans="1:9" ht="15.75" hidden="1" customHeight="1">
      <c r="A72" s="30"/>
      <c r="B72" s="14" t="s">
        <v>55</v>
      </c>
      <c r="C72" s="16" t="s">
        <v>56</v>
      </c>
      <c r="D72" s="14" t="s">
        <v>52</v>
      </c>
      <c r="E72" s="18">
        <v>5</v>
      </c>
      <c r="F72" s="13">
        <f t="shared" si="10"/>
        <v>5</v>
      </c>
      <c r="G72" s="13">
        <v>53.32</v>
      </c>
      <c r="H72" s="78">
        <f t="shared" si="8"/>
        <v>0.2666</v>
      </c>
      <c r="I72" s="13">
        <f t="shared" si="9"/>
        <v>266.60000000000002</v>
      </c>
    </row>
    <row r="73" spans="1:9" ht="15.75" customHeight="1">
      <c r="A73" s="30"/>
      <c r="B73" s="102" t="s">
        <v>152</v>
      </c>
      <c r="C73" s="49"/>
      <c r="D73" s="14"/>
      <c r="E73" s="18"/>
      <c r="F73" s="13"/>
      <c r="G73" s="13"/>
      <c r="H73" s="78"/>
      <c r="I73" s="13"/>
    </row>
    <row r="74" spans="1:9" ht="15.75" customHeight="1">
      <c r="A74" s="30">
        <v>19</v>
      </c>
      <c r="B74" s="14" t="s">
        <v>153</v>
      </c>
      <c r="C74" s="30" t="s">
        <v>154</v>
      </c>
      <c r="D74" s="14" t="s">
        <v>65</v>
      </c>
      <c r="E74" s="18">
        <v>4731.7</v>
      </c>
      <c r="F74" s="13">
        <f>SUM(E74*12)</f>
        <v>56780.399999999994</v>
      </c>
      <c r="G74" s="13">
        <v>2.2799999999999998</v>
      </c>
      <c r="H74" s="78">
        <f t="shared" ref="H74" si="11">SUM(F74*G74/1000)</f>
        <v>129.45931199999998</v>
      </c>
      <c r="I74" s="13">
        <f>F74/12*G74</f>
        <v>10788.275999999998</v>
      </c>
    </row>
    <row r="75" spans="1:9" ht="15.75" customHeight="1">
      <c r="A75" s="30"/>
      <c r="B75" s="92" t="s">
        <v>69</v>
      </c>
      <c r="C75" s="16"/>
      <c r="D75" s="14"/>
      <c r="E75" s="18"/>
      <c r="F75" s="13"/>
      <c r="G75" s="13"/>
      <c r="H75" s="78" t="s">
        <v>122</v>
      </c>
      <c r="I75" s="13"/>
    </row>
    <row r="76" spans="1:9" ht="31.5" hidden="1" customHeight="1">
      <c r="A76" s="30"/>
      <c r="B76" s="14" t="s">
        <v>155</v>
      </c>
      <c r="C76" s="16" t="s">
        <v>101</v>
      </c>
      <c r="D76" s="14" t="s">
        <v>65</v>
      </c>
      <c r="E76" s="18">
        <v>1</v>
      </c>
      <c r="F76" s="13">
        <v>1</v>
      </c>
      <c r="G76" s="13">
        <v>1543.4</v>
      </c>
      <c r="H76" s="78">
        <f t="shared" ref="H76:H79" si="12">SUM(F76*G76/1000)</f>
        <v>1.5434000000000001</v>
      </c>
      <c r="I76" s="13">
        <v>0</v>
      </c>
    </row>
    <row r="77" spans="1:9" ht="15.75" hidden="1" customHeight="1">
      <c r="A77" s="30">
        <v>19</v>
      </c>
      <c r="B77" s="47" t="s">
        <v>156</v>
      </c>
      <c r="C77" s="49" t="s">
        <v>101</v>
      </c>
      <c r="D77" s="14" t="s">
        <v>65</v>
      </c>
      <c r="E77" s="18">
        <v>4</v>
      </c>
      <c r="F77" s="13">
        <v>1</v>
      </c>
      <c r="G77" s="13">
        <v>130.96</v>
      </c>
      <c r="H77" s="78">
        <f>SUM(F77*G77/1000)</f>
        <v>0.13096000000000002</v>
      </c>
      <c r="I77" s="13">
        <v>0</v>
      </c>
    </row>
    <row r="78" spans="1:9" ht="15.75" customHeight="1">
      <c r="A78" s="30">
        <v>20</v>
      </c>
      <c r="B78" s="14" t="s">
        <v>70</v>
      </c>
      <c r="C78" s="16" t="s">
        <v>71</v>
      </c>
      <c r="D78" s="14" t="s">
        <v>65</v>
      </c>
      <c r="E78" s="18">
        <v>8</v>
      </c>
      <c r="F78" s="13">
        <f>E78/10</f>
        <v>0.8</v>
      </c>
      <c r="G78" s="13">
        <v>657.87</v>
      </c>
      <c r="H78" s="78">
        <f t="shared" si="12"/>
        <v>0.5262960000000001</v>
      </c>
      <c r="I78" s="13">
        <f>G78*0.3</f>
        <v>197.36099999999999</v>
      </c>
    </row>
    <row r="79" spans="1:9" ht="15.75" hidden="1" customHeight="1">
      <c r="A79" s="30"/>
      <c r="B79" s="14" t="s">
        <v>157</v>
      </c>
      <c r="C79" s="16" t="s">
        <v>101</v>
      </c>
      <c r="D79" s="14" t="s">
        <v>65</v>
      </c>
      <c r="E79" s="18">
        <v>1</v>
      </c>
      <c r="F79" s="66">
        <f>SUM(E79)</f>
        <v>1</v>
      </c>
      <c r="G79" s="13">
        <v>1118.72</v>
      </c>
      <c r="H79" s="78">
        <f t="shared" si="12"/>
        <v>1.1187199999999999</v>
      </c>
      <c r="I79" s="13">
        <v>0</v>
      </c>
    </row>
    <row r="80" spans="1:9" ht="15.75" hidden="1" customHeight="1">
      <c r="A80" s="30"/>
      <c r="B80" s="47" t="s">
        <v>158</v>
      </c>
      <c r="C80" s="49" t="s">
        <v>101</v>
      </c>
      <c r="D80" s="14" t="s">
        <v>65</v>
      </c>
      <c r="E80" s="18">
        <v>1</v>
      </c>
      <c r="F80" s="57">
        <v>1</v>
      </c>
      <c r="G80" s="13">
        <v>3757.02</v>
      </c>
      <c r="H80" s="78">
        <f>SUM(F80*G80/1000)</f>
        <v>3.7570199999999998</v>
      </c>
      <c r="I80" s="13">
        <v>0</v>
      </c>
    </row>
    <row r="81" spans="1:9" ht="15.75" customHeight="1">
      <c r="A81" s="30">
        <v>21</v>
      </c>
      <c r="B81" s="47" t="s">
        <v>159</v>
      </c>
      <c r="C81" s="49" t="s">
        <v>101</v>
      </c>
      <c r="D81" s="14" t="s">
        <v>30</v>
      </c>
      <c r="E81" s="99">
        <v>2</v>
      </c>
      <c r="F81" s="77">
        <f>E81*12</f>
        <v>24</v>
      </c>
      <c r="G81" s="100">
        <v>53.42</v>
      </c>
      <c r="H81" s="78">
        <f t="shared" ref="H81" si="13">SUM(F81*G81/1000)</f>
        <v>1.2820799999999999</v>
      </c>
      <c r="I81" s="13">
        <f>F81/12*G81</f>
        <v>106.84</v>
      </c>
    </row>
    <row r="82" spans="1:9" ht="15.75" hidden="1" customHeight="1">
      <c r="A82" s="30"/>
      <c r="B82" s="81" t="s">
        <v>72</v>
      </c>
      <c r="C82" s="16"/>
      <c r="D82" s="14"/>
      <c r="E82" s="18"/>
      <c r="F82" s="13"/>
      <c r="G82" s="13" t="s">
        <v>122</v>
      </c>
      <c r="H82" s="78" t="s">
        <v>122</v>
      </c>
      <c r="I82" s="13"/>
    </row>
    <row r="83" spans="1:9" ht="15.75" hidden="1" customHeight="1">
      <c r="A83" s="30"/>
      <c r="B83" s="44" t="s">
        <v>114</v>
      </c>
      <c r="C83" s="16" t="s">
        <v>73</v>
      </c>
      <c r="D83" s="14"/>
      <c r="E83" s="18"/>
      <c r="F83" s="13">
        <v>0.3</v>
      </c>
      <c r="G83" s="13">
        <v>3619.09</v>
      </c>
      <c r="H83" s="78">
        <f t="shared" si="8"/>
        <v>1.0857270000000001</v>
      </c>
      <c r="I83" s="13">
        <v>0</v>
      </c>
    </row>
    <row r="84" spans="1:9" ht="15.75" hidden="1" customHeight="1">
      <c r="A84" s="30"/>
      <c r="B84" s="103" t="s">
        <v>90</v>
      </c>
      <c r="C84" s="81"/>
      <c r="D84" s="32"/>
      <c r="E84" s="33"/>
      <c r="F84" s="69"/>
      <c r="G84" s="69"/>
      <c r="H84" s="82">
        <f>SUM(H57:H83)</f>
        <v>319.70627624000002</v>
      </c>
      <c r="I84" s="69"/>
    </row>
    <row r="85" spans="1:9" ht="15.75" hidden="1" customHeight="1">
      <c r="A85" s="30"/>
      <c r="B85" s="63" t="s">
        <v>107</v>
      </c>
      <c r="C85" s="16"/>
      <c r="D85" s="14"/>
      <c r="E85" s="58"/>
      <c r="F85" s="13">
        <v>1</v>
      </c>
      <c r="G85" s="13">
        <v>20512</v>
      </c>
      <c r="H85" s="78">
        <f>G85*F85/1000</f>
        <v>20.512</v>
      </c>
      <c r="I85" s="13">
        <v>0</v>
      </c>
    </row>
    <row r="86" spans="1:9" ht="15.75" customHeight="1">
      <c r="A86" s="194" t="s">
        <v>130</v>
      </c>
      <c r="B86" s="195"/>
      <c r="C86" s="195"/>
      <c r="D86" s="195"/>
      <c r="E86" s="195"/>
      <c r="F86" s="195"/>
      <c r="G86" s="195"/>
      <c r="H86" s="195"/>
      <c r="I86" s="196"/>
    </row>
    <row r="87" spans="1:9" ht="15.75" customHeight="1">
      <c r="A87" s="30">
        <v>22</v>
      </c>
      <c r="B87" s="63" t="s">
        <v>108</v>
      </c>
      <c r="C87" s="16" t="s">
        <v>53</v>
      </c>
      <c r="D87" s="101"/>
      <c r="E87" s="13">
        <v>4731.7</v>
      </c>
      <c r="F87" s="13">
        <f>SUM(E87*12)</f>
        <v>56780.399999999994</v>
      </c>
      <c r="G87" s="13">
        <v>3.1</v>
      </c>
      <c r="H87" s="78">
        <f>SUM(F87*G87/1000)</f>
        <v>176.01924</v>
      </c>
      <c r="I87" s="13">
        <f>F87/12*G87</f>
        <v>14668.27</v>
      </c>
    </row>
    <row r="88" spans="1:9" ht="31.5" customHeight="1">
      <c r="A88" s="30">
        <v>23</v>
      </c>
      <c r="B88" s="14" t="s">
        <v>74</v>
      </c>
      <c r="C88" s="16"/>
      <c r="D88" s="44"/>
      <c r="E88" s="65">
        <f>E87</f>
        <v>4731.7</v>
      </c>
      <c r="F88" s="13">
        <f>E88*12</f>
        <v>56780.399999999994</v>
      </c>
      <c r="G88" s="13">
        <v>3.5</v>
      </c>
      <c r="H88" s="78">
        <f>F88*G88/1000</f>
        <v>198.73139999999995</v>
      </c>
      <c r="I88" s="13">
        <f>F88/12*G88</f>
        <v>16560.95</v>
      </c>
    </row>
    <row r="89" spans="1:9" ht="15.75" customHeight="1">
      <c r="A89" s="30"/>
      <c r="B89" s="37" t="s">
        <v>76</v>
      </c>
      <c r="C89" s="81"/>
      <c r="D89" s="80"/>
      <c r="E89" s="69"/>
      <c r="F89" s="69"/>
      <c r="G89" s="69"/>
      <c r="H89" s="82">
        <f>H88</f>
        <v>198.73139999999995</v>
      </c>
      <c r="I89" s="69">
        <f>I88+I87+I81+I78+I74+I65+I63+I62+I60+I59+I50+I44+I43+I42+I41+I40+I39+I38+I27+I26+I18+I17+I16</f>
        <v>101179.07213299998</v>
      </c>
    </row>
    <row r="90" spans="1:9" ht="15.75" customHeight="1">
      <c r="A90" s="191" t="s">
        <v>58</v>
      </c>
      <c r="B90" s="192"/>
      <c r="C90" s="192"/>
      <c r="D90" s="192"/>
      <c r="E90" s="192"/>
      <c r="F90" s="192"/>
      <c r="G90" s="192"/>
      <c r="H90" s="192"/>
      <c r="I90" s="193"/>
    </row>
    <row r="91" spans="1:9" ht="31.5" customHeight="1">
      <c r="A91" s="30">
        <v>24</v>
      </c>
      <c r="B91" s="62" t="s">
        <v>138</v>
      </c>
      <c r="C91" s="30" t="s">
        <v>139</v>
      </c>
      <c r="D91" s="36"/>
      <c r="E91" s="17"/>
      <c r="F91" s="35">
        <f>8/10</f>
        <v>0.8</v>
      </c>
      <c r="G91" s="13">
        <v>326.66000000000003</v>
      </c>
      <c r="H91" s="86">
        <f>G91*F91/1000</f>
        <v>0.261328</v>
      </c>
      <c r="I91" s="111">
        <f>G91*0.4</f>
        <v>130.66400000000002</v>
      </c>
    </row>
    <row r="92" spans="1:9" ht="15.75" customHeight="1">
      <c r="A92" s="30" t="s">
        <v>214</v>
      </c>
      <c r="B92" s="47" t="s">
        <v>124</v>
      </c>
      <c r="C92" s="49" t="s">
        <v>101</v>
      </c>
      <c r="D92" s="14"/>
      <c r="E92" s="18"/>
      <c r="F92" s="13">
        <v>160</v>
      </c>
      <c r="G92" s="13">
        <v>55.55</v>
      </c>
      <c r="H92" s="78">
        <f>G92*F92/1000</f>
        <v>8.8879999999999999</v>
      </c>
      <c r="I92" s="13">
        <f>G92*80</f>
        <v>4444</v>
      </c>
    </row>
    <row r="93" spans="1:9" ht="15.75" customHeight="1">
      <c r="A93" s="30">
        <v>26</v>
      </c>
      <c r="B93" s="47" t="s">
        <v>77</v>
      </c>
      <c r="C93" s="49" t="s">
        <v>101</v>
      </c>
      <c r="D93" s="36"/>
      <c r="E93" s="17"/>
      <c r="F93" s="35">
        <v>1</v>
      </c>
      <c r="G93" s="35">
        <v>197.48</v>
      </c>
      <c r="H93" s="86">
        <f>G93*F93/1000</f>
        <v>0.19747999999999999</v>
      </c>
      <c r="I93" s="13">
        <f>G93*2</f>
        <v>394.96</v>
      </c>
    </row>
    <row r="94" spans="1:9" ht="15.75" customHeight="1">
      <c r="A94" s="30">
        <v>27</v>
      </c>
      <c r="B94" s="104" t="s">
        <v>182</v>
      </c>
      <c r="C94" s="131" t="s">
        <v>71</v>
      </c>
      <c r="D94" s="36"/>
      <c r="E94" s="17"/>
      <c r="F94" s="35"/>
      <c r="G94" s="122">
        <v>4165.3999999999996</v>
      </c>
      <c r="H94" s="86"/>
      <c r="I94" s="13">
        <f>G94*0.1</f>
        <v>416.53999999999996</v>
      </c>
    </row>
    <row r="95" spans="1:9" ht="15.75" customHeight="1">
      <c r="A95" s="30">
        <v>28</v>
      </c>
      <c r="B95" s="47" t="s">
        <v>163</v>
      </c>
      <c r="C95" s="49" t="s">
        <v>164</v>
      </c>
      <c r="D95" s="48"/>
      <c r="E95" s="35"/>
      <c r="F95" s="35">
        <v>3.5</v>
      </c>
      <c r="G95" s="35">
        <v>3370.66</v>
      </c>
      <c r="H95" s="86">
        <f>G95*F95/1000</f>
        <v>11.79731</v>
      </c>
      <c r="I95" s="13">
        <f>G95*F95</f>
        <v>11797.31</v>
      </c>
    </row>
    <row r="96" spans="1:9" ht="15.75" customHeight="1">
      <c r="A96" s="30">
        <v>29</v>
      </c>
      <c r="B96" s="104" t="s">
        <v>165</v>
      </c>
      <c r="C96" s="85" t="s">
        <v>101</v>
      </c>
      <c r="D96" s="48"/>
      <c r="E96" s="35"/>
      <c r="F96" s="35">
        <v>1</v>
      </c>
      <c r="G96" s="35">
        <v>324.01</v>
      </c>
      <c r="H96" s="86">
        <f>G96*F96/1000</f>
        <v>0.32400999999999996</v>
      </c>
      <c r="I96" s="13">
        <f t="shared" ref="I96" si="14">G96</f>
        <v>324.01</v>
      </c>
    </row>
    <row r="97" spans="1:9" ht="15.75" customHeight="1">
      <c r="A97" s="30"/>
      <c r="B97" s="42" t="s">
        <v>50</v>
      </c>
      <c r="C97" s="38"/>
      <c r="D97" s="45"/>
      <c r="E97" s="38">
        <v>1</v>
      </c>
      <c r="F97" s="38"/>
      <c r="G97" s="38"/>
      <c r="H97" s="38"/>
      <c r="I97" s="33">
        <f>SUM(I91:I96)-I92</f>
        <v>13063.483999999997</v>
      </c>
    </row>
    <row r="98" spans="1:9" ht="15.75" customHeight="1">
      <c r="A98" s="30"/>
      <c r="B98" s="44" t="s">
        <v>75</v>
      </c>
      <c r="C98" s="15"/>
      <c r="D98" s="15"/>
      <c r="E98" s="39"/>
      <c r="F98" s="39"/>
      <c r="G98" s="40"/>
      <c r="H98" s="40"/>
      <c r="I98" s="17">
        <v>0</v>
      </c>
    </row>
    <row r="99" spans="1:9" ht="15.75" customHeight="1">
      <c r="A99" s="46"/>
      <c r="B99" s="43" t="s">
        <v>143</v>
      </c>
      <c r="C99" s="34"/>
      <c r="D99" s="34"/>
      <c r="E99" s="34"/>
      <c r="F99" s="34"/>
      <c r="G99" s="34"/>
      <c r="H99" s="34"/>
      <c r="I99" s="41">
        <f>I89+I97</f>
        <v>114242.55613299998</v>
      </c>
    </row>
    <row r="100" spans="1:9" ht="15.75" customHeight="1">
      <c r="A100" s="197" t="s">
        <v>215</v>
      </c>
      <c r="B100" s="198"/>
      <c r="C100" s="198"/>
      <c r="D100" s="198"/>
      <c r="E100" s="198"/>
      <c r="F100" s="198"/>
      <c r="G100" s="198"/>
      <c r="H100" s="198"/>
      <c r="I100" s="198"/>
    </row>
    <row r="101" spans="1:9" ht="15.75" customHeight="1">
      <c r="A101" s="188" t="s">
        <v>307</v>
      </c>
      <c r="B101" s="188"/>
      <c r="C101" s="188"/>
      <c r="D101" s="188"/>
      <c r="E101" s="188"/>
      <c r="F101" s="188"/>
      <c r="G101" s="188"/>
      <c r="H101" s="188"/>
      <c r="I101" s="188"/>
    </row>
    <row r="102" spans="1:9" ht="15.75" customHeight="1">
      <c r="A102" s="56"/>
      <c r="B102" s="189" t="s">
        <v>308</v>
      </c>
      <c r="C102" s="189"/>
      <c r="D102" s="189"/>
      <c r="E102" s="189"/>
      <c r="F102" s="189"/>
      <c r="G102" s="189"/>
      <c r="H102" s="61"/>
      <c r="I102" s="3"/>
    </row>
    <row r="103" spans="1:9" ht="15.75" customHeight="1">
      <c r="A103" s="89"/>
      <c r="B103" s="179" t="s">
        <v>6</v>
      </c>
      <c r="C103" s="179"/>
      <c r="D103" s="179"/>
      <c r="E103" s="179"/>
      <c r="F103" s="179"/>
      <c r="G103" s="179"/>
      <c r="H103" s="25"/>
      <c r="I103" s="5"/>
    </row>
    <row r="104" spans="1:9" ht="15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 customHeight="1">
      <c r="A105" s="190" t="s">
        <v>7</v>
      </c>
      <c r="B105" s="190"/>
      <c r="C105" s="190"/>
      <c r="D105" s="190"/>
      <c r="E105" s="190"/>
      <c r="F105" s="190"/>
      <c r="G105" s="190"/>
      <c r="H105" s="190"/>
      <c r="I105" s="190"/>
    </row>
    <row r="106" spans="1:9" ht="15.75" customHeight="1">
      <c r="A106" s="190" t="s">
        <v>8</v>
      </c>
      <c r="B106" s="190"/>
      <c r="C106" s="190"/>
      <c r="D106" s="190"/>
      <c r="E106" s="190"/>
      <c r="F106" s="190"/>
      <c r="G106" s="190"/>
      <c r="H106" s="190"/>
      <c r="I106" s="190"/>
    </row>
    <row r="107" spans="1:9" ht="23.25" customHeight="1">
      <c r="A107" s="183" t="s">
        <v>59</v>
      </c>
      <c r="B107" s="183"/>
      <c r="C107" s="183"/>
      <c r="D107" s="183"/>
      <c r="E107" s="183"/>
      <c r="F107" s="183"/>
      <c r="G107" s="183"/>
      <c r="H107" s="183"/>
      <c r="I107" s="183"/>
    </row>
    <row r="108" spans="1:9" ht="15.75">
      <c r="A108" s="11"/>
    </row>
    <row r="109" spans="1:9" ht="15.75">
      <c r="A109" s="177" t="s">
        <v>9</v>
      </c>
      <c r="B109" s="177"/>
      <c r="C109" s="177"/>
      <c r="D109" s="177"/>
      <c r="E109" s="177"/>
      <c r="F109" s="177"/>
      <c r="G109" s="177"/>
      <c r="H109" s="177"/>
      <c r="I109" s="177"/>
    </row>
    <row r="110" spans="1:9" ht="15.75" customHeight="1">
      <c r="A110" s="4"/>
    </row>
    <row r="111" spans="1:9" ht="15.75" customHeight="1">
      <c r="B111" s="90" t="s">
        <v>10</v>
      </c>
      <c r="C111" s="178" t="s">
        <v>131</v>
      </c>
      <c r="D111" s="178"/>
      <c r="E111" s="178"/>
      <c r="F111" s="59"/>
      <c r="I111" s="88"/>
    </row>
    <row r="112" spans="1:9" ht="15.75" customHeight="1">
      <c r="A112" s="89"/>
      <c r="C112" s="179" t="s">
        <v>11</v>
      </c>
      <c r="D112" s="179"/>
      <c r="E112" s="179"/>
      <c r="F112" s="25"/>
      <c r="I112" s="87" t="s">
        <v>12</v>
      </c>
    </row>
    <row r="113" spans="1:9" ht="15.75" customHeight="1">
      <c r="A113" s="26"/>
      <c r="C113" s="12"/>
      <c r="D113" s="12"/>
      <c r="G113" s="12"/>
      <c r="H113" s="12"/>
    </row>
    <row r="114" spans="1:9" ht="15.75" customHeight="1">
      <c r="B114" s="90" t="s">
        <v>13</v>
      </c>
      <c r="C114" s="180"/>
      <c r="D114" s="180"/>
      <c r="E114" s="180"/>
      <c r="F114" s="60"/>
      <c r="I114" s="88"/>
    </row>
    <row r="115" spans="1:9">
      <c r="A115" s="89"/>
      <c r="C115" s="181" t="s">
        <v>11</v>
      </c>
      <c r="D115" s="181"/>
      <c r="E115" s="181"/>
      <c r="F115" s="89"/>
      <c r="I115" s="87" t="s">
        <v>12</v>
      </c>
    </row>
    <row r="116" spans="1:9" ht="15.75">
      <c r="A116" s="4" t="s">
        <v>14</v>
      </c>
    </row>
    <row r="117" spans="1:9" ht="15.75" customHeight="1">
      <c r="A117" s="182" t="s">
        <v>15</v>
      </c>
      <c r="B117" s="182"/>
      <c r="C117" s="182"/>
      <c r="D117" s="182"/>
      <c r="E117" s="182"/>
      <c r="F117" s="182"/>
      <c r="G117" s="182"/>
      <c r="H117" s="182"/>
      <c r="I117" s="182"/>
    </row>
    <row r="118" spans="1:9" ht="45" customHeight="1">
      <c r="A118" s="176" t="s">
        <v>16</v>
      </c>
      <c r="B118" s="176"/>
      <c r="C118" s="176"/>
      <c r="D118" s="176"/>
      <c r="E118" s="176"/>
      <c r="F118" s="176"/>
      <c r="G118" s="176"/>
      <c r="H118" s="176"/>
      <c r="I118" s="176"/>
    </row>
    <row r="119" spans="1:9" ht="30" customHeight="1">
      <c r="A119" s="176" t="s">
        <v>17</v>
      </c>
      <c r="B119" s="176"/>
      <c r="C119" s="176"/>
      <c r="D119" s="176"/>
      <c r="E119" s="176"/>
      <c r="F119" s="176"/>
      <c r="G119" s="176"/>
      <c r="H119" s="176"/>
      <c r="I119" s="176"/>
    </row>
    <row r="120" spans="1:9" ht="30" customHeight="1">
      <c r="A120" s="176" t="s">
        <v>21</v>
      </c>
      <c r="B120" s="176"/>
      <c r="C120" s="176"/>
      <c r="D120" s="176"/>
      <c r="E120" s="176"/>
      <c r="F120" s="176"/>
      <c r="G120" s="176"/>
      <c r="H120" s="176"/>
      <c r="I120" s="176"/>
    </row>
    <row r="121" spans="1:9" ht="15" customHeight="1">
      <c r="A121" s="176" t="s">
        <v>20</v>
      </c>
      <c r="B121" s="176"/>
      <c r="C121" s="176"/>
      <c r="D121" s="176"/>
      <c r="E121" s="176"/>
      <c r="F121" s="176"/>
      <c r="G121" s="176"/>
      <c r="H121" s="176"/>
      <c r="I121" s="176"/>
    </row>
  </sheetData>
  <autoFilter ref="I12:I56"/>
  <mergeCells count="30">
    <mergeCell ref="A14:I14"/>
    <mergeCell ref="A15:I15"/>
    <mergeCell ref="A28:I28"/>
    <mergeCell ref="A45:I45"/>
    <mergeCell ref="A55:I55"/>
    <mergeCell ref="A3:I3"/>
    <mergeCell ref="A4:I4"/>
    <mergeCell ref="A5:I5"/>
    <mergeCell ref="A8:I8"/>
    <mergeCell ref="A10:I10"/>
    <mergeCell ref="R61:U61"/>
    <mergeCell ref="C115:E115"/>
    <mergeCell ref="A90:I90"/>
    <mergeCell ref="A101:I101"/>
    <mergeCell ref="B102:G102"/>
    <mergeCell ref="B103:G103"/>
    <mergeCell ref="A105:I105"/>
    <mergeCell ref="A106:I106"/>
    <mergeCell ref="A107:I107"/>
    <mergeCell ref="A109:I109"/>
    <mergeCell ref="C111:E111"/>
    <mergeCell ref="C112:E112"/>
    <mergeCell ref="C114:E114"/>
    <mergeCell ref="A86:I86"/>
    <mergeCell ref="A100:I100"/>
    <mergeCell ref="A117:I117"/>
    <mergeCell ref="A118:I118"/>
    <mergeCell ref="A119:I119"/>
    <mergeCell ref="A120:I120"/>
    <mergeCell ref="A121:I121"/>
  </mergeCells>
  <pageMargins left="0.70866141732283472" right="0.31496062992125984" top="0.27559055118110237" bottom="0.27559055118110237" header="0.31496062992125984" footer="0.31496062992125984"/>
  <pageSetup paperSize="9" scale="58" orientation="portrait" r:id="rId1"/>
  <rowBreaks count="1" manualBreakCount="1">
    <brk id="115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9"/>
  <sheetViews>
    <sheetView topLeftCell="A89" workbookViewId="0">
      <selection activeCell="J104" sqref="J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1.7109375" hidden="1" customWidth="1"/>
    <col min="6" max="6" width="13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82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99" t="s">
        <v>166</v>
      </c>
      <c r="B3" s="199"/>
      <c r="C3" s="199"/>
      <c r="D3" s="199"/>
      <c r="E3" s="199"/>
      <c r="F3" s="199"/>
      <c r="G3" s="199"/>
      <c r="H3" s="199"/>
      <c r="I3" s="199"/>
      <c r="J3" s="3"/>
      <c r="K3" s="3"/>
      <c r="L3" s="3"/>
    </row>
    <row r="4" spans="1:13" ht="31.5" customHeight="1">
      <c r="A4" s="200" t="s">
        <v>245</v>
      </c>
      <c r="B4" s="200"/>
      <c r="C4" s="200"/>
      <c r="D4" s="200"/>
      <c r="E4" s="200"/>
      <c r="F4" s="200"/>
      <c r="G4" s="200"/>
      <c r="H4" s="200"/>
      <c r="I4" s="200"/>
    </row>
    <row r="5" spans="1:13" ht="15.75">
      <c r="A5" s="199" t="s">
        <v>167</v>
      </c>
      <c r="B5" s="201"/>
      <c r="C5" s="201"/>
      <c r="D5" s="201"/>
      <c r="E5" s="201"/>
      <c r="F5" s="201"/>
      <c r="G5" s="201"/>
      <c r="H5" s="201"/>
      <c r="I5" s="201"/>
      <c r="J5" s="2"/>
      <c r="K5" s="2"/>
      <c r="L5" s="2"/>
      <c r="M5" s="2"/>
    </row>
    <row r="6" spans="1:13" ht="15.75">
      <c r="A6" s="2"/>
      <c r="B6" s="94"/>
      <c r="C6" s="94"/>
      <c r="D6" s="94"/>
      <c r="E6" s="94"/>
      <c r="F6" s="94"/>
      <c r="G6" s="94"/>
      <c r="H6" s="94"/>
      <c r="I6" s="31">
        <v>43190</v>
      </c>
      <c r="J6" s="2"/>
      <c r="K6" s="2"/>
      <c r="L6" s="2"/>
      <c r="M6" s="2"/>
    </row>
    <row r="7" spans="1:13" ht="15.75">
      <c r="B7" s="96"/>
      <c r="C7" s="96"/>
      <c r="D7" s="96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202" t="s">
        <v>162</v>
      </c>
      <c r="B8" s="202"/>
      <c r="C8" s="202"/>
      <c r="D8" s="202"/>
      <c r="E8" s="202"/>
      <c r="F8" s="202"/>
      <c r="G8" s="202"/>
      <c r="H8" s="202"/>
      <c r="I8" s="202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03" t="s">
        <v>144</v>
      </c>
      <c r="B10" s="203"/>
      <c r="C10" s="203"/>
      <c r="D10" s="203"/>
      <c r="E10" s="203"/>
      <c r="F10" s="203"/>
      <c r="G10" s="203"/>
      <c r="H10" s="203"/>
      <c r="I10" s="203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4" t="s">
        <v>57</v>
      </c>
      <c r="B14" s="204"/>
      <c r="C14" s="204"/>
      <c r="D14" s="204"/>
      <c r="E14" s="204"/>
      <c r="F14" s="204"/>
      <c r="G14" s="204"/>
      <c r="H14" s="204"/>
      <c r="I14" s="204"/>
      <c r="J14" s="8"/>
      <c r="K14" s="8"/>
      <c r="L14" s="8"/>
      <c r="M14" s="8"/>
    </row>
    <row r="15" spans="1:13" ht="15" customHeight="1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  <c r="J15" s="8"/>
      <c r="K15" s="8"/>
      <c r="L15" s="8"/>
      <c r="M15" s="8"/>
    </row>
    <row r="16" spans="1:13" ht="15.75" customHeight="1">
      <c r="A16" s="30">
        <v>1</v>
      </c>
      <c r="B16" s="63" t="s">
        <v>83</v>
      </c>
      <c r="C16" s="64" t="s">
        <v>84</v>
      </c>
      <c r="D16" s="63" t="s">
        <v>135</v>
      </c>
      <c r="E16" s="65">
        <v>143.78</v>
      </c>
      <c r="F16" s="66">
        <f>SUM(E16*156/100)</f>
        <v>224.29679999999999</v>
      </c>
      <c r="G16" s="66">
        <v>230</v>
      </c>
      <c r="H16" s="67">
        <f t="shared" ref="H16:H24" si="0">SUM(F16*G16/1000)</f>
        <v>51.588263999999995</v>
      </c>
      <c r="I16" s="13">
        <f>F16/12*G16</f>
        <v>4299.0219999999999</v>
      </c>
      <c r="J16" s="22"/>
      <c r="K16" s="8"/>
      <c r="L16" s="8"/>
      <c r="M16" s="8"/>
    </row>
    <row r="17" spans="1:13" ht="15.75" customHeight="1">
      <c r="A17" s="30">
        <v>2</v>
      </c>
      <c r="B17" s="63" t="s">
        <v>109</v>
      </c>
      <c r="C17" s="64" t="s">
        <v>84</v>
      </c>
      <c r="D17" s="63" t="s">
        <v>136</v>
      </c>
      <c r="E17" s="65">
        <v>575.12</v>
      </c>
      <c r="F17" s="66">
        <f>SUM(E17*104/100)</f>
        <v>598.12480000000005</v>
      </c>
      <c r="G17" s="66">
        <v>230</v>
      </c>
      <c r="H17" s="67">
        <f t="shared" si="0"/>
        <v>137.568704</v>
      </c>
      <c r="I17" s="13">
        <f>F17/12*G17</f>
        <v>11464.058666666668</v>
      </c>
      <c r="J17" s="23"/>
      <c r="K17" s="8"/>
      <c r="L17" s="8"/>
      <c r="M17" s="8"/>
    </row>
    <row r="18" spans="1:13" ht="15.75" customHeight="1">
      <c r="A18" s="30">
        <v>3</v>
      </c>
      <c r="B18" s="63" t="s">
        <v>110</v>
      </c>
      <c r="C18" s="64" t="s">
        <v>84</v>
      </c>
      <c r="D18" s="63" t="s">
        <v>137</v>
      </c>
      <c r="E18" s="65">
        <v>718.9</v>
      </c>
      <c r="F18" s="66">
        <f>SUM(E18*24/100)</f>
        <v>172.53599999999997</v>
      </c>
      <c r="G18" s="66">
        <v>661.67</v>
      </c>
      <c r="H18" s="67">
        <f t="shared" si="0"/>
        <v>114.16189511999997</v>
      </c>
      <c r="I18" s="13">
        <f>F18/12*G18</f>
        <v>9513.4912599999989</v>
      </c>
      <c r="J18" s="23"/>
      <c r="K18" s="8"/>
      <c r="L18" s="8"/>
      <c r="M18" s="8"/>
    </row>
    <row r="19" spans="1:13" ht="15.75" hidden="1" customHeight="1">
      <c r="A19" s="30"/>
      <c r="B19" s="63" t="s">
        <v>91</v>
      </c>
      <c r="C19" s="64" t="s">
        <v>92</v>
      </c>
      <c r="D19" s="63" t="s">
        <v>93</v>
      </c>
      <c r="E19" s="65">
        <v>42.2</v>
      </c>
      <c r="F19" s="66">
        <f>SUM(E19/10)</f>
        <v>4.2200000000000006</v>
      </c>
      <c r="G19" s="66">
        <v>223.17</v>
      </c>
      <c r="H19" s="67">
        <f t="shared" si="0"/>
        <v>0.9417774000000001</v>
      </c>
      <c r="I19" s="13">
        <f>F19*G19</f>
        <v>941.77740000000006</v>
      </c>
      <c r="J19" s="23"/>
      <c r="K19" s="8"/>
      <c r="L19" s="8"/>
      <c r="M19" s="8"/>
    </row>
    <row r="20" spans="1:13" ht="15.75" hidden="1" customHeight="1">
      <c r="A20" s="30">
        <v>4</v>
      </c>
      <c r="B20" s="63" t="s">
        <v>94</v>
      </c>
      <c r="C20" s="64" t="s">
        <v>84</v>
      </c>
      <c r="D20" s="63" t="s">
        <v>41</v>
      </c>
      <c r="E20" s="65">
        <v>14</v>
      </c>
      <c r="F20" s="66">
        <f>SUM(E20*2/100)</f>
        <v>0.28000000000000003</v>
      </c>
      <c r="G20" s="66">
        <v>285.76</v>
      </c>
      <c r="H20" s="67">
        <f t="shared" si="0"/>
        <v>8.0012799999999995E-2</v>
      </c>
      <c r="I20" s="13">
        <f>F20/2*G20</f>
        <v>40.006399999999999</v>
      </c>
      <c r="J20" s="23"/>
      <c r="K20" s="8"/>
      <c r="L20" s="8"/>
      <c r="M20" s="8"/>
    </row>
    <row r="21" spans="1:13" ht="15.75" hidden="1" customHeight="1">
      <c r="A21" s="30">
        <v>5</v>
      </c>
      <c r="B21" s="63" t="s">
        <v>95</v>
      </c>
      <c r="C21" s="64" t="s">
        <v>84</v>
      </c>
      <c r="D21" s="63" t="s">
        <v>41</v>
      </c>
      <c r="E21" s="65">
        <v>6</v>
      </c>
      <c r="F21" s="66">
        <f>SUM(E21*2/100)</f>
        <v>0.12</v>
      </c>
      <c r="G21" s="66">
        <v>283.44</v>
      </c>
      <c r="H21" s="67">
        <f>SUM(F21*G21/1000)</f>
        <v>3.4012799999999996E-2</v>
      </c>
      <c r="I21" s="13">
        <f>F21/2*G21</f>
        <v>17.006399999999999</v>
      </c>
      <c r="J21" s="23"/>
      <c r="K21" s="8"/>
      <c r="L21" s="8"/>
      <c r="M21" s="8"/>
    </row>
    <row r="22" spans="1:13" ht="15.75" hidden="1" customHeight="1">
      <c r="A22" s="30"/>
      <c r="B22" s="63" t="s">
        <v>96</v>
      </c>
      <c r="C22" s="64" t="s">
        <v>51</v>
      </c>
      <c r="D22" s="63" t="s">
        <v>93</v>
      </c>
      <c r="E22" s="65">
        <v>640</v>
      </c>
      <c r="F22" s="66">
        <f>SUM(E22/100)</f>
        <v>6.4</v>
      </c>
      <c r="G22" s="66">
        <v>353.14</v>
      </c>
      <c r="H22" s="67">
        <f t="shared" si="0"/>
        <v>2.2600959999999999</v>
      </c>
      <c r="I22" s="13">
        <f t="shared" ref="I22:I25" si="1">F22*G22</f>
        <v>2260.096</v>
      </c>
      <c r="J22" s="23"/>
      <c r="K22" s="8"/>
      <c r="L22" s="8"/>
      <c r="M22" s="8"/>
    </row>
    <row r="23" spans="1:13" ht="15.75" hidden="1" customHeight="1">
      <c r="A23" s="30"/>
      <c r="B23" s="63" t="s">
        <v>97</v>
      </c>
      <c r="C23" s="64" t="s">
        <v>51</v>
      </c>
      <c r="D23" s="63" t="s">
        <v>93</v>
      </c>
      <c r="E23" s="68">
        <v>49</v>
      </c>
      <c r="F23" s="66">
        <f>SUM(E23/100)</f>
        <v>0.49</v>
      </c>
      <c r="G23" s="66">
        <v>58.08</v>
      </c>
      <c r="H23" s="67">
        <f t="shared" si="0"/>
        <v>2.84592E-2</v>
      </c>
      <c r="I23" s="13">
        <f t="shared" si="1"/>
        <v>28.459199999999999</v>
      </c>
      <c r="J23" s="23"/>
      <c r="K23" s="8"/>
      <c r="L23" s="8"/>
      <c r="M23" s="8"/>
    </row>
    <row r="24" spans="1:13" ht="15.75" hidden="1" customHeight="1">
      <c r="A24" s="30"/>
      <c r="B24" s="63" t="s">
        <v>98</v>
      </c>
      <c r="C24" s="64" t="s">
        <v>51</v>
      </c>
      <c r="D24" s="63" t="s">
        <v>52</v>
      </c>
      <c r="E24" s="65">
        <v>19</v>
      </c>
      <c r="F24" s="66">
        <f>SUM(E24/100)</f>
        <v>0.19</v>
      </c>
      <c r="G24" s="66">
        <v>283.44</v>
      </c>
      <c r="H24" s="67">
        <f t="shared" si="0"/>
        <v>5.3853600000000001E-2</v>
      </c>
      <c r="I24" s="13">
        <f t="shared" si="1"/>
        <v>53.8536</v>
      </c>
      <c r="J24" s="23"/>
      <c r="K24" s="8"/>
      <c r="L24" s="8"/>
      <c r="M24" s="8"/>
    </row>
    <row r="25" spans="1:13" ht="15.75" hidden="1" customHeight="1">
      <c r="A25" s="30"/>
      <c r="B25" s="63" t="s">
        <v>113</v>
      </c>
      <c r="C25" s="64" t="s">
        <v>51</v>
      </c>
      <c r="D25" s="63" t="s">
        <v>52</v>
      </c>
      <c r="E25" s="65">
        <v>19</v>
      </c>
      <c r="F25" s="66">
        <f>E25/100</f>
        <v>0.19</v>
      </c>
      <c r="G25" s="66">
        <v>283.44</v>
      </c>
      <c r="H25" s="67">
        <f>G25*F25/1000</f>
        <v>5.3853600000000001E-2</v>
      </c>
      <c r="I25" s="13">
        <f t="shared" si="1"/>
        <v>53.8536</v>
      </c>
      <c r="J25" s="23"/>
      <c r="K25" s="8"/>
      <c r="L25" s="8"/>
      <c r="M25" s="8"/>
    </row>
    <row r="26" spans="1:13" ht="15.75" customHeight="1">
      <c r="A26" s="30">
        <v>4</v>
      </c>
      <c r="B26" s="63" t="s">
        <v>62</v>
      </c>
      <c r="C26" s="64" t="s">
        <v>33</v>
      </c>
      <c r="D26" s="63" t="s">
        <v>160</v>
      </c>
      <c r="E26" s="65">
        <v>0.1</v>
      </c>
      <c r="F26" s="66">
        <f>SUM(E26*182)</f>
        <v>18.2</v>
      </c>
      <c r="G26" s="66">
        <v>264.85000000000002</v>
      </c>
      <c r="H26" s="67">
        <f>SUM(F26*G26/1000)</f>
        <v>4.8202700000000007</v>
      </c>
      <c r="I26" s="13">
        <f>F26/12*G26</f>
        <v>401.68916666666667</v>
      </c>
      <c r="J26" s="23"/>
      <c r="K26" s="8"/>
    </row>
    <row r="27" spans="1:13" ht="15.75" customHeight="1">
      <c r="A27" s="30">
        <v>5</v>
      </c>
      <c r="B27" s="71" t="s">
        <v>23</v>
      </c>
      <c r="C27" s="64" t="s">
        <v>24</v>
      </c>
      <c r="D27" s="63"/>
      <c r="E27" s="65">
        <v>4731.7</v>
      </c>
      <c r="F27" s="66">
        <f>SUM(E27*12)</f>
        <v>56780.399999999994</v>
      </c>
      <c r="G27" s="66">
        <v>3.52</v>
      </c>
      <c r="H27" s="67">
        <f>SUM(F27*G27/1000)</f>
        <v>199.86700799999997</v>
      </c>
      <c r="I27" s="13">
        <f>F27/12*G27</f>
        <v>16655.583999999999</v>
      </c>
      <c r="J27" s="24"/>
    </row>
    <row r="28" spans="1:13" ht="15.75" customHeight="1">
      <c r="A28" s="184" t="s">
        <v>81</v>
      </c>
      <c r="B28" s="184"/>
      <c r="C28" s="184"/>
      <c r="D28" s="184"/>
      <c r="E28" s="184"/>
      <c r="F28" s="184"/>
      <c r="G28" s="184"/>
      <c r="H28" s="184"/>
      <c r="I28" s="184"/>
      <c r="J28" s="23"/>
      <c r="K28" s="8"/>
      <c r="L28" s="8"/>
      <c r="M28" s="8"/>
    </row>
    <row r="29" spans="1:13" ht="15.75" hidden="1" customHeight="1">
      <c r="A29" s="30"/>
      <c r="B29" s="83" t="s">
        <v>28</v>
      </c>
      <c r="C29" s="64"/>
      <c r="D29" s="63"/>
      <c r="E29" s="65"/>
      <c r="F29" s="66"/>
      <c r="G29" s="66"/>
      <c r="H29" s="67"/>
      <c r="I29" s="13"/>
      <c r="J29" s="24"/>
    </row>
    <row r="30" spans="1:13" ht="15.75" hidden="1" customHeight="1">
      <c r="A30" s="30"/>
      <c r="B30" s="63" t="s">
        <v>100</v>
      </c>
      <c r="C30" s="64" t="s">
        <v>86</v>
      </c>
      <c r="D30" s="63" t="s">
        <v>141</v>
      </c>
      <c r="E30" s="66">
        <v>436.6</v>
      </c>
      <c r="F30" s="66">
        <f>SUM(E30*52/1000)</f>
        <v>22.703200000000002</v>
      </c>
      <c r="G30" s="66">
        <v>204.44</v>
      </c>
      <c r="H30" s="67">
        <f t="shared" ref="H30:H36" si="2">SUM(F30*G30/1000)</f>
        <v>4.641442208</v>
      </c>
      <c r="I30" s="13">
        <f>F30/6*G30</f>
        <v>773.57370133333336</v>
      </c>
      <c r="J30" s="24"/>
    </row>
    <row r="31" spans="1:13" ht="31.5" hidden="1" customHeight="1">
      <c r="A31" s="30"/>
      <c r="B31" s="63" t="s">
        <v>111</v>
      </c>
      <c r="C31" s="64" t="s">
        <v>86</v>
      </c>
      <c r="D31" s="63" t="s">
        <v>142</v>
      </c>
      <c r="E31" s="66">
        <v>54.4</v>
      </c>
      <c r="F31" s="66">
        <f>SUM(E31*78/1000)</f>
        <v>4.2431999999999999</v>
      </c>
      <c r="G31" s="66">
        <v>339.21</v>
      </c>
      <c r="H31" s="67">
        <f t="shared" si="2"/>
        <v>1.4393358719999998</v>
      </c>
      <c r="I31" s="13">
        <f t="shared" ref="I31:I34" si="3">F31/6*G31</f>
        <v>239.88931199999996</v>
      </c>
      <c r="J31" s="23"/>
      <c r="K31" s="8"/>
      <c r="L31" s="8"/>
      <c r="M31" s="8"/>
    </row>
    <row r="32" spans="1:13" ht="15.75" hidden="1" customHeight="1">
      <c r="A32" s="30"/>
      <c r="B32" s="63" t="s">
        <v>27</v>
      </c>
      <c r="C32" s="64" t="s">
        <v>86</v>
      </c>
      <c r="D32" s="63" t="s">
        <v>52</v>
      </c>
      <c r="E32" s="66">
        <v>436.6</v>
      </c>
      <c r="F32" s="66">
        <f>SUM(E32/1000)</f>
        <v>0.43660000000000004</v>
      </c>
      <c r="G32" s="66">
        <v>3961.23</v>
      </c>
      <c r="H32" s="67">
        <f t="shared" si="2"/>
        <v>1.7294730180000002</v>
      </c>
      <c r="I32" s="13">
        <f>F32*G32</f>
        <v>1729.4730180000001</v>
      </c>
      <c r="J32" s="23"/>
      <c r="K32" s="8"/>
      <c r="L32" s="8"/>
      <c r="M32" s="8"/>
    </row>
    <row r="33" spans="1:14" ht="15.75" hidden="1" customHeight="1">
      <c r="A33" s="30"/>
      <c r="B33" s="63" t="s">
        <v>123</v>
      </c>
      <c r="C33" s="64" t="s">
        <v>39</v>
      </c>
      <c r="D33" s="63" t="s">
        <v>61</v>
      </c>
      <c r="E33" s="66">
        <v>4</v>
      </c>
      <c r="F33" s="66">
        <f>E33*155/100</f>
        <v>6.2</v>
      </c>
      <c r="G33" s="66">
        <v>1707.63</v>
      </c>
      <c r="H33" s="67">
        <f>G33*F33/1000</f>
        <v>10.587306</v>
      </c>
      <c r="I33" s="13">
        <f t="shared" si="3"/>
        <v>1764.5510000000004</v>
      </c>
      <c r="J33" s="23"/>
      <c r="K33" s="8"/>
      <c r="L33" s="8"/>
      <c r="M33" s="8"/>
    </row>
    <row r="34" spans="1:14" ht="15.75" hidden="1" customHeight="1">
      <c r="A34" s="30"/>
      <c r="B34" s="63" t="s">
        <v>99</v>
      </c>
      <c r="C34" s="64" t="s">
        <v>31</v>
      </c>
      <c r="D34" s="63" t="s">
        <v>61</v>
      </c>
      <c r="E34" s="70">
        <f>1/3</f>
        <v>0.33333333333333331</v>
      </c>
      <c r="F34" s="66">
        <f>155/3</f>
        <v>51.666666666666664</v>
      </c>
      <c r="G34" s="66">
        <v>74.349999999999994</v>
      </c>
      <c r="H34" s="67">
        <f>SUM(G34*155/3/1000)</f>
        <v>3.8414166666666665</v>
      </c>
      <c r="I34" s="13">
        <f t="shared" si="3"/>
        <v>640.23611111111109</v>
      </c>
      <c r="J34" s="23"/>
      <c r="K34" s="8"/>
      <c r="L34" s="8"/>
      <c r="M34" s="8"/>
    </row>
    <row r="35" spans="1:14" ht="15.75" hidden="1" customHeight="1">
      <c r="A35" s="30"/>
      <c r="B35" s="63" t="s">
        <v>63</v>
      </c>
      <c r="C35" s="64" t="s">
        <v>33</v>
      </c>
      <c r="D35" s="63" t="s">
        <v>65</v>
      </c>
      <c r="E35" s="65"/>
      <c r="F35" s="66">
        <v>2</v>
      </c>
      <c r="G35" s="66">
        <v>250.92</v>
      </c>
      <c r="H35" s="67">
        <f t="shared" si="2"/>
        <v>0.50183999999999995</v>
      </c>
      <c r="I35" s="13">
        <v>0</v>
      </c>
      <c r="J35" s="24"/>
    </row>
    <row r="36" spans="1:14" ht="15.75" hidden="1" customHeight="1">
      <c r="A36" s="30"/>
      <c r="B36" s="63" t="s">
        <v>64</v>
      </c>
      <c r="C36" s="64" t="s">
        <v>32</v>
      </c>
      <c r="D36" s="63" t="s">
        <v>65</v>
      </c>
      <c r="E36" s="65"/>
      <c r="F36" s="66">
        <v>1</v>
      </c>
      <c r="G36" s="66">
        <v>1490.31</v>
      </c>
      <c r="H36" s="67">
        <f t="shared" si="2"/>
        <v>1.49031</v>
      </c>
      <c r="I36" s="13">
        <v>0</v>
      </c>
      <c r="J36" s="24"/>
    </row>
    <row r="37" spans="1:14" ht="15.75" customHeight="1">
      <c r="A37" s="30"/>
      <c r="B37" s="83" t="s">
        <v>5</v>
      </c>
      <c r="C37" s="64"/>
      <c r="D37" s="63"/>
      <c r="E37" s="65"/>
      <c r="F37" s="66"/>
      <c r="G37" s="66"/>
      <c r="H37" s="67" t="s">
        <v>122</v>
      </c>
      <c r="I37" s="13"/>
      <c r="J37" s="24"/>
      <c r="L37" s="19"/>
      <c r="M37" s="20"/>
      <c r="N37" s="21"/>
    </row>
    <row r="38" spans="1:14" ht="15.75" customHeight="1">
      <c r="A38" s="30">
        <v>6</v>
      </c>
      <c r="B38" s="63" t="s">
        <v>26</v>
      </c>
      <c r="C38" s="64" t="s">
        <v>32</v>
      </c>
      <c r="D38" s="63"/>
      <c r="E38" s="65"/>
      <c r="F38" s="66">
        <v>5</v>
      </c>
      <c r="G38" s="66">
        <v>2003</v>
      </c>
      <c r="H38" s="67">
        <f t="shared" ref="H38:H44" si="4">SUM(F38*G38/1000)</f>
        <v>10.015000000000001</v>
      </c>
      <c r="I38" s="13">
        <f t="shared" ref="I38:I44" si="5">F38/6*G38</f>
        <v>1669.1666666666667</v>
      </c>
      <c r="J38" s="24"/>
      <c r="L38" s="19"/>
      <c r="M38" s="20"/>
      <c r="N38" s="21"/>
    </row>
    <row r="39" spans="1:14" ht="15.75" customHeight="1">
      <c r="A39" s="30">
        <v>7</v>
      </c>
      <c r="B39" s="63" t="s">
        <v>146</v>
      </c>
      <c r="C39" s="64" t="s">
        <v>29</v>
      </c>
      <c r="D39" s="63" t="s">
        <v>115</v>
      </c>
      <c r="E39" s="65">
        <v>54.4</v>
      </c>
      <c r="F39" s="66">
        <f>E39*30/1000</f>
        <v>1.6319999999999999</v>
      </c>
      <c r="G39" s="66">
        <v>2757.78</v>
      </c>
      <c r="H39" s="67">
        <f t="shared" si="4"/>
        <v>4.50069696</v>
      </c>
      <c r="I39" s="13">
        <f t="shared" si="5"/>
        <v>750.11615999999992</v>
      </c>
      <c r="J39" s="24"/>
      <c r="L39" s="19"/>
      <c r="M39" s="20"/>
      <c r="N39" s="21"/>
    </row>
    <row r="40" spans="1:14" ht="15.75" customHeight="1">
      <c r="A40" s="30">
        <v>8</v>
      </c>
      <c r="B40" s="63" t="s">
        <v>66</v>
      </c>
      <c r="C40" s="64" t="s">
        <v>29</v>
      </c>
      <c r="D40" s="63" t="s">
        <v>85</v>
      </c>
      <c r="E40" s="66">
        <v>54.4</v>
      </c>
      <c r="F40" s="66">
        <f>SUM(E40*155/1000)</f>
        <v>8.4320000000000004</v>
      </c>
      <c r="G40" s="66">
        <v>460.02</v>
      </c>
      <c r="H40" s="67">
        <f t="shared" si="4"/>
        <v>3.87888864</v>
      </c>
      <c r="I40" s="13">
        <f t="shared" si="5"/>
        <v>646.48144000000002</v>
      </c>
      <c r="J40" s="24"/>
      <c r="L40" s="19"/>
      <c r="M40" s="20"/>
      <c r="N40" s="21"/>
    </row>
    <row r="41" spans="1:14" ht="47.25" customHeight="1">
      <c r="A41" s="30">
        <v>9</v>
      </c>
      <c r="B41" s="63" t="s">
        <v>78</v>
      </c>
      <c r="C41" s="64" t="s">
        <v>86</v>
      </c>
      <c r="D41" s="63" t="s">
        <v>116</v>
      </c>
      <c r="E41" s="66">
        <v>31.2</v>
      </c>
      <c r="F41" s="66">
        <f>SUM(E41*35/1000)</f>
        <v>1.0920000000000001</v>
      </c>
      <c r="G41" s="66">
        <v>7611.16</v>
      </c>
      <c r="H41" s="67">
        <f t="shared" si="4"/>
        <v>8.3113867199999998</v>
      </c>
      <c r="I41" s="13">
        <f t="shared" si="5"/>
        <v>1385.2311200000001</v>
      </c>
      <c r="J41" s="24"/>
      <c r="L41" s="19"/>
      <c r="M41" s="20"/>
      <c r="N41" s="21"/>
    </row>
    <row r="42" spans="1:14" ht="15.75" customHeight="1">
      <c r="A42" s="30">
        <v>10</v>
      </c>
      <c r="B42" s="63" t="s">
        <v>87</v>
      </c>
      <c r="C42" s="64" t="s">
        <v>86</v>
      </c>
      <c r="D42" s="63" t="s">
        <v>67</v>
      </c>
      <c r="E42" s="66">
        <v>54.4</v>
      </c>
      <c r="F42" s="66">
        <f>SUM(E42*45/1000)</f>
        <v>2.448</v>
      </c>
      <c r="G42" s="66">
        <v>562.25</v>
      </c>
      <c r="H42" s="67">
        <f t="shared" si="4"/>
        <v>1.3763879999999999</v>
      </c>
      <c r="I42" s="13">
        <f>E42*8/1000*G42</f>
        <v>244.69119999999998</v>
      </c>
      <c r="J42" s="24"/>
      <c r="L42" s="19"/>
      <c r="M42" s="20"/>
      <c r="N42" s="21"/>
    </row>
    <row r="43" spans="1:14" ht="15.75" customHeight="1">
      <c r="A43" s="30">
        <v>11</v>
      </c>
      <c r="B43" s="63" t="s">
        <v>68</v>
      </c>
      <c r="C43" s="64" t="s">
        <v>33</v>
      </c>
      <c r="D43" s="63"/>
      <c r="E43" s="65"/>
      <c r="F43" s="66">
        <v>0.9</v>
      </c>
      <c r="G43" s="66">
        <v>974.83</v>
      </c>
      <c r="H43" s="67">
        <f t="shared" si="4"/>
        <v>0.8773470000000001</v>
      </c>
      <c r="I43" s="13">
        <f>F43/45*8*G43</f>
        <v>155.97280000000001</v>
      </c>
      <c r="J43" s="24"/>
      <c r="L43" s="19"/>
      <c r="M43" s="20"/>
      <c r="N43" s="21"/>
    </row>
    <row r="44" spans="1:14" ht="15.75" customHeight="1">
      <c r="A44" s="30">
        <v>12</v>
      </c>
      <c r="B44" s="47" t="s">
        <v>147</v>
      </c>
      <c r="C44" s="49" t="s">
        <v>29</v>
      </c>
      <c r="D44" s="63" t="s">
        <v>148</v>
      </c>
      <c r="E44" s="65">
        <v>3</v>
      </c>
      <c r="F44" s="66">
        <f>SUM(E44*12/1000)</f>
        <v>3.5999999999999997E-2</v>
      </c>
      <c r="G44" s="66">
        <v>260.2</v>
      </c>
      <c r="H44" s="67">
        <f t="shared" si="4"/>
        <v>9.3671999999999991E-3</v>
      </c>
      <c r="I44" s="13">
        <f t="shared" si="5"/>
        <v>1.5611999999999997</v>
      </c>
      <c r="J44" s="24"/>
      <c r="L44" s="19"/>
      <c r="M44" s="20"/>
      <c r="N44" s="21"/>
    </row>
    <row r="45" spans="1:14" ht="15.75" hidden="1" customHeight="1">
      <c r="A45" s="185" t="s">
        <v>128</v>
      </c>
      <c r="B45" s="186"/>
      <c r="C45" s="186"/>
      <c r="D45" s="186"/>
      <c r="E45" s="186"/>
      <c r="F45" s="186"/>
      <c r="G45" s="186"/>
      <c r="H45" s="186"/>
      <c r="I45" s="187"/>
      <c r="J45" s="24"/>
      <c r="L45" s="19"/>
      <c r="M45" s="20"/>
      <c r="N45" s="21"/>
    </row>
    <row r="46" spans="1:14" ht="15.75" hidden="1" customHeight="1">
      <c r="A46" s="30"/>
      <c r="B46" s="63" t="s">
        <v>117</v>
      </c>
      <c r="C46" s="64" t="s">
        <v>86</v>
      </c>
      <c r="D46" s="63" t="s">
        <v>41</v>
      </c>
      <c r="E46" s="65">
        <v>1320.9</v>
      </c>
      <c r="F46" s="66">
        <f>SUM(E46*2/1000)</f>
        <v>2.6418000000000004</v>
      </c>
      <c r="G46" s="13">
        <v>1114.1300000000001</v>
      </c>
      <c r="H46" s="67">
        <f t="shared" ref="H46:H54" si="6">SUM(F46*G46/1000)</f>
        <v>2.943308634000001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63" t="s">
        <v>34</v>
      </c>
      <c r="C47" s="64" t="s">
        <v>86</v>
      </c>
      <c r="D47" s="63" t="s">
        <v>41</v>
      </c>
      <c r="E47" s="65">
        <v>52</v>
      </c>
      <c r="F47" s="66">
        <f>E47*2/1000</f>
        <v>0.104</v>
      </c>
      <c r="G47" s="13">
        <v>4419.05</v>
      </c>
      <c r="H47" s="67">
        <f t="shared" si="6"/>
        <v>0.45958120000000002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63" t="s">
        <v>35</v>
      </c>
      <c r="C48" s="64" t="s">
        <v>86</v>
      </c>
      <c r="D48" s="63" t="s">
        <v>41</v>
      </c>
      <c r="E48" s="65">
        <v>1520.8</v>
      </c>
      <c r="F48" s="66">
        <f>SUM(E48*2/1000)</f>
        <v>3.0415999999999999</v>
      </c>
      <c r="G48" s="13">
        <v>1803.69</v>
      </c>
      <c r="H48" s="67">
        <f t="shared" si="6"/>
        <v>5.4861035039999999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63" t="s">
        <v>36</v>
      </c>
      <c r="C49" s="64" t="s">
        <v>86</v>
      </c>
      <c r="D49" s="63" t="s">
        <v>41</v>
      </c>
      <c r="E49" s="65">
        <v>3433.81</v>
      </c>
      <c r="F49" s="66">
        <f>SUM(E49*2/1000)</f>
        <v>6.8676199999999996</v>
      </c>
      <c r="G49" s="13">
        <v>1243.43</v>
      </c>
      <c r="H49" s="67">
        <f t="shared" si="6"/>
        <v>8.5394047365999999</v>
      </c>
      <c r="I49" s="13">
        <v>0</v>
      </c>
      <c r="J49" s="24"/>
      <c r="L49" s="19"/>
      <c r="M49" s="20"/>
      <c r="N49" s="21"/>
    </row>
    <row r="50" spans="1:22" ht="15.75" hidden="1" customHeight="1">
      <c r="A50" s="30">
        <v>13</v>
      </c>
      <c r="B50" s="63" t="s">
        <v>54</v>
      </c>
      <c r="C50" s="64" t="s">
        <v>86</v>
      </c>
      <c r="D50" s="63" t="s">
        <v>133</v>
      </c>
      <c r="E50" s="65">
        <v>4731.7</v>
      </c>
      <c r="F50" s="66">
        <f>SUM(E50*5/1000)</f>
        <v>23.6585</v>
      </c>
      <c r="G50" s="13">
        <v>1803.69</v>
      </c>
      <c r="H50" s="67">
        <f t="shared" si="6"/>
        <v>42.672599865000002</v>
      </c>
      <c r="I50" s="13">
        <f>F50/5*G50</f>
        <v>8534.5199730000004</v>
      </c>
      <c r="J50" s="24"/>
      <c r="L50" s="19"/>
      <c r="M50" s="20"/>
      <c r="N50" s="21"/>
    </row>
    <row r="51" spans="1:22" ht="31.5" hidden="1" customHeight="1">
      <c r="A51" s="30"/>
      <c r="B51" s="63" t="s">
        <v>88</v>
      </c>
      <c r="C51" s="64" t="s">
        <v>86</v>
      </c>
      <c r="D51" s="63" t="s">
        <v>41</v>
      </c>
      <c r="E51" s="65">
        <v>4731.7</v>
      </c>
      <c r="F51" s="66">
        <f>SUM(E51*2/1000)</f>
        <v>9.4634</v>
      </c>
      <c r="G51" s="13">
        <v>1591.6</v>
      </c>
      <c r="H51" s="67">
        <f t="shared" si="6"/>
        <v>15.061947439999999</v>
      </c>
      <c r="I51" s="13">
        <v>0</v>
      </c>
      <c r="J51" s="24"/>
      <c r="L51" s="19"/>
      <c r="M51" s="20"/>
      <c r="N51" s="21"/>
    </row>
    <row r="52" spans="1:22" ht="31.5" hidden="1" customHeight="1">
      <c r="A52" s="30"/>
      <c r="B52" s="63" t="s">
        <v>89</v>
      </c>
      <c r="C52" s="64" t="s">
        <v>37</v>
      </c>
      <c r="D52" s="63" t="s">
        <v>41</v>
      </c>
      <c r="E52" s="65">
        <v>20</v>
      </c>
      <c r="F52" s="66">
        <f>SUM(E52*2/100)</f>
        <v>0.4</v>
      </c>
      <c r="G52" s="13">
        <v>4058.32</v>
      </c>
      <c r="H52" s="67">
        <f>SUM(F52*G52/1000)</f>
        <v>1.6233280000000001</v>
      </c>
      <c r="I52" s="13">
        <v>0</v>
      </c>
      <c r="J52" s="24"/>
      <c r="L52" s="19"/>
      <c r="M52" s="20"/>
      <c r="N52" s="21"/>
    </row>
    <row r="53" spans="1:22" ht="15.75" hidden="1" customHeight="1">
      <c r="A53" s="30"/>
      <c r="B53" s="63" t="s">
        <v>38</v>
      </c>
      <c r="C53" s="64" t="s">
        <v>39</v>
      </c>
      <c r="D53" s="63" t="s">
        <v>41</v>
      </c>
      <c r="E53" s="65">
        <v>1</v>
      </c>
      <c r="F53" s="66">
        <v>0.02</v>
      </c>
      <c r="G53" s="13">
        <v>7412.92</v>
      </c>
      <c r="H53" s="67">
        <f t="shared" si="6"/>
        <v>0.14825839999999998</v>
      </c>
      <c r="I53" s="13">
        <v>0</v>
      </c>
      <c r="J53" s="24"/>
      <c r="L53" s="19"/>
      <c r="M53" s="20"/>
      <c r="N53" s="21"/>
    </row>
    <row r="54" spans="1:22" ht="15.75" hidden="1" customHeight="1">
      <c r="A54" s="30"/>
      <c r="B54" s="63" t="s">
        <v>40</v>
      </c>
      <c r="C54" s="64" t="s">
        <v>101</v>
      </c>
      <c r="D54" s="63" t="s">
        <v>52</v>
      </c>
      <c r="E54" s="65">
        <v>160</v>
      </c>
      <c r="F54" s="66">
        <f>SUM(E54)</f>
        <v>160</v>
      </c>
      <c r="G54" s="13">
        <v>86.15</v>
      </c>
      <c r="H54" s="67">
        <f t="shared" si="6"/>
        <v>13.784000000000001</v>
      </c>
      <c r="I54" s="13">
        <v>0</v>
      </c>
      <c r="J54" s="24"/>
      <c r="L54" s="19"/>
    </row>
    <row r="55" spans="1:22" ht="15.75" customHeight="1">
      <c r="A55" s="185" t="s">
        <v>168</v>
      </c>
      <c r="B55" s="186"/>
      <c r="C55" s="186"/>
      <c r="D55" s="186"/>
      <c r="E55" s="186"/>
      <c r="F55" s="186"/>
      <c r="G55" s="186"/>
      <c r="H55" s="186"/>
      <c r="I55" s="187"/>
    </row>
    <row r="56" spans="1:22" ht="15.75" customHeight="1">
      <c r="A56" s="30"/>
      <c r="B56" s="83" t="s">
        <v>42</v>
      </c>
      <c r="C56" s="64"/>
      <c r="D56" s="63"/>
      <c r="E56" s="65"/>
      <c r="F56" s="66"/>
      <c r="G56" s="66"/>
      <c r="H56" s="67"/>
      <c r="I56" s="13"/>
    </row>
    <row r="57" spans="1:22" ht="31.5" hidden="1" customHeight="1">
      <c r="A57" s="30">
        <v>13</v>
      </c>
      <c r="B57" s="63" t="s">
        <v>118</v>
      </c>
      <c r="C57" s="64" t="s">
        <v>84</v>
      </c>
      <c r="D57" s="63" t="s">
        <v>102</v>
      </c>
      <c r="E57" s="65">
        <v>107.21</v>
      </c>
      <c r="F57" s="66">
        <f>SUM(E57*6/100)</f>
        <v>6.4325999999999999</v>
      </c>
      <c r="G57" s="13">
        <v>2029.3</v>
      </c>
      <c r="H57" s="67">
        <f>SUM(F57*G57/1000)</f>
        <v>13.053675180000001</v>
      </c>
      <c r="I57" s="13">
        <f>F57/6*G57</f>
        <v>2175.6125299999999</v>
      </c>
    </row>
    <row r="58" spans="1:22" ht="15.75" customHeight="1">
      <c r="A58" s="30">
        <v>13</v>
      </c>
      <c r="B58" s="72" t="s">
        <v>120</v>
      </c>
      <c r="C58" s="73" t="s">
        <v>121</v>
      </c>
      <c r="D58" s="72" t="s">
        <v>41</v>
      </c>
      <c r="E58" s="74">
        <v>4</v>
      </c>
      <c r="F58" s="75">
        <v>0.8</v>
      </c>
      <c r="G58" s="13">
        <v>237.1</v>
      </c>
      <c r="H58" s="67">
        <f t="shared" ref="H58:H59" si="7">SUM(F58*G58/1000)</f>
        <v>0.18968000000000002</v>
      </c>
      <c r="I58" s="13">
        <f>F58/2*G58</f>
        <v>94.84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0">
        <v>14</v>
      </c>
      <c r="B59" s="63" t="s">
        <v>119</v>
      </c>
      <c r="C59" s="64" t="s">
        <v>84</v>
      </c>
      <c r="D59" s="63" t="s">
        <v>102</v>
      </c>
      <c r="E59" s="65">
        <v>3.8</v>
      </c>
      <c r="F59" s="66">
        <f>SUM(E59*6/100)</f>
        <v>0.22799999999999998</v>
      </c>
      <c r="G59" s="13">
        <v>2029.3</v>
      </c>
      <c r="H59" s="67">
        <f t="shared" si="7"/>
        <v>0.46268039999999994</v>
      </c>
      <c r="I59" s="13">
        <f>F59/6*G59</f>
        <v>77.113399999999999</v>
      </c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0">
        <v>17</v>
      </c>
      <c r="B60" s="63" t="s">
        <v>149</v>
      </c>
      <c r="C60" s="64" t="s">
        <v>150</v>
      </c>
      <c r="D60" s="63" t="s">
        <v>65</v>
      </c>
      <c r="E60" s="65"/>
      <c r="F60" s="66">
        <v>3</v>
      </c>
      <c r="G60" s="13">
        <v>1582.05</v>
      </c>
      <c r="H60" s="67">
        <f>SUM(F60*G60/1000)</f>
        <v>4.7461499999999992</v>
      </c>
      <c r="I60" s="13">
        <f>G60*1.5</f>
        <v>2373.0749999999998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30"/>
      <c r="B61" s="84" t="s">
        <v>43</v>
      </c>
      <c r="C61" s="73"/>
      <c r="D61" s="72"/>
      <c r="E61" s="74"/>
      <c r="F61" s="75"/>
      <c r="G61" s="13"/>
      <c r="H61" s="76"/>
      <c r="I61" s="13"/>
      <c r="J61" s="5"/>
      <c r="K61" s="5"/>
      <c r="L61" s="5"/>
      <c r="M61" s="5"/>
      <c r="N61" s="5"/>
      <c r="O61" s="5"/>
      <c r="P61" s="5"/>
      <c r="Q61" s="5"/>
      <c r="R61" s="181"/>
      <c r="S61" s="181"/>
      <c r="T61" s="181"/>
      <c r="U61" s="181"/>
    </row>
    <row r="62" spans="1:22" ht="15.75" hidden="1" customHeight="1">
      <c r="A62" s="30">
        <v>18</v>
      </c>
      <c r="B62" s="72" t="s">
        <v>151</v>
      </c>
      <c r="C62" s="73" t="s">
        <v>51</v>
      </c>
      <c r="D62" s="72" t="s">
        <v>52</v>
      </c>
      <c r="E62" s="74">
        <v>660.45</v>
      </c>
      <c r="F62" s="75">
        <f>E62/100</f>
        <v>6.6045000000000007</v>
      </c>
      <c r="G62" s="13">
        <v>1040.8399999999999</v>
      </c>
      <c r="H62" s="76">
        <f>F62*G62/1000</f>
        <v>6.87422778</v>
      </c>
      <c r="I62" s="13">
        <f>G62*(1.2/100)</f>
        <v>12.490079999999999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customHeight="1">
      <c r="A63" s="30">
        <v>15</v>
      </c>
      <c r="B63" s="72" t="s">
        <v>112</v>
      </c>
      <c r="C63" s="73" t="s">
        <v>25</v>
      </c>
      <c r="D63" s="72" t="s">
        <v>30</v>
      </c>
      <c r="E63" s="74">
        <v>200</v>
      </c>
      <c r="F63" s="77">
        <f>E63*12</f>
        <v>2400</v>
      </c>
      <c r="G63" s="57">
        <v>1.2</v>
      </c>
      <c r="H63" s="75">
        <f>F63*G63/1000</f>
        <v>2.88</v>
      </c>
      <c r="I63" s="13">
        <f>F63/12*G63</f>
        <v>240</v>
      </c>
    </row>
    <row r="64" spans="1:22" ht="15.75" hidden="1" customHeight="1">
      <c r="A64" s="30"/>
      <c r="B64" s="84" t="s">
        <v>44</v>
      </c>
      <c r="C64" s="73"/>
      <c r="D64" s="72"/>
      <c r="E64" s="74"/>
      <c r="F64" s="77"/>
      <c r="G64" s="77"/>
      <c r="H64" s="75" t="s">
        <v>122</v>
      </c>
      <c r="I64" s="13"/>
    </row>
    <row r="65" spans="1:9" ht="15.75" hidden="1" customHeight="1">
      <c r="A65" s="30">
        <v>20</v>
      </c>
      <c r="B65" s="14" t="s">
        <v>45</v>
      </c>
      <c r="C65" s="16" t="s">
        <v>101</v>
      </c>
      <c r="D65" s="14" t="s">
        <v>65</v>
      </c>
      <c r="E65" s="18">
        <v>10</v>
      </c>
      <c r="F65" s="66">
        <f>SUM(E65)</f>
        <v>10</v>
      </c>
      <c r="G65" s="13">
        <v>291.68</v>
      </c>
      <c r="H65" s="78">
        <f t="shared" ref="H65:H83" si="8">SUM(F65*G65/1000)</f>
        <v>2.9168000000000003</v>
      </c>
      <c r="I65" s="13">
        <f>G65</f>
        <v>291.68</v>
      </c>
    </row>
    <row r="66" spans="1:9" ht="15.75" hidden="1" customHeight="1">
      <c r="A66" s="30"/>
      <c r="B66" s="14" t="s">
        <v>46</v>
      </c>
      <c r="C66" s="16" t="s">
        <v>101</v>
      </c>
      <c r="D66" s="14" t="s">
        <v>65</v>
      </c>
      <c r="E66" s="18">
        <v>9</v>
      </c>
      <c r="F66" s="66">
        <f>SUM(E66)</f>
        <v>9</v>
      </c>
      <c r="G66" s="13">
        <v>100.01</v>
      </c>
      <c r="H66" s="78">
        <f t="shared" si="8"/>
        <v>0.90009000000000006</v>
      </c>
      <c r="I66" s="13">
        <v>0</v>
      </c>
    </row>
    <row r="67" spans="1:9" ht="15.75" hidden="1" customHeight="1">
      <c r="A67" s="30"/>
      <c r="B67" s="14" t="s">
        <v>47</v>
      </c>
      <c r="C67" s="16" t="s">
        <v>103</v>
      </c>
      <c r="D67" s="14" t="s">
        <v>52</v>
      </c>
      <c r="E67" s="65">
        <v>19836</v>
      </c>
      <c r="F67" s="13">
        <f>SUM(E67/100)</f>
        <v>198.36</v>
      </c>
      <c r="G67" s="13">
        <v>278.24</v>
      </c>
      <c r="H67" s="78">
        <f t="shared" si="8"/>
        <v>55.191686400000009</v>
      </c>
      <c r="I67" s="13">
        <f>F67*G67</f>
        <v>55191.686400000006</v>
      </c>
    </row>
    <row r="68" spans="1:9" ht="15.75" hidden="1" customHeight="1">
      <c r="A68" s="30"/>
      <c r="B68" s="14" t="s">
        <v>48</v>
      </c>
      <c r="C68" s="16" t="s">
        <v>104</v>
      </c>
      <c r="D68" s="14"/>
      <c r="E68" s="65">
        <v>19836</v>
      </c>
      <c r="F68" s="13">
        <f>SUM(E68/1000)</f>
        <v>19.835999999999999</v>
      </c>
      <c r="G68" s="13">
        <v>216.68</v>
      </c>
      <c r="H68" s="78">
        <f t="shared" si="8"/>
        <v>4.2980644799999999</v>
      </c>
      <c r="I68" s="13">
        <f t="shared" ref="I68:I72" si="9">F68*G68</f>
        <v>4298.06448</v>
      </c>
    </row>
    <row r="69" spans="1:9" ht="15.75" hidden="1" customHeight="1">
      <c r="A69" s="30"/>
      <c r="B69" s="14" t="s">
        <v>49</v>
      </c>
      <c r="C69" s="16" t="s">
        <v>73</v>
      </c>
      <c r="D69" s="14" t="s">
        <v>52</v>
      </c>
      <c r="E69" s="65">
        <v>3155</v>
      </c>
      <c r="F69" s="13">
        <f>SUM(E69/100)</f>
        <v>31.55</v>
      </c>
      <c r="G69" s="13">
        <v>2720.94</v>
      </c>
      <c r="H69" s="78">
        <f t="shared" si="8"/>
        <v>85.845657000000003</v>
      </c>
      <c r="I69" s="13">
        <f t="shared" si="9"/>
        <v>85845.657000000007</v>
      </c>
    </row>
    <row r="70" spans="1:9" ht="15.75" hidden="1" customHeight="1">
      <c r="A70" s="30"/>
      <c r="B70" s="79" t="s">
        <v>105</v>
      </c>
      <c r="C70" s="16" t="s">
        <v>33</v>
      </c>
      <c r="D70" s="14"/>
      <c r="E70" s="65">
        <v>34.5</v>
      </c>
      <c r="F70" s="13">
        <f>SUM(E70)</f>
        <v>34.5</v>
      </c>
      <c r="G70" s="13">
        <v>44.31</v>
      </c>
      <c r="H70" s="78">
        <f t="shared" si="8"/>
        <v>1.5286950000000001</v>
      </c>
      <c r="I70" s="13">
        <f t="shared" si="9"/>
        <v>1528.6950000000002</v>
      </c>
    </row>
    <row r="71" spans="1:9" ht="15.75" hidden="1" customHeight="1">
      <c r="A71" s="30"/>
      <c r="B71" s="79" t="s">
        <v>106</v>
      </c>
      <c r="C71" s="16" t="s">
        <v>33</v>
      </c>
      <c r="D71" s="14"/>
      <c r="E71" s="65">
        <v>34.5</v>
      </c>
      <c r="F71" s="13">
        <f t="shared" ref="F71:F72" si="10">SUM(E71)</f>
        <v>34.5</v>
      </c>
      <c r="G71" s="13">
        <v>47.79</v>
      </c>
      <c r="H71" s="78">
        <f t="shared" si="8"/>
        <v>1.648755</v>
      </c>
      <c r="I71" s="13">
        <f t="shared" si="9"/>
        <v>1648.7549999999999</v>
      </c>
    </row>
    <row r="72" spans="1:9" ht="15.75" hidden="1" customHeight="1">
      <c r="A72" s="30"/>
      <c r="B72" s="14" t="s">
        <v>55</v>
      </c>
      <c r="C72" s="16" t="s">
        <v>56</v>
      </c>
      <c r="D72" s="14" t="s">
        <v>52</v>
      </c>
      <c r="E72" s="18">
        <v>5</v>
      </c>
      <c r="F72" s="13">
        <f t="shared" si="10"/>
        <v>5</v>
      </c>
      <c r="G72" s="13">
        <v>53.32</v>
      </c>
      <c r="H72" s="78">
        <f t="shared" si="8"/>
        <v>0.2666</v>
      </c>
      <c r="I72" s="13">
        <f t="shared" si="9"/>
        <v>266.60000000000002</v>
      </c>
    </row>
    <row r="73" spans="1:9" ht="15.75" customHeight="1">
      <c r="A73" s="30"/>
      <c r="B73" s="102" t="s">
        <v>152</v>
      </c>
      <c r="C73" s="49"/>
      <c r="D73" s="14"/>
      <c r="E73" s="18"/>
      <c r="F73" s="13"/>
      <c r="G73" s="13"/>
      <c r="H73" s="78"/>
      <c r="I73" s="13"/>
    </row>
    <row r="74" spans="1:9" ht="15.75" customHeight="1">
      <c r="A74" s="30">
        <v>16</v>
      </c>
      <c r="B74" s="14" t="s">
        <v>153</v>
      </c>
      <c r="C74" s="30" t="s">
        <v>154</v>
      </c>
      <c r="D74" s="14" t="s">
        <v>65</v>
      </c>
      <c r="E74" s="18">
        <v>4731.7</v>
      </c>
      <c r="F74" s="13">
        <f>SUM(E74*12)</f>
        <v>56780.399999999994</v>
      </c>
      <c r="G74" s="13">
        <v>2.2799999999999998</v>
      </c>
      <c r="H74" s="78">
        <f t="shared" ref="H74" si="11">SUM(F74*G74/1000)</f>
        <v>129.45931199999998</v>
      </c>
      <c r="I74" s="13">
        <f>F74/12*G74</f>
        <v>10788.275999999998</v>
      </c>
    </row>
    <row r="75" spans="1:9" ht="15.75" customHeight="1">
      <c r="A75" s="30"/>
      <c r="B75" s="95" t="s">
        <v>69</v>
      </c>
      <c r="C75" s="16"/>
      <c r="D75" s="14"/>
      <c r="E75" s="18"/>
      <c r="F75" s="13"/>
      <c r="G75" s="13"/>
      <c r="H75" s="78" t="s">
        <v>122</v>
      </c>
      <c r="I75" s="13"/>
    </row>
    <row r="76" spans="1:9" ht="31.5" hidden="1" customHeight="1">
      <c r="A76" s="30"/>
      <c r="B76" s="14" t="s">
        <v>155</v>
      </c>
      <c r="C76" s="16" t="s">
        <v>101</v>
      </c>
      <c r="D76" s="14" t="s">
        <v>65</v>
      </c>
      <c r="E76" s="18">
        <v>1</v>
      </c>
      <c r="F76" s="13">
        <v>1</v>
      </c>
      <c r="G76" s="13">
        <v>1543.4</v>
      </c>
      <c r="H76" s="78">
        <f t="shared" ref="H76:H79" si="12">SUM(F76*G76/1000)</f>
        <v>1.5434000000000001</v>
      </c>
      <c r="I76" s="13">
        <v>0</v>
      </c>
    </row>
    <row r="77" spans="1:9" ht="15.75" hidden="1" customHeight="1">
      <c r="A77" s="30">
        <v>19</v>
      </c>
      <c r="B77" s="47" t="s">
        <v>156</v>
      </c>
      <c r="C77" s="49" t="s">
        <v>101</v>
      </c>
      <c r="D77" s="14" t="s">
        <v>65</v>
      </c>
      <c r="E77" s="18">
        <v>4</v>
      </c>
      <c r="F77" s="13">
        <v>1</v>
      </c>
      <c r="G77" s="13">
        <v>130.96</v>
      </c>
      <c r="H77" s="78">
        <f>SUM(F77*G77/1000)</f>
        <v>0.13096000000000002</v>
      </c>
      <c r="I77" s="13">
        <v>0</v>
      </c>
    </row>
    <row r="78" spans="1:9" ht="15.75" hidden="1" customHeight="1">
      <c r="A78" s="30">
        <v>22</v>
      </c>
      <c r="B78" s="14" t="s">
        <v>70</v>
      </c>
      <c r="C78" s="16" t="s">
        <v>71</v>
      </c>
      <c r="D78" s="14" t="s">
        <v>65</v>
      </c>
      <c r="E78" s="18">
        <v>8</v>
      </c>
      <c r="F78" s="13">
        <f>E78/10</f>
        <v>0.8</v>
      </c>
      <c r="G78" s="13">
        <v>657.87</v>
      </c>
      <c r="H78" s="78">
        <f t="shared" si="12"/>
        <v>0.5262960000000001</v>
      </c>
      <c r="I78" s="13">
        <f>G78*0.3</f>
        <v>197.36099999999999</v>
      </c>
    </row>
    <row r="79" spans="1:9" ht="15.75" hidden="1" customHeight="1">
      <c r="A79" s="30"/>
      <c r="B79" s="14" t="s">
        <v>157</v>
      </c>
      <c r="C79" s="16" t="s">
        <v>101</v>
      </c>
      <c r="D79" s="14" t="s">
        <v>65</v>
      </c>
      <c r="E79" s="18">
        <v>1</v>
      </c>
      <c r="F79" s="66">
        <f>SUM(E79)</f>
        <v>1</v>
      </c>
      <c r="G79" s="13">
        <v>1118.72</v>
      </c>
      <c r="H79" s="78">
        <f t="shared" si="12"/>
        <v>1.1187199999999999</v>
      </c>
      <c r="I79" s="13">
        <v>0</v>
      </c>
    </row>
    <row r="80" spans="1:9" ht="15.75" hidden="1" customHeight="1">
      <c r="A80" s="30"/>
      <c r="B80" s="47" t="s">
        <v>158</v>
      </c>
      <c r="C80" s="49" t="s">
        <v>101</v>
      </c>
      <c r="D80" s="14" t="s">
        <v>65</v>
      </c>
      <c r="E80" s="18">
        <v>1</v>
      </c>
      <c r="F80" s="57">
        <v>1</v>
      </c>
      <c r="G80" s="13">
        <v>3757.02</v>
      </c>
      <c r="H80" s="78">
        <f>SUM(F80*G80/1000)</f>
        <v>3.7570199999999998</v>
      </c>
      <c r="I80" s="13">
        <v>0</v>
      </c>
    </row>
    <row r="81" spans="1:9" ht="15.75" customHeight="1">
      <c r="A81" s="30">
        <v>17</v>
      </c>
      <c r="B81" s="47" t="s">
        <v>159</v>
      </c>
      <c r="C81" s="49" t="s">
        <v>101</v>
      </c>
      <c r="D81" s="14" t="s">
        <v>30</v>
      </c>
      <c r="E81" s="99">
        <v>2</v>
      </c>
      <c r="F81" s="77">
        <f>E81*12</f>
        <v>24</v>
      </c>
      <c r="G81" s="100">
        <v>53.42</v>
      </c>
      <c r="H81" s="78">
        <f t="shared" ref="H81" si="13">SUM(F81*G81/1000)</f>
        <v>1.2820799999999999</v>
      </c>
      <c r="I81" s="13">
        <f>F81/12*G81</f>
        <v>106.84</v>
      </c>
    </row>
    <row r="82" spans="1:9" ht="15.75" hidden="1" customHeight="1">
      <c r="A82" s="30"/>
      <c r="B82" s="81" t="s">
        <v>72</v>
      </c>
      <c r="C82" s="16"/>
      <c r="D82" s="14"/>
      <c r="E82" s="18"/>
      <c r="F82" s="13"/>
      <c r="G82" s="13" t="s">
        <v>122</v>
      </c>
      <c r="H82" s="78" t="s">
        <v>122</v>
      </c>
      <c r="I82" s="13"/>
    </row>
    <row r="83" spans="1:9" ht="15.75" hidden="1" customHeight="1">
      <c r="A83" s="30"/>
      <c r="B83" s="44" t="s">
        <v>114</v>
      </c>
      <c r="C83" s="16" t="s">
        <v>73</v>
      </c>
      <c r="D83" s="14"/>
      <c r="E83" s="18"/>
      <c r="F83" s="13">
        <v>0.3</v>
      </c>
      <c r="G83" s="13">
        <v>3619.09</v>
      </c>
      <c r="H83" s="78">
        <f t="shared" si="8"/>
        <v>1.0857270000000001</v>
      </c>
      <c r="I83" s="13">
        <v>0</v>
      </c>
    </row>
    <row r="84" spans="1:9" ht="15.75" hidden="1" customHeight="1">
      <c r="A84" s="30"/>
      <c r="B84" s="103" t="s">
        <v>90</v>
      </c>
      <c r="C84" s="81"/>
      <c r="D84" s="32"/>
      <c r="E84" s="33"/>
      <c r="F84" s="69"/>
      <c r="G84" s="69"/>
      <c r="H84" s="82">
        <f>SUM(H57:H83)</f>
        <v>319.70627624000002</v>
      </c>
      <c r="I84" s="69"/>
    </row>
    <row r="85" spans="1:9" ht="15.75" hidden="1" customHeight="1">
      <c r="A85" s="30"/>
      <c r="B85" s="63" t="s">
        <v>107</v>
      </c>
      <c r="C85" s="16"/>
      <c r="D85" s="14"/>
      <c r="E85" s="58"/>
      <c r="F85" s="13">
        <v>1</v>
      </c>
      <c r="G85" s="13">
        <v>20512</v>
      </c>
      <c r="H85" s="78">
        <f>G85*F85/1000</f>
        <v>20.512</v>
      </c>
      <c r="I85" s="13">
        <v>0</v>
      </c>
    </row>
    <row r="86" spans="1:9" ht="15.75" customHeight="1">
      <c r="A86" s="194" t="s">
        <v>169</v>
      </c>
      <c r="B86" s="195"/>
      <c r="C86" s="195"/>
      <c r="D86" s="195"/>
      <c r="E86" s="195"/>
      <c r="F86" s="195"/>
      <c r="G86" s="195"/>
      <c r="H86" s="195"/>
      <c r="I86" s="196"/>
    </row>
    <row r="87" spans="1:9" ht="15.75" customHeight="1">
      <c r="A87" s="30">
        <v>18</v>
      </c>
      <c r="B87" s="63" t="s">
        <v>108</v>
      </c>
      <c r="C87" s="16" t="s">
        <v>53</v>
      </c>
      <c r="D87" s="101"/>
      <c r="E87" s="13">
        <v>4731.7</v>
      </c>
      <c r="F87" s="13">
        <f>SUM(E87*12)</f>
        <v>56780.399999999994</v>
      </c>
      <c r="G87" s="13">
        <v>3.1</v>
      </c>
      <c r="H87" s="78">
        <f>SUM(F87*G87/1000)</f>
        <v>176.01924</v>
      </c>
      <c r="I87" s="13">
        <f>F87/12*G87</f>
        <v>14668.27</v>
      </c>
    </row>
    <row r="88" spans="1:9" ht="31.5" customHeight="1">
      <c r="A88" s="30">
        <v>19</v>
      </c>
      <c r="B88" s="14" t="s">
        <v>74</v>
      </c>
      <c r="C88" s="16"/>
      <c r="D88" s="44"/>
      <c r="E88" s="65">
        <f>E87</f>
        <v>4731.7</v>
      </c>
      <c r="F88" s="13">
        <f>E88*12</f>
        <v>56780.399999999994</v>
      </c>
      <c r="G88" s="13">
        <v>3.5</v>
      </c>
      <c r="H88" s="78">
        <f>F88*G88/1000</f>
        <v>198.73139999999995</v>
      </c>
      <c r="I88" s="13">
        <f>F88/12*G88</f>
        <v>16560.95</v>
      </c>
    </row>
    <row r="89" spans="1:9" ht="15.75" customHeight="1">
      <c r="A89" s="30"/>
      <c r="B89" s="37" t="s">
        <v>76</v>
      </c>
      <c r="C89" s="81"/>
      <c r="D89" s="80"/>
      <c r="E89" s="69"/>
      <c r="F89" s="69"/>
      <c r="G89" s="69"/>
      <c r="H89" s="82">
        <f>H88</f>
        <v>198.73139999999995</v>
      </c>
      <c r="I89" s="69">
        <f>I88+I87+I81+I74+I63+I59+I58+I44+I43+I42+I41+I40+I39+I38+I27+I26+I18+I17+I16</f>
        <v>89723.355079999979</v>
      </c>
    </row>
    <row r="90" spans="1:9" ht="15.75" customHeight="1">
      <c r="A90" s="191" t="s">
        <v>58</v>
      </c>
      <c r="B90" s="192"/>
      <c r="C90" s="192"/>
      <c r="D90" s="192"/>
      <c r="E90" s="192"/>
      <c r="F90" s="192"/>
      <c r="G90" s="192"/>
      <c r="H90" s="192"/>
      <c r="I90" s="193"/>
    </row>
    <row r="91" spans="1:9" ht="15.75" customHeight="1">
      <c r="A91" s="30" t="s">
        <v>216</v>
      </c>
      <c r="B91" s="47" t="s">
        <v>124</v>
      </c>
      <c r="C91" s="49" t="s">
        <v>101</v>
      </c>
      <c r="D91" s="14"/>
      <c r="E91" s="18"/>
      <c r="F91" s="13">
        <v>160</v>
      </c>
      <c r="G91" s="13">
        <v>55.55</v>
      </c>
      <c r="H91" s="78">
        <f>G91*F91/1000</f>
        <v>8.8879999999999999</v>
      </c>
      <c r="I91" s="13">
        <f>G91*80</f>
        <v>4444</v>
      </c>
    </row>
    <row r="92" spans="1:9" ht="15.75" customHeight="1">
      <c r="A92" s="30">
        <v>21</v>
      </c>
      <c r="B92" s="112" t="s">
        <v>170</v>
      </c>
      <c r="C92" s="113" t="s">
        <v>171</v>
      </c>
      <c r="D92" s="36"/>
      <c r="E92" s="17"/>
      <c r="F92" s="35">
        <v>15</v>
      </c>
      <c r="G92" s="35">
        <v>134.12</v>
      </c>
      <c r="H92" s="86">
        <f t="shared" ref="H92:H93" si="14">G92*F92/1000</f>
        <v>2.0118</v>
      </c>
      <c r="I92" s="13">
        <f>G92*15</f>
        <v>2011.8000000000002</v>
      </c>
    </row>
    <row r="93" spans="1:9" ht="31.5" customHeight="1">
      <c r="A93" s="30">
        <v>22</v>
      </c>
      <c r="B93" s="62" t="s">
        <v>172</v>
      </c>
      <c r="C93" s="30" t="s">
        <v>173</v>
      </c>
      <c r="D93" s="44"/>
      <c r="E93" s="35"/>
      <c r="F93" s="35">
        <v>1</v>
      </c>
      <c r="G93" s="35">
        <v>2012.33</v>
      </c>
      <c r="H93" s="86">
        <f t="shared" si="14"/>
        <v>2.01233</v>
      </c>
      <c r="I93" s="13">
        <f>G93</f>
        <v>2012.33</v>
      </c>
    </row>
    <row r="94" spans="1:9" ht="15.75" customHeight="1">
      <c r="A94" s="30">
        <v>23</v>
      </c>
      <c r="B94" s="47" t="s">
        <v>174</v>
      </c>
      <c r="C94" s="49" t="s">
        <v>101</v>
      </c>
      <c r="D94" s="44"/>
      <c r="E94" s="35"/>
      <c r="F94" s="35">
        <v>1</v>
      </c>
      <c r="G94" s="35">
        <v>1226.2</v>
      </c>
      <c r="H94" s="35">
        <f>G94*F94/1000</f>
        <v>1.2262</v>
      </c>
      <c r="I94" s="13">
        <f t="shared" ref="I94" si="15">G94</f>
        <v>1226.2</v>
      </c>
    </row>
    <row r="95" spans="1:9" ht="15.75" customHeight="1">
      <c r="A95" s="30"/>
      <c r="B95" s="42" t="s">
        <v>50</v>
      </c>
      <c r="C95" s="38"/>
      <c r="D95" s="45"/>
      <c r="E95" s="38">
        <v>1</v>
      </c>
      <c r="F95" s="38"/>
      <c r="G95" s="38"/>
      <c r="H95" s="38"/>
      <c r="I95" s="33">
        <f>SUM(I91:I94)-I91</f>
        <v>5250.3300000000017</v>
      </c>
    </row>
    <row r="96" spans="1:9" ht="15.75" customHeight="1">
      <c r="A96" s="30"/>
      <c r="B96" s="44" t="s">
        <v>75</v>
      </c>
      <c r="C96" s="15"/>
      <c r="D96" s="15"/>
      <c r="E96" s="39"/>
      <c r="F96" s="39"/>
      <c r="G96" s="40"/>
      <c r="H96" s="40"/>
      <c r="I96" s="17">
        <v>0</v>
      </c>
    </row>
    <row r="97" spans="1:9" ht="15.75" customHeight="1">
      <c r="A97" s="46"/>
      <c r="B97" s="43" t="s">
        <v>143</v>
      </c>
      <c r="C97" s="34"/>
      <c r="D97" s="34"/>
      <c r="E97" s="34"/>
      <c r="F97" s="34"/>
      <c r="G97" s="34"/>
      <c r="H97" s="34"/>
      <c r="I97" s="41">
        <f>I89+I95</f>
        <v>94973.685079999981</v>
      </c>
    </row>
    <row r="98" spans="1:9" ht="15.75" customHeight="1">
      <c r="A98" s="197" t="s">
        <v>217</v>
      </c>
      <c r="B98" s="198"/>
      <c r="C98" s="198"/>
      <c r="D98" s="198"/>
      <c r="E98" s="198"/>
      <c r="F98" s="198"/>
      <c r="G98" s="198"/>
      <c r="H98" s="198"/>
      <c r="I98" s="198"/>
    </row>
    <row r="99" spans="1:9" ht="15.75" customHeight="1">
      <c r="A99" s="188" t="s">
        <v>309</v>
      </c>
      <c r="B99" s="188"/>
      <c r="C99" s="188"/>
      <c r="D99" s="188"/>
      <c r="E99" s="188"/>
      <c r="F99" s="188"/>
      <c r="G99" s="188"/>
      <c r="H99" s="188"/>
      <c r="I99" s="188"/>
    </row>
    <row r="100" spans="1:9" ht="15.75" customHeight="1">
      <c r="A100" s="56"/>
      <c r="B100" s="189" t="s">
        <v>310</v>
      </c>
      <c r="C100" s="189"/>
      <c r="D100" s="189"/>
      <c r="E100" s="189"/>
      <c r="F100" s="189"/>
      <c r="G100" s="189"/>
      <c r="H100" s="61"/>
      <c r="I100" s="3"/>
    </row>
    <row r="101" spans="1:9" ht="15.75" customHeight="1">
      <c r="A101" s="93"/>
      <c r="B101" s="179" t="s">
        <v>6</v>
      </c>
      <c r="C101" s="179"/>
      <c r="D101" s="179"/>
      <c r="E101" s="179"/>
      <c r="F101" s="179"/>
      <c r="G101" s="179"/>
      <c r="H101" s="25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190" t="s">
        <v>7</v>
      </c>
      <c r="B103" s="190"/>
      <c r="C103" s="190"/>
      <c r="D103" s="190"/>
      <c r="E103" s="190"/>
      <c r="F103" s="190"/>
      <c r="G103" s="190"/>
      <c r="H103" s="190"/>
      <c r="I103" s="190"/>
    </row>
    <row r="104" spans="1:9" ht="15.75" customHeight="1">
      <c r="A104" s="190" t="s">
        <v>8</v>
      </c>
      <c r="B104" s="190"/>
      <c r="C104" s="190"/>
      <c r="D104" s="190"/>
      <c r="E104" s="190"/>
      <c r="F104" s="190"/>
      <c r="G104" s="190"/>
      <c r="H104" s="190"/>
      <c r="I104" s="190"/>
    </row>
    <row r="105" spans="1:9" ht="23.25" customHeight="1">
      <c r="A105" s="183" t="s">
        <v>59</v>
      </c>
      <c r="B105" s="183"/>
      <c r="C105" s="183"/>
      <c r="D105" s="183"/>
      <c r="E105" s="183"/>
      <c r="F105" s="183"/>
      <c r="G105" s="183"/>
      <c r="H105" s="183"/>
      <c r="I105" s="183"/>
    </row>
    <row r="106" spans="1:9" ht="15.75">
      <c r="A106" s="11"/>
    </row>
    <row r="107" spans="1:9" ht="15.75">
      <c r="A107" s="177" t="s">
        <v>9</v>
      </c>
      <c r="B107" s="177"/>
      <c r="C107" s="177"/>
      <c r="D107" s="177"/>
      <c r="E107" s="177"/>
      <c r="F107" s="177"/>
      <c r="G107" s="177"/>
      <c r="H107" s="177"/>
      <c r="I107" s="177"/>
    </row>
    <row r="108" spans="1:9" ht="15.75" customHeight="1">
      <c r="A108" s="4"/>
    </row>
    <row r="109" spans="1:9" ht="15.75" customHeight="1">
      <c r="B109" s="96" t="s">
        <v>10</v>
      </c>
      <c r="C109" s="178" t="s">
        <v>131</v>
      </c>
      <c r="D109" s="178"/>
      <c r="E109" s="178"/>
      <c r="F109" s="59"/>
      <c r="I109" s="98"/>
    </row>
    <row r="110" spans="1:9" ht="15.75" customHeight="1">
      <c r="A110" s="93"/>
      <c r="C110" s="179" t="s">
        <v>11</v>
      </c>
      <c r="D110" s="179"/>
      <c r="E110" s="179"/>
      <c r="F110" s="25"/>
      <c r="I110" s="97" t="s">
        <v>12</v>
      </c>
    </row>
    <row r="111" spans="1:9" ht="15.75" customHeight="1">
      <c r="A111" s="26"/>
      <c r="C111" s="12"/>
      <c r="D111" s="12"/>
      <c r="G111" s="12"/>
      <c r="H111" s="12"/>
    </row>
    <row r="112" spans="1:9" ht="15.75" customHeight="1">
      <c r="B112" s="96" t="s">
        <v>13</v>
      </c>
      <c r="C112" s="180"/>
      <c r="D112" s="180"/>
      <c r="E112" s="180"/>
      <c r="F112" s="60"/>
      <c r="I112" s="98"/>
    </row>
    <row r="113" spans="1:9">
      <c r="A113" s="93"/>
      <c r="C113" s="181" t="s">
        <v>11</v>
      </c>
      <c r="D113" s="181"/>
      <c r="E113" s="181"/>
      <c r="F113" s="93"/>
      <c r="I113" s="97" t="s">
        <v>12</v>
      </c>
    </row>
    <row r="114" spans="1:9" ht="15.75">
      <c r="A114" s="4" t="s">
        <v>14</v>
      </c>
    </row>
    <row r="115" spans="1:9" ht="15.75" customHeight="1">
      <c r="A115" s="182" t="s">
        <v>15</v>
      </c>
      <c r="B115" s="182"/>
      <c r="C115" s="182"/>
      <c r="D115" s="182"/>
      <c r="E115" s="182"/>
      <c r="F115" s="182"/>
      <c r="G115" s="182"/>
      <c r="H115" s="182"/>
      <c r="I115" s="182"/>
    </row>
    <row r="116" spans="1:9" ht="45" customHeight="1">
      <c r="A116" s="176" t="s">
        <v>16</v>
      </c>
      <c r="B116" s="176"/>
      <c r="C116" s="176"/>
      <c r="D116" s="176"/>
      <c r="E116" s="176"/>
      <c r="F116" s="176"/>
      <c r="G116" s="176"/>
      <c r="H116" s="176"/>
      <c r="I116" s="176"/>
    </row>
    <row r="117" spans="1:9" ht="30" customHeight="1">
      <c r="A117" s="176" t="s">
        <v>17</v>
      </c>
      <c r="B117" s="176"/>
      <c r="C117" s="176"/>
      <c r="D117" s="176"/>
      <c r="E117" s="176"/>
      <c r="F117" s="176"/>
      <c r="G117" s="176"/>
      <c r="H117" s="176"/>
      <c r="I117" s="176"/>
    </row>
    <row r="118" spans="1:9" ht="30" customHeight="1">
      <c r="A118" s="176" t="s">
        <v>21</v>
      </c>
      <c r="B118" s="176"/>
      <c r="C118" s="176"/>
      <c r="D118" s="176"/>
      <c r="E118" s="176"/>
      <c r="F118" s="176"/>
      <c r="G118" s="176"/>
      <c r="H118" s="176"/>
      <c r="I118" s="176"/>
    </row>
    <row r="119" spans="1:9" ht="15" customHeight="1">
      <c r="A119" s="176" t="s">
        <v>20</v>
      </c>
      <c r="B119" s="176"/>
      <c r="C119" s="176"/>
      <c r="D119" s="176"/>
      <c r="E119" s="176"/>
      <c r="F119" s="176"/>
      <c r="G119" s="176"/>
      <c r="H119" s="176"/>
      <c r="I119" s="176"/>
    </row>
  </sheetData>
  <autoFilter ref="I12:I56"/>
  <mergeCells count="30">
    <mergeCell ref="A115:I115"/>
    <mergeCell ref="A116:I116"/>
    <mergeCell ref="A117:I117"/>
    <mergeCell ref="A118:I118"/>
    <mergeCell ref="A119:I119"/>
    <mergeCell ref="R61:U61"/>
    <mergeCell ref="C113:E113"/>
    <mergeCell ref="A90:I90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86:I86"/>
    <mergeCell ref="A98:I98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5:I55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26"/>
  <sheetViews>
    <sheetView topLeftCell="A97" workbookViewId="0">
      <selection activeCell="L109" sqref="L109"/>
    </sheetView>
  </sheetViews>
  <sheetFormatPr defaultRowHeight="15"/>
  <cols>
    <col min="2" max="2" width="51.42578125" customWidth="1"/>
    <col min="3" max="3" width="18.28515625" customWidth="1"/>
    <col min="4" max="4" width="18.140625" customWidth="1"/>
    <col min="5" max="6" width="12.140625" hidden="1" customWidth="1"/>
    <col min="7" max="7" width="18.140625" customWidth="1"/>
    <col min="8" max="8" width="0" hidden="1" customWidth="1"/>
    <col min="9" max="9" width="18.140625" customWidth="1"/>
  </cols>
  <sheetData>
    <row r="1" spans="1:9" ht="15.75">
      <c r="A1" s="28" t="s">
        <v>82</v>
      </c>
      <c r="I1" s="27"/>
    </row>
    <row r="2" spans="1:9" ht="15.75">
      <c r="A2" s="29" t="s">
        <v>60</v>
      </c>
    </row>
    <row r="3" spans="1:9" ht="15.75">
      <c r="A3" s="199" t="s">
        <v>183</v>
      </c>
      <c r="B3" s="199"/>
      <c r="C3" s="199"/>
      <c r="D3" s="199"/>
      <c r="E3" s="199"/>
      <c r="F3" s="199"/>
      <c r="G3" s="199"/>
      <c r="H3" s="199"/>
      <c r="I3" s="199"/>
    </row>
    <row r="4" spans="1:9" ht="32.25" customHeight="1">
      <c r="A4" s="200" t="s">
        <v>245</v>
      </c>
      <c r="B4" s="200"/>
      <c r="C4" s="200"/>
      <c r="D4" s="200"/>
      <c r="E4" s="200"/>
      <c r="F4" s="200"/>
      <c r="G4" s="200"/>
      <c r="H4" s="200"/>
      <c r="I4" s="200"/>
    </row>
    <row r="5" spans="1:9" ht="15.75">
      <c r="A5" s="199" t="s">
        <v>181</v>
      </c>
      <c r="B5" s="201"/>
      <c r="C5" s="201"/>
      <c r="D5" s="201"/>
      <c r="E5" s="201"/>
      <c r="F5" s="201"/>
      <c r="G5" s="201"/>
      <c r="H5" s="201"/>
      <c r="I5" s="201"/>
    </row>
    <row r="6" spans="1:9" ht="15.75">
      <c r="A6" s="2"/>
      <c r="B6" s="109"/>
      <c r="C6" s="109"/>
      <c r="D6" s="109"/>
      <c r="E6" s="109"/>
      <c r="F6" s="109"/>
      <c r="G6" s="109"/>
      <c r="H6" s="109"/>
      <c r="I6" s="31">
        <v>43220</v>
      </c>
    </row>
    <row r="7" spans="1:9" ht="15.75">
      <c r="B7" s="108"/>
      <c r="C7" s="108"/>
      <c r="D7" s="108"/>
      <c r="E7" s="3"/>
      <c r="F7" s="3"/>
      <c r="G7" s="3"/>
      <c r="H7" s="3"/>
    </row>
    <row r="8" spans="1:9" ht="84" customHeight="1">
      <c r="A8" s="202" t="s">
        <v>162</v>
      </c>
      <c r="B8" s="202"/>
      <c r="C8" s="202"/>
      <c r="D8" s="202"/>
      <c r="E8" s="202"/>
      <c r="F8" s="202"/>
      <c r="G8" s="202"/>
      <c r="H8" s="202"/>
      <c r="I8" s="202"/>
    </row>
    <row r="9" spans="1:9" ht="15.75">
      <c r="A9" s="4"/>
    </row>
    <row r="10" spans="1:9" ht="50.25" customHeight="1">
      <c r="A10" s="203" t="s">
        <v>144</v>
      </c>
      <c r="B10" s="203"/>
      <c r="C10" s="203"/>
      <c r="D10" s="203"/>
      <c r="E10" s="203"/>
      <c r="F10" s="203"/>
      <c r="G10" s="203"/>
      <c r="H10" s="203"/>
      <c r="I10" s="203"/>
    </row>
    <row r="11" spans="1:9" ht="15.75">
      <c r="A11" s="4"/>
    </row>
    <row r="12" spans="1:9" ht="65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4" t="s">
        <v>57</v>
      </c>
      <c r="B14" s="204"/>
      <c r="C14" s="204"/>
      <c r="D14" s="204"/>
      <c r="E14" s="204"/>
      <c r="F14" s="204"/>
      <c r="G14" s="204"/>
      <c r="H14" s="204"/>
      <c r="I14" s="204"/>
    </row>
    <row r="15" spans="1:9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</row>
    <row r="16" spans="1:9">
      <c r="A16" s="30">
        <v>1</v>
      </c>
      <c r="B16" s="63" t="s">
        <v>83</v>
      </c>
      <c r="C16" s="64" t="s">
        <v>84</v>
      </c>
      <c r="D16" s="63" t="s">
        <v>135</v>
      </c>
      <c r="E16" s="65">
        <v>143.78</v>
      </c>
      <c r="F16" s="66">
        <f>SUM(E16*156/100)</f>
        <v>224.29679999999999</v>
      </c>
      <c r="G16" s="66">
        <v>230</v>
      </c>
      <c r="H16" s="67">
        <f t="shared" ref="H16:H24" si="0">SUM(F16*G16/1000)</f>
        <v>51.588263999999995</v>
      </c>
      <c r="I16" s="13">
        <f>F16/12*G16</f>
        <v>4299.0219999999999</v>
      </c>
    </row>
    <row r="17" spans="1:9">
      <c r="A17" s="30">
        <v>2</v>
      </c>
      <c r="B17" s="63" t="s">
        <v>109</v>
      </c>
      <c r="C17" s="64" t="s">
        <v>84</v>
      </c>
      <c r="D17" s="63" t="s">
        <v>136</v>
      </c>
      <c r="E17" s="65">
        <v>575.12</v>
      </c>
      <c r="F17" s="66">
        <f>SUM(E17*104/100)</f>
        <v>598.12480000000005</v>
      </c>
      <c r="G17" s="66">
        <v>230</v>
      </c>
      <c r="H17" s="67">
        <f t="shared" si="0"/>
        <v>137.568704</v>
      </c>
      <c r="I17" s="13">
        <f>F17/12*G17</f>
        <v>11464.058666666668</v>
      </c>
    </row>
    <row r="18" spans="1:9">
      <c r="A18" s="30">
        <v>3</v>
      </c>
      <c r="B18" s="63" t="s">
        <v>110</v>
      </c>
      <c r="C18" s="64" t="s">
        <v>84</v>
      </c>
      <c r="D18" s="63" t="s">
        <v>137</v>
      </c>
      <c r="E18" s="65">
        <v>718.9</v>
      </c>
      <c r="F18" s="66">
        <f>SUM(E18*24/100)</f>
        <v>172.53599999999997</v>
      </c>
      <c r="G18" s="66">
        <v>661.67</v>
      </c>
      <c r="H18" s="67">
        <f t="shared" si="0"/>
        <v>114.16189511999997</v>
      </c>
      <c r="I18" s="13">
        <f>F18/12*G18</f>
        <v>9513.4912599999989</v>
      </c>
    </row>
    <row r="19" spans="1:9" hidden="1">
      <c r="A19" s="30"/>
      <c r="B19" s="63" t="s">
        <v>91</v>
      </c>
      <c r="C19" s="64" t="s">
        <v>92</v>
      </c>
      <c r="D19" s="63" t="s">
        <v>93</v>
      </c>
      <c r="E19" s="65">
        <v>42.2</v>
      </c>
      <c r="F19" s="66">
        <f>SUM(E19/10)</f>
        <v>4.2200000000000006</v>
      </c>
      <c r="G19" s="66">
        <v>223.17</v>
      </c>
      <c r="H19" s="67">
        <f t="shared" si="0"/>
        <v>0.9417774000000001</v>
      </c>
      <c r="I19" s="13">
        <f>F19*G19</f>
        <v>941.77740000000006</v>
      </c>
    </row>
    <row r="20" spans="1:9" hidden="1">
      <c r="A20" s="30">
        <v>4</v>
      </c>
      <c r="B20" s="63" t="s">
        <v>94</v>
      </c>
      <c r="C20" s="64" t="s">
        <v>84</v>
      </c>
      <c r="D20" s="63" t="s">
        <v>41</v>
      </c>
      <c r="E20" s="65">
        <v>14</v>
      </c>
      <c r="F20" s="66">
        <f>SUM(E20*2/100)</f>
        <v>0.28000000000000003</v>
      </c>
      <c r="G20" s="66">
        <v>285.76</v>
      </c>
      <c r="H20" s="67">
        <f t="shared" si="0"/>
        <v>8.0012799999999995E-2</v>
      </c>
      <c r="I20" s="13">
        <f>F20/2*G20</f>
        <v>40.006399999999999</v>
      </c>
    </row>
    <row r="21" spans="1:9" hidden="1">
      <c r="A21" s="30">
        <v>5</v>
      </c>
      <c r="B21" s="63" t="s">
        <v>95</v>
      </c>
      <c r="C21" s="64" t="s">
        <v>84</v>
      </c>
      <c r="D21" s="63" t="s">
        <v>41</v>
      </c>
      <c r="E21" s="65">
        <v>6</v>
      </c>
      <c r="F21" s="66">
        <f>SUM(E21*2/100)</f>
        <v>0.12</v>
      </c>
      <c r="G21" s="66">
        <v>283.44</v>
      </c>
      <c r="H21" s="67">
        <f>SUM(F21*G21/1000)</f>
        <v>3.4012799999999996E-2</v>
      </c>
      <c r="I21" s="13">
        <f>F21/2*G21</f>
        <v>17.006399999999999</v>
      </c>
    </row>
    <row r="22" spans="1:9" hidden="1">
      <c r="A22" s="30"/>
      <c r="B22" s="63" t="s">
        <v>96</v>
      </c>
      <c r="C22" s="64" t="s">
        <v>51</v>
      </c>
      <c r="D22" s="63" t="s">
        <v>93</v>
      </c>
      <c r="E22" s="65">
        <v>640</v>
      </c>
      <c r="F22" s="66">
        <f>SUM(E22/100)</f>
        <v>6.4</v>
      </c>
      <c r="G22" s="66">
        <v>353.14</v>
      </c>
      <c r="H22" s="67">
        <f t="shared" si="0"/>
        <v>2.2600959999999999</v>
      </c>
      <c r="I22" s="13">
        <f t="shared" ref="I22:I25" si="1">F22*G22</f>
        <v>2260.096</v>
      </c>
    </row>
    <row r="23" spans="1:9" hidden="1">
      <c r="A23" s="30"/>
      <c r="B23" s="63" t="s">
        <v>97</v>
      </c>
      <c r="C23" s="64" t="s">
        <v>51</v>
      </c>
      <c r="D23" s="63" t="s">
        <v>93</v>
      </c>
      <c r="E23" s="68">
        <v>49</v>
      </c>
      <c r="F23" s="66">
        <f>SUM(E23/100)</f>
        <v>0.49</v>
      </c>
      <c r="G23" s="66">
        <v>58.08</v>
      </c>
      <c r="H23" s="67">
        <f t="shared" si="0"/>
        <v>2.84592E-2</v>
      </c>
      <c r="I23" s="13">
        <f t="shared" si="1"/>
        <v>28.459199999999999</v>
      </c>
    </row>
    <row r="24" spans="1:9" hidden="1">
      <c r="A24" s="30"/>
      <c r="B24" s="63" t="s">
        <v>98</v>
      </c>
      <c r="C24" s="64" t="s">
        <v>51</v>
      </c>
      <c r="D24" s="63" t="s">
        <v>52</v>
      </c>
      <c r="E24" s="65">
        <v>19</v>
      </c>
      <c r="F24" s="66">
        <f>SUM(E24/100)</f>
        <v>0.19</v>
      </c>
      <c r="G24" s="66">
        <v>283.44</v>
      </c>
      <c r="H24" s="67">
        <f t="shared" si="0"/>
        <v>5.3853600000000001E-2</v>
      </c>
      <c r="I24" s="13">
        <f t="shared" si="1"/>
        <v>53.8536</v>
      </c>
    </row>
    <row r="25" spans="1:9" hidden="1">
      <c r="A25" s="30"/>
      <c r="B25" s="63" t="s">
        <v>113</v>
      </c>
      <c r="C25" s="64" t="s">
        <v>51</v>
      </c>
      <c r="D25" s="63" t="s">
        <v>52</v>
      </c>
      <c r="E25" s="65">
        <v>19</v>
      </c>
      <c r="F25" s="66">
        <f>E25/100</f>
        <v>0.19</v>
      </c>
      <c r="G25" s="66">
        <v>283.44</v>
      </c>
      <c r="H25" s="67">
        <f>G25*F25/1000</f>
        <v>5.3853600000000001E-2</v>
      </c>
      <c r="I25" s="13">
        <f t="shared" si="1"/>
        <v>53.8536</v>
      </c>
    </row>
    <row r="26" spans="1:9">
      <c r="A26" s="30">
        <v>4</v>
      </c>
      <c r="B26" s="63" t="s">
        <v>62</v>
      </c>
      <c r="C26" s="64" t="s">
        <v>33</v>
      </c>
      <c r="D26" s="63" t="s">
        <v>160</v>
      </c>
      <c r="E26" s="65">
        <v>0.1</v>
      </c>
      <c r="F26" s="66">
        <f>SUM(E26*182)</f>
        <v>18.2</v>
      </c>
      <c r="G26" s="66">
        <v>264.85000000000002</v>
      </c>
      <c r="H26" s="67">
        <f>SUM(F26*G26/1000)</f>
        <v>4.8202700000000007</v>
      </c>
      <c r="I26" s="13">
        <f>F26/12*G26</f>
        <v>401.68916666666667</v>
      </c>
    </row>
    <row r="27" spans="1:9">
      <c r="A27" s="30">
        <v>5</v>
      </c>
      <c r="B27" s="71" t="s">
        <v>23</v>
      </c>
      <c r="C27" s="64" t="s">
        <v>24</v>
      </c>
      <c r="D27" s="63"/>
      <c r="E27" s="65">
        <v>4731.7</v>
      </c>
      <c r="F27" s="66">
        <f>SUM(E27*12)</f>
        <v>56780.399999999994</v>
      </c>
      <c r="G27" s="66">
        <v>3.52</v>
      </c>
      <c r="H27" s="67">
        <f>SUM(F27*G27/1000)</f>
        <v>199.86700799999997</v>
      </c>
      <c r="I27" s="13">
        <f>F27/12*G27</f>
        <v>16655.583999999999</v>
      </c>
    </row>
    <row r="28" spans="1:9">
      <c r="A28" s="184" t="s">
        <v>81</v>
      </c>
      <c r="B28" s="184"/>
      <c r="C28" s="184"/>
      <c r="D28" s="184"/>
      <c r="E28" s="184"/>
      <c r="F28" s="184"/>
      <c r="G28" s="184"/>
      <c r="H28" s="184"/>
      <c r="I28" s="184"/>
    </row>
    <row r="29" spans="1:9" hidden="1">
      <c r="A29" s="30"/>
      <c r="B29" s="83" t="s">
        <v>28</v>
      </c>
      <c r="C29" s="64"/>
      <c r="D29" s="63"/>
      <c r="E29" s="65"/>
      <c r="F29" s="66"/>
      <c r="G29" s="66"/>
      <c r="H29" s="67"/>
      <c r="I29" s="13"/>
    </row>
    <row r="30" spans="1:9" hidden="1">
      <c r="A30" s="30"/>
      <c r="B30" s="63" t="s">
        <v>100</v>
      </c>
      <c r="C30" s="64" t="s">
        <v>86</v>
      </c>
      <c r="D30" s="63" t="s">
        <v>141</v>
      </c>
      <c r="E30" s="66">
        <v>436.6</v>
      </c>
      <c r="F30" s="66">
        <f>SUM(E30*52/1000)</f>
        <v>22.703200000000002</v>
      </c>
      <c r="G30" s="66">
        <v>204.44</v>
      </c>
      <c r="H30" s="67">
        <f t="shared" ref="H30:H36" si="2">SUM(F30*G30/1000)</f>
        <v>4.641442208</v>
      </c>
      <c r="I30" s="13">
        <f>F30/6*G30</f>
        <v>773.57370133333336</v>
      </c>
    </row>
    <row r="31" spans="1:9" ht="45" hidden="1">
      <c r="A31" s="30"/>
      <c r="B31" s="63" t="s">
        <v>111</v>
      </c>
      <c r="C31" s="64" t="s">
        <v>86</v>
      </c>
      <c r="D31" s="63" t="s">
        <v>142</v>
      </c>
      <c r="E31" s="66">
        <v>54.4</v>
      </c>
      <c r="F31" s="66">
        <f>SUM(E31*78/1000)</f>
        <v>4.2431999999999999</v>
      </c>
      <c r="G31" s="66">
        <v>339.21</v>
      </c>
      <c r="H31" s="67">
        <f t="shared" si="2"/>
        <v>1.4393358719999998</v>
      </c>
      <c r="I31" s="13">
        <f t="shared" ref="I31:I34" si="3">F31/6*G31</f>
        <v>239.88931199999996</v>
      </c>
    </row>
    <row r="32" spans="1:9" hidden="1">
      <c r="A32" s="30"/>
      <c r="B32" s="63" t="s">
        <v>27</v>
      </c>
      <c r="C32" s="64" t="s">
        <v>86</v>
      </c>
      <c r="D32" s="63" t="s">
        <v>52</v>
      </c>
      <c r="E32" s="66">
        <v>436.6</v>
      </c>
      <c r="F32" s="66">
        <f>SUM(E32/1000)</f>
        <v>0.43660000000000004</v>
      </c>
      <c r="G32" s="66">
        <v>3961.23</v>
      </c>
      <c r="H32" s="67">
        <f t="shared" si="2"/>
        <v>1.7294730180000002</v>
      </c>
      <c r="I32" s="13">
        <f>F32*G32</f>
        <v>1729.4730180000001</v>
      </c>
    </row>
    <row r="33" spans="1:9" hidden="1">
      <c r="A33" s="30"/>
      <c r="B33" s="63" t="s">
        <v>123</v>
      </c>
      <c r="C33" s="64" t="s">
        <v>39</v>
      </c>
      <c r="D33" s="63" t="s">
        <v>61</v>
      </c>
      <c r="E33" s="66">
        <v>4</v>
      </c>
      <c r="F33" s="66">
        <f>E33*155/100</f>
        <v>6.2</v>
      </c>
      <c r="G33" s="66">
        <v>1707.63</v>
      </c>
      <c r="H33" s="67">
        <f>G33*F33/1000</f>
        <v>10.587306</v>
      </c>
      <c r="I33" s="13">
        <f t="shared" si="3"/>
        <v>1764.5510000000004</v>
      </c>
    </row>
    <row r="34" spans="1:9" hidden="1">
      <c r="A34" s="30"/>
      <c r="B34" s="63" t="s">
        <v>99</v>
      </c>
      <c r="C34" s="64" t="s">
        <v>31</v>
      </c>
      <c r="D34" s="63" t="s">
        <v>61</v>
      </c>
      <c r="E34" s="70">
        <f>1/3</f>
        <v>0.33333333333333331</v>
      </c>
      <c r="F34" s="66">
        <f>155/3</f>
        <v>51.666666666666664</v>
      </c>
      <c r="G34" s="66">
        <v>74.349999999999994</v>
      </c>
      <c r="H34" s="67">
        <f>SUM(G34*155/3/1000)</f>
        <v>3.8414166666666665</v>
      </c>
      <c r="I34" s="13">
        <f t="shared" si="3"/>
        <v>640.23611111111109</v>
      </c>
    </row>
    <row r="35" spans="1:9" hidden="1">
      <c r="A35" s="30"/>
      <c r="B35" s="63" t="s">
        <v>63</v>
      </c>
      <c r="C35" s="64" t="s">
        <v>33</v>
      </c>
      <c r="D35" s="63" t="s">
        <v>65</v>
      </c>
      <c r="E35" s="65"/>
      <c r="F35" s="66">
        <v>2</v>
      </c>
      <c r="G35" s="66">
        <v>250.92</v>
      </c>
      <c r="H35" s="67">
        <f t="shared" si="2"/>
        <v>0.50183999999999995</v>
      </c>
      <c r="I35" s="13">
        <v>0</v>
      </c>
    </row>
    <row r="36" spans="1:9" hidden="1">
      <c r="A36" s="30"/>
      <c r="B36" s="63" t="s">
        <v>64</v>
      </c>
      <c r="C36" s="64" t="s">
        <v>32</v>
      </c>
      <c r="D36" s="63" t="s">
        <v>65</v>
      </c>
      <c r="E36" s="65"/>
      <c r="F36" s="66">
        <v>1</v>
      </c>
      <c r="G36" s="66">
        <v>1490.31</v>
      </c>
      <c r="H36" s="67">
        <f t="shared" si="2"/>
        <v>1.49031</v>
      </c>
      <c r="I36" s="13">
        <v>0</v>
      </c>
    </row>
    <row r="37" spans="1:9">
      <c r="A37" s="30"/>
      <c r="B37" s="83" t="s">
        <v>5</v>
      </c>
      <c r="C37" s="64"/>
      <c r="D37" s="63"/>
      <c r="E37" s="65"/>
      <c r="F37" s="66"/>
      <c r="G37" s="66"/>
      <c r="H37" s="67" t="s">
        <v>122</v>
      </c>
      <c r="I37" s="13"/>
    </row>
    <row r="38" spans="1:9">
      <c r="A38" s="30">
        <v>6</v>
      </c>
      <c r="B38" s="63" t="s">
        <v>26</v>
      </c>
      <c r="C38" s="64" t="s">
        <v>32</v>
      </c>
      <c r="D38" s="63"/>
      <c r="E38" s="65"/>
      <c r="F38" s="66">
        <v>5</v>
      </c>
      <c r="G38" s="66">
        <v>2003</v>
      </c>
      <c r="H38" s="67">
        <f t="shared" ref="H38:H44" si="4">SUM(F38*G38/1000)</f>
        <v>10.015000000000001</v>
      </c>
      <c r="I38" s="13">
        <f t="shared" ref="I38:I44" si="5">F38/6*G38</f>
        <v>1669.1666666666667</v>
      </c>
    </row>
    <row r="39" spans="1:9">
      <c r="A39" s="30">
        <v>7</v>
      </c>
      <c r="B39" s="63" t="s">
        <v>146</v>
      </c>
      <c r="C39" s="64" t="s">
        <v>29</v>
      </c>
      <c r="D39" s="63" t="s">
        <v>115</v>
      </c>
      <c r="E39" s="65">
        <v>54.4</v>
      </c>
      <c r="F39" s="66">
        <f>E39*30/1000</f>
        <v>1.6319999999999999</v>
      </c>
      <c r="G39" s="66">
        <v>2757.78</v>
      </c>
      <c r="H39" s="67">
        <f t="shared" si="4"/>
        <v>4.50069696</v>
      </c>
      <c r="I39" s="13">
        <f t="shared" si="5"/>
        <v>750.11615999999992</v>
      </c>
    </row>
    <row r="40" spans="1:9">
      <c r="A40" s="30">
        <v>8</v>
      </c>
      <c r="B40" s="63" t="s">
        <v>66</v>
      </c>
      <c r="C40" s="64" t="s">
        <v>29</v>
      </c>
      <c r="D40" s="63" t="s">
        <v>85</v>
      </c>
      <c r="E40" s="66">
        <v>54.4</v>
      </c>
      <c r="F40" s="66">
        <f>SUM(E40*155/1000)</f>
        <v>8.4320000000000004</v>
      </c>
      <c r="G40" s="66">
        <v>460.02</v>
      </c>
      <c r="H40" s="67">
        <f t="shared" si="4"/>
        <v>3.87888864</v>
      </c>
      <c r="I40" s="13">
        <f t="shared" si="5"/>
        <v>646.48144000000002</v>
      </c>
    </row>
    <row r="41" spans="1:9" ht="60">
      <c r="A41" s="30">
        <v>9</v>
      </c>
      <c r="B41" s="63" t="s">
        <v>78</v>
      </c>
      <c r="C41" s="64" t="s">
        <v>86</v>
      </c>
      <c r="D41" s="63" t="s">
        <v>116</v>
      </c>
      <c r="E41" s="66">
        <v>31.2</v>
      </c>
      <c r="F41" s="66">
        <f>SUM(E41*35/1000)</f>
        <v>1.0920000000000001</v>
      </c>
      <c r="G41" s="66">
        <v>7611.16</v>
      </c>
      <c r="H41" s="67">
        <f t="shared" si="4"/>
        <v>8.3113867199999998</v>
      </c>
      <c r="I41" s="13">
        <f t="shared" si="5"/>
        <v>1385.2311200000001</v>
      </c>
    </row>
    <row r="42" spans="1:9">
      <c r="A42" s="30">
        <v>10</v>
      </c>
      <c r="B42" s="63" t="s">
        <v>87</v>
      </c>
      <c r="C42" s="64" t="s">
        <v>86</v>
      </c>
      <c r="D42" s="63"/>
      <c r="E42" s="66">
        <v>54.4</v>
      </c>
      <c r="F42" s="66">
        <f>SUM(E42*45/1000)</f>
        <v>2.448</v>
      </c>
      <c r="G42" s="66">
        <v>562.25</v>
      </c>
      <c r="H42" s="67">
        <f t="shared" si="4"/>
        <v>1.3763879999999999</v>
      </c>
      <c r="I42" s="13">
        <f>E42*5/1000*G42</f>
        <v>152.93200000000002</v>
      </c>
    </row>
    <row r="43" spans="1:9">
      <c r="A43" s="30">
        <v>11</v>
      </c>
      <c r="B43" s="63" t="s">
        <v>68</v>
      </c>
      <c r="C43" s="64" t="s">
        <v>33</v>
      </c>
      <c r="D43" s="63"/>
      <c r="E43" s="65"/>
      <c r="F43" s="66">
        <v>0.9</v>
      </c>
      <c r="G43" s="66">
        <v>974.83</v>
      </c>
      <c r="H43" s="67">
        <f t="shared" si="4"/>
        <v>0.8773470000000001</v>
      </c>
      <c r="I43" s="13">
        <f>F43/45*5*G43</f>
        <v>97.483000000000004</v>
      </c>
    </row>
    <row r="44" spans="1:9" ht="30">
      <c r="A44" s="30">
        <v>12</v>
      </c>
      <c r="B44" s="47" t="s">
        <v>147</v>
      </c>
      <c r="C44" s="49" t="s">
        <v>29</v>
      </c>
      <c r="D44" s="63" t="s">
        <v>148</v>
      </c>
      <c r="E44" s="65">
        <v>3</v>
      </c>
      <c r="F44" s="66">
        <f>SUM(E44*12/1000)</f>
        <v>3.5999999999999997E-2</v>
      </c>
      <c r="G44" s="66">
        <v>260.2</v>
      </c>
      <c r="H44" s="67">
        <f t="shared" si="4"/>
        <v>9.3671999999999991E-3</v>
      </c>
      <c r="I44" s="13">
        <f t="shared" si="5"/>
        <v>1.5611999999999997</v>
      </c>
    </row>
    <row r="45" spans="1:9">
      <c r="A45" s="185" t="s">
        <v>128</v>
      </c>
      <c r="B45" s="186"/>
      <c r="C45" s="186"/>
      <c r="D45" s="186"/>
      <c r="E45" s="186"/>
      <c r="F45" s="186"/>
      <c r="G45" s="186"/>
      <c r="H45" s="186"/>
      <c r="I45" s="187"/>
    </row>
    <row r="46" spans="1:9" hidden="1">
      <c r="A46" s="30"/>
      <c r="B46" s="63" t="s">
        <v>117</v>
      </c>
      <c r="C46" s="64" t="s">
        <v>86</v>
      </c>
      <c r="D46" s="63" t="s">
        <v>41</v>
      </c>
      <c r="E46" s="65">
        <v>1320.9</v>
      </c>
      <c r="F46" s="66">
        <f>SUM(E46*2/1000)</f>
        <v>2.6418000000000004</v>
      </c>
      <c r="G46" s="13">
        <v>1114.1300000000001</v>
      </c>
      <c r="H46" s="67">
        <f t="shared" ref="H46:H54" si="6">SUM(F46*G46/1000)</f>
        <v>2.943308634000001</v>
      </c>
      <c r="I46" s="13">
        <v>0</v>
      </c>
    </row>
    <row r="47" spans="1:9" hidden="1">
      <c r="A47" s="30"/>
      <c r="B47" s="63" t="s">
        <v>34</v>
      </c>
      <c r="C47" s="64" t="s">
        <v>86</v>
      </c>
      <c r="D47" s="63" t="s">
        <v>41</v>
      </c>
      <c r="E47" s="65">
        <v>52</v>
      </c>
      <c r="F47" s="66">
        <f>E47*2/1000</f>
        <v>0.104</v>
      </c>
      <c r="G47" s="13">
        <v>4419.05</v>
      </c>
      <c r="H47" s="67">
        <f t="shared" si="6"/>
        <v>0.45958120000000002</v>
      </c>
      <c r="I47" s="13">
        <v>0</v>
      </c>
    </row>
    <row r="48" spans="1:9" hidden="1">
      <c r="A48" s="30"/>
      <c r="B48" s="63" t="s">
        <v>35</v>
      </c>
      <c r="C48" s="64" t="s">
        <v>86</v>
      </c>
      <c r="D48" s="63" t="s">
        <v>41</v>
      </c>
      <c r="E48" s="65">
        <v>1520.8</v>
      </c>
      <c r="F48" s="66">
        <f>SUM(E48*2/1000)</f>
        <v>3.0415999999999999</v>
      </c>
      <c r="G48" s="13">
        <v>1803.69</v>
      </c>
      <c r="H48" s="67">
        <f t="shared" si="6"/>
        <v>5.4861035039999999</v>
      </c>
      <c r="I48" s="13">
        <v>0</v>
      </c>
    </row>
    <row r="49" spans="1:9" hidden="1">
      <c r="A49" s="30"/>
      <c r="B49" s="63" t="s">
        <v>36</v>
      </c>
      <c r="C49" s="64" t="s">
        <v>86</v>
      </c>
      <c r="D49" s="63" t="s">
        <v>41</v>
      </c>
      <c r="E49" s="65">
        <v>3433.81</v>
      </c>
      <c r="F49" s="66">
        <f>SUM(E49*2/1000)</f>
        <v>6.8676199999999996</v>
      </c>
      <c r="G49" s="13">
        <v>1243.43</v>
      </c>
      <c r="H49" s="67">
        <f t="shared" si="6"/>
        <v>8.5394047365999999</v>
      </c>
      <c r="I49" s="13">
        <v>0</v>
      </c>
    </row>
    <row r="50" spans="1:9" hidden="1">
      <c r="A50" s="30">
        <v>13</v>
      </c>
      <c r="B50" s="63" t="s">
        <v>54</v>
      </c>
      <c r="C50" s="64" t="s">
        <v>86</v>
      </c>
      <c r="D50" s="63" t="s">
        <v>133</v>
      </c>
      <c r="E50" s="65">
        <v>4731.7</v>
      </c>
      <c r="F50" s="66">
        <f>SUM(E50*5/1000)</f>
        <v>23.6585</v>
      </c>
      <c r="G50" s="13">
        <v>1803.69</v>
      </c>
      <c r="H50" s="67">
        <f t="shared" si="6"/>
        <v>42.672599865000002</v>
      </c>
      <c r="I50" s="13">
        <f>F50/5*G50</f>
        <v>8534.5199730000004</v>
      </c>
    </row>
    <row r="51" spans="1:9" ht="45" hidden="1">
      <c r="A51" s="30"/>
      <c r="B51" s="63" t="s">
        <v>88</v>
      </c>
      <c r="C51" s="64" t="s">
        <v>86</v>
      </c>
      <c r="D51" s="63" t="s">
        <v>41</v>
      </c>
      <c r="E51" s="65">
        <v>4731.7</v>
      </c>
      <c r="F51" s="66">
        <f>SUM(E51*2/1000)</f>
        <v>9.4634</v>
      </c>
      <c r="G51" s="13">
        <v>1591.6</v>
      </c>
      <c r="H51" s="67">
        <f t="shared" si="6"/>
        <v>15.061947439999999</v>
      </c>
      <c r="I51" s="13">
        <v>0</v>
      </c>
    </row>
    <row r="52" spans="1:9" ht="30" hidden="1">
      <c r="A52" s="30"/>
      <c r="B52" s="63" t="s">
        <v>89</v>
      </c>
      <c r="C52" s="64" t="s">
        <v>37</v>
      </c>
      <c r="D52" s="63" t="s">
        <v>41</v>
      </c>
      <c r="E52" s="65">
        <v>20</v>
      </c>
      <c r="F52" s="66">
        <f>SUM(E52*2/100)</f>
        <v>0.4</v>
      </c>
      <c r="G52" s="13">
        <v>4058.32</v>
      </c>
      <c r="H52" s="67">
        <f>SUM(F52*G52/1000)</f>
        <v>1.6233280000000001</v>
      </c>
      <c r="I52" s="13">
        <v>0</v>
      </c>
    </row>
    <row r="53" spans="1:9" hidden="1">
      <c r="A53" s="30"/>
      <c r="B53" s="63" t="s">
        <v>38</v>
      </c>
      <c r="C53" s="64" t="s">
        <v>39</v>
      </c>
      <c r="D53" s="63" t="s">
        <v>41</v>
      </c>
      <c r="E53" s="65">
        <v>1</v>
      </c>
      <c r="F53" s="66">
        <v>0.02</v>
      </c>
      <c r="G53" s="13">
        <v>7412.92</v>
      </c>
      <c r="H53" s="67">
        <f t="shared" si="6"/>
        <v>0.14825839999999998</v>
      </c>
      <c r="I53" s="13">
        <v>0</v>
      </c>
    </row>
    <row r="54" spans="1:9">
      <c r="A54" s="30">
        <v>13</v>
      </c>
      <c r="B54" s="63" t="s">
        <v>40</v>
      </c>
      <c r="C54" s="64" t="s">
        <v>101</v>
      </c>
      <c r="D54" s="63" t="s">
        <v>52</v>
      </c>
      <c r="E54" s="65">
        <v>160</v>
      </c>
      <c r="F54" s="66">
        <f>SUM(E54)</f>
        <v>160</v>
      </c>
      <c r="G54" s="13">
        <v>86.15</v>
      </c>
      <c r="H54" s="67">
        <f t="shared" si="6"/>
        <v>13.784000000000001</v>
      </c>
      <c r="I54" s="13">
        <f>G54*160</f>
        <v>13784</v>
      </c>
    </row>
    <row r="55" spans="1:9">
      <c r="A55" s="185" t="s">
        <v>168</v>
      </c>
      <c r="B55" s="186"/>
      <c r="C55" s="186"/>
      <c r="D55" s="186"/>
      <c r="E55" s="186"/>
      <c r="F55" s="186"/>
      <c r="G55" s="186"/>
      <c r="H55" s="186"/>
      <c r="I55" s="187"/>
    </row>
    <row r="56" spans="1:9">
      <c r="A56" s="30"/>
      <c r="B56" s="83" t="s">
        <v>42</v>
      </c>
      <c r="C56" s="64"/>
      <c r="D56" s="63"/>
      <c r="E56" s="65"/>
      <c r="F56" s="66"/>
      <c r="G56" s="66"/>
      <c r="H56" s="67"/>
      <c r="I56" s="13"/>
    </row>
    <row r="57" spans="1:9" ht="30" hidden="1">
      <c r="A57" s="30">
        <v>14</v>
      </c>
      <c r="B57" s="63" t="s">
        <v>118</v>
      </c>
      <c r="C57" s="64" t="s">
        <v>84</v>
      </c>
      <c r="D57" s="63" t="s">
        <v>102</v>
      </c>
      <c r="E57" s="65">
        <v>107.21</v>
      </c>
      <c r="F57" s="66">
        <f>SUM(E57*6/100)</f>
        <v>6.4325999999999999</v>
      </c>
      <c r="G57" s="13">
        <v>2029.3</v>
      </c>
      <c r="H57" s="67">
        <f>SUM(F57*G57/1000)</f>
        <v>13.053675180000001</v>
      </c>
      <c r="I57" s="13">
        <f>F57/6*G57</f>
        <v>2175.6125299999999</v>
      </c>
    </row>
    <row r="58" spans="1:9" hidden="1">
      <c r="A58" s="30">
        <v>14</v>
      </c>
      <c r="B58" s="72" t="s">
        <v>120</v>
      </c>
      <c r="C58" s="73" t="s">
        <v>121</v>
      </c>
      <c r="D58" s="72" t="s">
        <v>41</v>
      </c>
      <c r="E58" s="74">
        <v>4</v>
      </c>
      <c r="F58" s="75">
        <v>0.8</v>
      </c>
      <c r="G58" s="13">
        <v>237.1</v>
      </c>
      <c r="H58" s="67">
        <f t="shared" ref="H58:H59" si="7">SUM(F58*G58/1000)</f>
        <v>0.18968000000000002</v>
      </c>
      <c r="I58" s="13">
        <f>F58/2*G58</f>
        <v>94.84</v>
      </c>
    </row>
    <row r="59" spans="1:9">
      <c r="A59" s="30">
        <v>14</v>
      </c>
      <c r="B59" s="63" t="s">
        <v>119</v>
      </c>
      <c r="C59" s="64" t="s">
        <v>84</v>
      </c>
      <c r="D59" s="63" t="s">
        <v>102</v>
      </c>
      <c r="E59" s="65">
        <v>3.8</v>
      </c>
      <c r="F59" s="66">
        <f>SUM(E59*6/100)</f>
        <v>0.22799999999999998</v>
      </c>
      <c r="G59" s="13">
        <v>2029.3</v>
      </c>
      <c r="H59" s="67">
        <f t="shared" si="7"/>
        <v>0.46268039999999994</v>
      </c>
      <c r="I59" s="13">
        <f>F59/6*G59</f>
        <v>77.113399999999999</v>
      </c>
    </row>
    <row r="60" spans="1:9" hidden="1">
      <c r="A60" s="30">
        <v>17</v>
      </c>
      <c r="B60" s="63" t="s">
        <v>149</v>
      </c>
      <c r="C60" s="64" t="s">
        <v>150</v>
      </c>
      <c r="D60" s="63" t="s">
        <v>65</v>
      </c>
      <c r="E60" s="65"/>
      <c r="F60" s="66">
        <v>3</v>
      </c>
      <c r="G60" s="13">
        <v>1582.05</v>
      </c>
      <c r="H60" s="67">
        <f>SUM(F60*G60/1000)</f>
        <v>4.7461499999999992</v>
      </c>
      <c r="I60" s="13">
        <f>G60*1.5</f>
        <v>2373.0749999999998</v>
      </c>
    </row>
    <row r="61" spans="1:9">
      <c r="A61" s="30"/>
      <c r="B61" s="84" t="s">
        <v>43</v>
      </c>
      <c r="C61" s="73"/>
      <c r="D61" s="72"/>
      <c r="E61" s="74"/>
      <c r="F61" s="75"/>
      <c r="G61" s="13"/>
      <c r="H61" s="76"/>
      <c r="I61" s="13"/>
    </row>
    <row r="62" spans="1:9" hidden="1">
      <c r="A62" s="30">
        <v>18</v>
      </c>
      <c r="B62" s="72" t="s">
        <v>151</v>
      </c>
      <c r="C62" s="73" t="s">
        <v>51</v>
      </c>
      <c r="D62" s="72" t="s">
        <v>52</v>
      </c>
      <c r="E62" s="74">
        <v>660.45</v>
      </c>
      <c r="F62" s="75">
        <f>E62/100</f>
        <v>6.6045000000000007</v>
      </c>
      <c r="G62" s="13">
        <v>1040.8399999999999</v>
      </c>
      <c r="H62" s="76">
        <f>F62*G62/1000</f>
        <v>6.87422778</v>
      </c>
      <c r="I62" s="13">
        <f>G62*(1.2/100)</f>
        <v>12.490079999999999</v>
      </c>
    </row>
    <row r="63" spans="1:9">
      <c r="A63" s="30">
        <v>15</v>
      </c>
      <c r="B63" s="72" t="s">
        <v>112</v>
      </c>
      <c r="C63" s="73" t="s">
        <v>25</v>
      </c>
      <c r="D63" s="72" t="s">
        <v>30</v>
      </c>
      <c r="E63" s="74">
        <v>200</v>
      </c>
      <c r="F63" s="77">
        <f>E63*12</f>
        <v>2400</v>
      </c>
      <c r="G63" s="57">
        <v>1.2</v>
      </c>
      <c r="H63" s="75">
        <f>F63*G63/1000</f>
        <v>2.88</v>
      </c>
      <c r="I63" s="13">
        <f>F63/12*G63</f>
        <v>240</v>
      </c>
    </row>
    <row r="64" spans="1:9">
      <c r="A64" s="30"/>
      <c r="B64" s="84" t="s">
        <v>44</v>
      </c>
      <c r="C64" s="73"/>
      <c r="D64" s="72"/>
      <c r="E64" s="74"/>
      <c r="F64" s="77"/>
      <c r="G64" s="77"/>
      <c r="H64" s="75" t="s">
        <v>122</v>
      </c>
      <c r="I64" s="13"/>
    </row>
    <row r="65" spans="1:9">
      <c r="A65" s="30">
        <v>16</v>
      </c>
      <c r="B65" s="14" t="s">
        <v>45</v>
      </c>
      <c r="C65" s="16" t="s">
        <v>101</v>
      </c>
      <c r="D65" s="14" t="s">
        <v>65</v>
      </c>
      <c r="E65" s="18">
        <v>10</v>
      </c>
      <c r="F65" s="66">
        <f>SUM(E65)</f>
        <v>10</v>
      </c>
      <c r="G65" s="13">
        <v>291.68</v>
      </c>
      <c r="H65" s="78">
        <f t="shared" ref="H65:H83" si="8">SUM(F65*G65/1000)</f>
        <v>2.9168000000000003</v>
      </c>
      <c r="I65" s="13">
        <f>G65*3</f>
        <v>875.04</v>
      </c>
    </row>
    <row r="66" spans="1:9" hidden="1">
      <c r="A66" s="30"/>
      <c r="B66" s="14" t="s">
        <v>46</v>
      </c>
      <c r="C66" s="16" t="s">
        <v>101</v>
      </c>
      <c r="D66" s="14" t="s">
        <v>65</v>
      </c>
      <c r="E66" s="18">
        <v>9</v>
      </c>
      <c r="F66" s="66">
        <f>SUM(E66)</f>
        <v>9</v>
      </c>
      <c r="G66" s="13">
        <v>100.01</v>
      </c>
      <c r="H66" s="78">
        <f t="shared" si="8"/>
        <v>0.90009000000000006</v>
      </c>
      <c r="I66" s="13">
        <v>0</v>
      </c>
    </row>
    <row r="67" spans="1:9" hidden="1">
      <c r="A67" s="30"/>
      <c r="B67" s="14" t="s">
        <v>47</v>
      </c>
      <c r="C67" s="16" t="s">
        <v>103</v>
      </c>
      <c r="D67" s="14" t="s">
        <v>52</v>
      </c>
      <c r="E67" s="65">
        <v>19836</v>
      </c>
      <c r="F67" s="13">
        <f>SUM(E67/100)</f>
        <v>198.36</v>
      </c>
      <c r="G67" s="13">
        <v>278.24</v>
      </c>
      <c r="H67" s="78">
        <f t="shared" si="8"/>
        <v>55.191686400000009</v>
      </c>
      <c r="I67" s="13">
        <f>F67*G67</f>
        <v>55191.686400000006</v>
      </c>
    </row>
    <row r="68" spans="1:9" hidden="1">
      <c r="A68" s="30"/>
      <c r="B68" s="14" t="s">
        <v>48</v>
      </c>
      <c r="C68" s="16" t="s">
        <v>104</v>
      </c>
      <c r="D68" s="14"/>
      <c r="E68" s="65">
        <v>19836</v>
      </c>
      <c r="F68" s="13">
        <f>SUM(E68/1000)</f>
        <v>19.835999999999999</v>
      </c>
      <c r="G68" s="13">
        <v>216.68</v>
      </c>
      <c r="H68" s="78">
        <f t="shared" si="8"/>
        <v>4.2980644799999999</v>
      </c>
      <c r="I68" s="13">
        <f t="shared" ref="I68:I72" si="9">F68*G68</f>
        <v>4298.06448</v>
      </c>
    </row>
    <row r="69" spans="1:9" hidden="1">
      <c r="A69" s="30"/>
      <c r="B69" s="14" t="s">
        <v>49</v>
      </c>
      <c r="C69" s="16" t="s">
        <v>73</v>
      </c>
      <c r="D69" s="14" t="s">
        <v>52</v>
      </c>
      <c r="E69" s="65">
        <v>3155</v>
      </c>
      <c r="F69" s="13">
        <f>SUM(E69/100)</f>
        <v>31.55</v>
      </c>
      <c r="G69" s="13">
        <v>2720.94</v>
      </c>
      <c r="H69" s="78">
        <f t="shared" si="8"/>
        <v>85.845657000000003</v>
      </c>
      <c r="I69" s="13">
        <f t="shared" si="9"/>
        <v>85845.657000000007</v>
      </c>
    </row>
    <row r="70" spans="1:9" hidden="1">
      <c r="A70" s="30"/>
      <c r="B70" s="79" t="s">
        <v>105</v>
      </c>
      <c r="C70" s="16" t="s">
        <v>33</v>
      </c>
      <c r="D70" s="14"/>
      <c r="E70" s="65">
        <v>34.5</v>
      </c>
      <c r="F70" s="13">
        <f>SUM(E70)</f>
        <v>34.5</v>
      </c>
      <c r="G70" s="13">
        <v>44.31</v>
      </c>
      <c r="H70" s="78">
        <f t="shared" si="8"/>
        <v>1.5286950000000001</v>
      </c>
      <c r="I70" s="13">
        <f t="shared" si="9"/>
        <v>1528.6950000000002</v>
      </c>
    </row>
    <row r="71" spans="1:9" hidden="1">
      <c r="A71" s="30"/>
      <c r="B71" s="79" t="s">
        <v>106</v>
      </c>
      <c r="C71" s="16" t="s">
        <v>33</v>
      </c>
      <c r="D71" s="14"/>
      <c r="E71" s="65">
        <v>34.5</v>
      </c>
      <c r="F71" s="13">
        <f t="shared" ref="F71:F72" si="10">SUM(E71)</f>
        <v>34.5</v>
      </c>
      <c r="G71" s="13">
        <v>47.79</v>
      </c>
      <c r="H71" s="78">
        <f t="shared" si="8"/>
        <v>1.648755</v>
      </c>
      <c r="I71" s="13">
        <f t="shared" si="9"/>
        <v>1648.7549999999999</v>
      </c>
    </row>
    <row r="72" spans="1:9" hidden="1">
      <c r="A72" s="30"/>
      <c r="B72" s="14" t="s">
        <v>55</v>
      </c>
      <c r="C72" s="16" t="s">
        <v>56</v>
      </c>
      <c r="D72" s="14" t="s">
        <v>52</v>
      </c>
      <c r="E72" s="18">
        <v>5</v>
      </c>
      <c r="F72" s="13">
        <f t="shared" si="10"/>
        <v>5</v>
      </c>
      <c r="G72" s="13">
        <v>53.32</v>
      </c>
      <c r="H72" s="78">
        <f t="shared" si="8"/>
        <v>0.2666</v>
      </c>
      <c r="I72" s="13">
        <f t="shared" si="9"/>
        <v>266.60000000000002</v>
      </c>
    </row>
    <row r="73" spans="1:9">
      <c r="A73" s="30"/>
      <c r="B73" s="102" t="s">
        <v>152</v>
      </c>
      <c r="C73" s="49"/>
      <c r="D73" s="14"/>
      <c r="E73" s="18"/>
      <c r="F73" s="13"/>
      <c r="G73" s="13"/>
      <c r="H73" s="78"/>
      <c r="I73" s="13"/>
    </row>
    <row r="74" spans="1:9">
      <c r="A74" s="30">
        <v>17</v>
      </c>
      <c r="B74" s="14" t="s">
        <v>153</v>
      </c>
      <c r="C74" s="30" t="s">
        <v>154</v>
      </c>
      <c r="D74" s="14" t="s">
        <v>65</v>
      </c>
      <c r="E74" s="18">
        <v>4731.7</v>
      </c>
      <c r="F74" s="13">
        <f>SUM(E74*12)</f>
        <v>56780.399999999994</v>
      </c>
      <c r="G74" s="13">
        <v>2.2799999999999998</v>
      </c>
      <c r="H74" s="78">
        <f t="shared" ref="H74" si="11">SUM(F74*G74/1000)</f>
        <v>129.45931199999998</v>
      </c>
      <c r="I74" s="13">
        <f>F74/12*G74</f>
        <v>10788.275999999998</v>
      </c>
    </row>
    <row r="75" spans="1:9">
      <c r="A75" s="30"/>
      <c r="B75" s="110" t="s">
        <v>69</v>
      </c>
      <c r="C75" s="16"/>
      <c r="D75" s="14"/>
      <c r="E75" s="18"/>
      <c r="F75" s="13"/>
      <c r="G75" s="13"/>
      <c r="H75" s="78" t="s">
        <v>122</v>
      </c>
      <c r="I75" s="13"/>
    </row>
    <row r="76" spans="1:9" ht="30" hidden="1">
      <c r="A76" s="30"/>
      <c r="B76" s="14" t="s">
        <v>155</v>
      </c>
      <c r="C76" s="16" t="s">
        <v>101</v>
      </c>
      <c r="D76" s="14" t="s">
        <v>65</v>
      </c>
      <c r="E76" s="18">
        <v>1</v>
      </c>
      <c r="F76" s="13">
        <v>1</v>
      </c>
      <c r="G76" s="13">
        <v>1543.4</v>
      </c>
      <c r="H76" s="78">
        <f t="shared" ref="H76:H79" si="12">SUM(F76*G76/1000)</f>
        <v>1.5434000000000001</v>
      </c>
      <c r="I76" s="13">
        <v>0</v>
      </c>
    </row>
    <row r="77" spans="1:9" hidden="1">
      <c r="A77" s="30">
        <v>19</v>
      </c>
      <c r="B77" s="47" t="s">
        <v>156</v>
      </c>
      <c r="C77" s="49" t="s">
        <v>101</v>
      </c>
      <c r="D77" s="14" t="s">
        <v>65</v>
      </c>
      <c r="E77" s="18">
        <v>4</v>
      </c>
      <c r="F77" s="13">
        <v>1</v>
      </c>
      <c r="G77" s="13">
        <v>130.96</v>
      </c>
      <c r="H77" s="78">
        <f>SUM(F77*G77/1000)</f>
        <v>0.13096000000000002</v>
      </c>
      <c r="I77" s="13">
        <v>0</v>
      </c>
    </row>
    <row r="78" spans="1:9" hidden="1">
      <c r="A78" s="30">
        <v>22</v>
      </c>
      <c r="B78" s="14" t="s">
        <v>70</v>
      </c>
      <c r="C78" s="16" t="s">
        <v>71</v>
      </c>
      <c r="D78" s="14" t="s">
        <v>65</v>
      </c>
      <c r="E78" s="18">
        <v>8</v>
      </c>
      <c r="F78" s="13">
        <f>E78/10</f>
        <v>0.8</v>
      </c>
      <c r="G78" s="13">
        <v>657.87</v>
      </c>
      <c r="H78" s="78">
        <f t="shared" si="12"/>
        <v>0.5262960000000001</v>
      </c>
      <c r="I78" s="13">
        <f>G78*0.3</f>
        <v>197.36099999999999</v>
      </c>
    </row>
    <row r="79" spans="1:9" hidden="1">
      <c r="A79" s="30"/>
      <c r="B79" s="14" t="s">
        <v>157</v>
      </c>
      <c r="C79" s="16" t="s">
        <v>101</v>
      </c>
      <c r="D79" s="14" t="s">
        <v>65</v>
      </c>
      <c r="E79" s="18">
        <v>1</v>
      </c>
      <c r="F79" s="66">
        <f>SUM(E79)</f>
        <v>1</v>
      </c>
      <c r="G79" s="13">
        <v>1118.72</v>
      </c>
      <c r="H79" s="78">
        <f t="shared" si="12"/>
        <v>1.1187199999999999</v>
      </c>
      <c r="I79" s="13">
        <v>0</v>
      </c>
    </row>
    <row r="80" spans="1:9" hidden="1">
      <c r="A80" s="30"/>
      <c r="B80" s="47" t="s">
        <v>158</v>
      </c>
      <c r="C80" s="49" t="s">
        <v>101</v>
      </c>
      <c r="D80" s="14" t="s">
        <v>65</v>
      </c>
      <c r="E80" s="18">
        <v>1</v>
      </c>
      <c r="F80" s="57">
        <v>1</v>
      </c>
      <c r="G80" s="13">
        <v>3757.02</v>
      </c>
      <c r="H80" s="78">
        <f>SUM(F80*G80/1000)</f>
        <v>3.7570199999999998</v>
      </c>
      <c r="I80" s="13">
        <v>0</v>
      </c>
    </row>
    <row r="81" spans="1:9">
      <c r="A81" s="30">
        <v>18</v>
      </c>
      <c r="B81" s="47" t="s">
        <v>159</v>
      </c>
      <c r="C81" s="49" t="s">
        <v>101</v>
      </c>
      <c r="D81" s="14" t="s">
        <v>30</v>
      </c>
      <c r="E81" s="99">
        <v>2</v>
      </c>
      <c r="F81" s="77">
        <f>E81*12</f>
        <v>24</v>
      </c>
      <c r="G81" s="100">
        <v>53.42</v>
      </c>
      <c r="H81" s="78">
        <f t="shared" ref="H81" si="13">SUM(F81*G81/1000)</f>
        <v>1.2820799999999999</v>
      </c>
      <c r="I81" s="13">
        <f>F81/12*G81</f>
        <v>106.84</v>
      </c>
    </row>
    <row r="82" spans="1:9" hidden="1">
      <c r="A82" s="30"/>
      <c r="B82" s="81" t="s">
        <v>72</v>
      </c>
      <c r="C82" s="16"/>
      <c r="D82" s="14"/>
      <c r="E82" s="18"/>
      <c r="F82" s="13"/>
      <c r="G82" s="13" t="s">
        <v>122</v>
      </c>
      <c r="H82" s="78" t="s">
        <v>122</v>
      </c>
      <c r="I82" s="13"/>
    </row>
    <row r="83" spans="1:9" hidden="1">
      <c r="A83" s="30"/>
      <c r="B83" s="44" t="s">
        <v>114</v>
      </c>
      <c r="C83" s="16" t="s">
        <v>73</v>
      </c>
      <c r="D83" s="14"/>
      <c r="E83" s="18"/>
      <c r="F83" s="13">
        <v>0.3</v>
      </c>
      <c r="G83" s="13">
        <v>3619.09</v>
      </c>
      <c r="H83" s="78">
        <f t="shared" si="8"/>
        <v>1.0857270000000001</v>
      </c>
      <c r="I83" s="13">
        <v>0</v>
      </c>
    </row>
    <row r="84" spans="1:9" ht="28.5" hidden="1">
      <c r="A84" s="30"/>
      <c r="B84" s="103" t="s">
        <v>90</v>
      </c>
      <c r="C84" s="81"/>
      <c r="D84" s="32"/>
      <c r="E84" s="33"/>
      <c r="F84" s="69"/>
      <c r="G84" s="69"/>
      <c r="H84" s="82">
        <f>SUM(H57:H83)</f>
        <v>319.70627624000002</v>
      </c>
      <c r="I84" s="69"/>
    </row>
    <row r="85" spans="1:9" ht="0.75" customHeight="1">
      <c r="A85" s="30"/>
      <c r="B85" s="63" t="s">
        <v>107</v>
      </c>
      <c r="C85" s="16"/>
      <c r="D85" s="14"/>
      <c r="E85" s="58"/>
      <c r="F85" s="13">
        <v>1</v>
      </c>
      <c r="G85" s="13">
        <v>20512</v>
      </c>
      <c r="H85" s="78">
        <f>G85*F85/1000</f>
        <v>20.512</v>
      </c>
      <c r="I85" s="13">
        <v>0</v>
      </c>
    </row>
    <row r="86" spans="1:9">
      <c r="A86" s="194" t="s">
        <v>169</v>
      </c>
      <c r="B86" s="195"/>
      <c r="C86" s="195"/>
      <c r="D86" s="195"/>
      <c r="E86" s="195"/>
      <c r="F86" s="195"/>
      <c r="G86" s="195"/>
      <c r="H86" s="195"/>
      <c r="I86" s="196"/>
    </row>
    <row r="87" spans="1:9">
      <c r="A87" s="30">
        <v>19</v>
      </c>
      <c r="B87" s="63" t="s">
        <v>108</v>
      </c>
      <c r="C87" s="16" t="s">
        <v>53</v>
      </c>
      <c r="D87" s="101"/>
      <c r="E87" s="13">
        <v>4731.7</v>
      </c>
      <c r="F87" s="13">
        <f>SUM(E87*12)</f>
        <v>56780.399999999994</v>
      </c>
      <c r="G87" s="13">
        <v>3.1</v>
      </c>
      <c r="H87" s="78">
        <f>SUM(F87*G87/1000)</f>
        <v>176.01924</v>
      </c>
      <c r="I87" s="13">
        <f>F87/12*G87</f>
        <v>14668.27</v>
      </c>
    </row>
    <row r="88" spans="1:9" ht="30">
      <c r="A88" s="30">
        <v>20</v>
      </c>
      <c r="B88" s="14" t="s">
        <v>74</v>
      </c>
      <c r="C88" s="16"/>
      <c r="D88" s="44"/>
      <c r="E88" s="65">
        <f>E87</f>
        <v>4731.7</v>
      </c>
      <c r="F88" s="13">
        <f>E88*12</f>
        <v>56780.399999999994</v>
      </c>
      <c r="G88" s="13">
        <v>3.5</v>
      </c>
      <c r="H88" s="78">
        <f>F88*G88/1000</f>
        <v>198.73139999999995</v>
      </c>
      <c r="I88" s="13">
        <f>F88/12*G88</f>
        <v>16560.95</v>
      </c>
    </row>
    <row r="89" spans="1:9">
      <c r="A89" s="30"/>
      <c r="B89" s="37" t="s">
        <v>76</v>
      </c>
      <c r="C89" s="81"/>
      <c r="D89" s="80"/>
      <c r="E89" s="69"/>
      <c r="F89" s="69"/>
      <c r="G89" s="69"/>
      <c r="H89" s="82">
        <f>H88</f>
        <v>198.73139999999995</v>
      </c>
      <c r="I89" s="69">
        <f>I88+I87+I81+I74+I65+I63+I59+I54+I44+I43+I42+I41+I40+I39+I38+I27+I26+I18+I17+I16</f>
        <v>104137.30607999998</v>
      </c>
    </row>
    <row r="90" spans="1:9">
      <c r="A90" s="191" t="s">
        <v>58</v>
      </c>
      <c r="B90" s="192"/>
      <c r="C90" s="192"/>
      <c r="D90" s="192"/>
      <c r="E90" s="192"/>
      <c r="F90" s="192"/>
      <c r="G90" s="192"/>
      <c r="H90" s="192"/>
      <c r="I90" s="193"/>
    </row>
    <row r="91" spans="1:9" ht="30">
      <c r="A91" s="30" t="s">
        <v>210</v>
      </c>
      <c r="B91" s="47" t="s">
        <v>124</v>
      </c>
      <c r="C91" s="49" t="s">
        <v>101</v>
      </c>
      <c r="D91" s="14"/>
      <c r="E91" s="18"/>
      <c r="F91" s="13">
        <v>160</v>
      </c>
      <c r="G91" s="13">
        <v>55.55</v>
      </c>
      <c r="H91" s="78">
        <f>G91*F91/1000</f>
        <v>8.8879999999999999</v>
      </c>
      <c r="I91" s="13">
        <f>G91*80</f>
        <v>4444</v>
      </c>
    </row>
    <row r="92" spans="1:9">
      <c r="A92" s="30">
        <v>22</v>
      </c>
      <c r="B92" s="47" t="s">
        <v>125</v>
      </c>
      <c r="C92" s="49" t="s">
        <v>79</v>
      </c>
      <c r="D92" s="36"/>
      <c r="E92" s="17"/>
      <c r="F92" s="35">
        <v>15</v>
      </c>
      <c r="G92" s="35">
        <v>203.68</v>
      </c>
      <c r="H92" s="86">
        <f t="shared" ref="H92:H93" si="14">G92*F92/1000</f>
        <v>3.0552000000000001</v>
      </c>
      <c r="I92" s="13">
        <f>G92*2</f>
        <v>407.36</v>
      </c>
    </row>
    <row r="93" spans="1:9" ht="30">
      <c r="A93" s="30">
        <v>23</v>
      </c>
      <c r="B93" s="62" t="s">
        <v>138</v>
      </c>
      <c r="C93" s="30" t="s">
        <v>139</v>
      </c>
      <c r="D93" s="44"/>
      <c r="E93" s="35"/>
      <c r="F93" s="35">
        <v>1</v>
      </c>
      <c r="G93" s="13">
        <v>326.66000000000003</v>
      </c>
      <c r="H93" s="86">
        <f t="shared" si="14"/>
        <v>0.32666000000000001</v>
      </c>
      <c r="I93" s="13">
        <f>G93*1.5</f>
        <v>489.99</v>
      </c>
    </row>
    <row r="94" spans="1:9">
      <c r="A94" s="30">
        <v>24</v>
      </c>
      <c r="B94" s="50" t="s">
        <v>80</v>
      </c>
      <c r="C94" s="49" t="s">
        <v>101</v>
      </c>
      <c r="D94" s="44"/>
      <c r="E94" s="35"/>
      <c r="F94" s="35">
        <v>1</v>
      </c>
      <c r="G94" s="35">
        <v>197.26</v>
      </c>
      <c r="H94" s="35">
        <f>G94*F94/1000</f>
        <v>0.19725999999999999</v>
      </c>
      <c r="I94" s="13">
        <f>G94*1</f>
        <v>197.26</v>
      </c>
    </row>
    <row r="95" spans="1:9">
      <c r="A95" s="30">
        <v>25</v>
      </c>
      <c r="B95" s="47" t="s">
        <v>77</v>
      </c>
      <c r="C95" s="49" t="s">
        <v>101</v>
      </c>
      <c r="D95" s="44"/>
      <c r="E95" s="35"/>
      <c r="F95" s="35"/>
      <c r="G95" s="35">
        <v>197.48</v>
      </c>
      <c r="H95" s="35"/>
      <c r="I95" s="13">
        <f>G95*1</f>
        <v>197.48</v>
      </c>
    </row>
    <row r="96" spans="1:9">
      <c r="A96" s="30">
        <v>26</v>
      </c>
      <c r="B96" s="47" t="s">
        <v>174</v>
      </c>
      <c r="C96" s="49" t="s">
        <v>101</v>
      </c>
      <c r="D96" s="44"/>
      <c r="E96" s="35"/>
      <c r="F96" s="35"/>
      <c r="G96" s="35">
        <v>1226.2</v>
      </c>
      <c r="H96" s="35"/>
      <c r="I96" s="13">
        <f>G96*1</f>
        <v>1226.2</v>
      </c>
    </row>
    <row r="97" spans="1:9" ht="30">
      <c r="A97" s="30">
        <v>27</v>
      </c>
      <c r="B97" s="112" t="s">
        <v>175</v>
      </c>
      <c r="C97" s="113" t="s">
        <v>101</v>
      </c>
      <c r="D97" s="44"/>
      <c r="E97" s="35"/>
      <c r="F97" s="35"/>
      <c r="G97" s="35">
        <v>86.69</v>
      </c>
      <c r="H97" s="35"/>
      <c r="I97" s="13">
        <f>G97*1</f>
        <v>86.69</v>
      </c>
    </row>
    <row r="98" spans="1:9" ht="30">
      <c r="A98" s="30">
        <v>28</v>
      </c>
      <c r="B98" s="112" t="s">
        <v>176</v>
      </c>
      <c r="C98" s="113" t="s">
        <v>177</v>
      </c>
      <c r="D98" s="44"/>
      <c r="E98" s="35"/>
      <c r="F98" s="35"/>
      <c r="G98" s="13">
        <v>613.44000000000005</v>
      </c>
      <c r="H98" s="35"/>
      <c r="I98" s="13">
        <f>G98*1</f>
        <v>613.44000000000005</v>
      </c>
    </row>
    <row r="99" spans="1:9">
      <c r="A99" s="30">
        <v>29</v>
      </c>
      <c r="B99" s="112" t="s">
        <v>170</v>
      </c>
      <c r="C99" s="113" t="s">
        <v>171</v>
      </c>
      <c r="D99" s="44"/>
      <c r="E99" s="35"/>
      <c r="F99" s="35"/>
      <c r="G99" s="13">
        <v>134.12</v>
      </c>
      <c r="H99" s="35"/>
      <c r="I99" s="13">
        <f>G99*16</f>
        <v>2145.92</v>
      </c>
    </row>
    <row r="100" spans="1:9" ht="30">
      <c r="A100" s="30">
        <v>30</v>
      </c>
      <c r="B100" s="120" t="s">
        <v>178</v>
      </c>
      <c r="C100" s="121" t="s">
        <v>37</v>
      </c>
      <c r="D100" s="44"/>
      <c r="E100" s="35"/>
      <c r="F100" s="35"/>
      <c r="G100" s="35">
        <v>4058.32</v>
      </c>
      <c r="H100" s="35"/>
      <c r="I100" s="13">
        <f>G100*0.02</f>
        <v>81.16640000000001</v>
      </c>
    </row>
    <row r="101" spans="1:9">
      <c r="A101" s="30">
        <v>31</v>
      </c>
      <c r="B101" s="112" t="s">
        <v>179</v>
      </c>
      <c r="C101" s="113" t="s">
        <v>180</v>
      </c>
      <c r="D101" s="44"/>
      <c r="E101" s="35"/>
      <c r="F101" s="35"/>
      <c r="G101" s="35">
        <v>7412.92</v>
      </c>
      <c r="H101" s="35"/>
      <c r="I101" s="13">
        <f>G101*0.01</f>
        <v>74.129199999999997</v>
      </c>
    </row>
    <row r="102" spans="1:9">
      <c r="A102" s="30"/>
      <c r="B102" s="42" t="s">
        <v>50</v>
      </c>
      <c r="C102" s="38"/>
      <c r="D102" s="45"/>
      <c r="E102" s="38">
        <v>1</v>
      </c>
      <c r="F102" s="38"/>
      <c r="G102" s="38"/>
      <c r="H102" s="38"/>
      <c r="I102" s="33">
        <f>SUM(I91:I101)-I91</f>
        <v>5519.6355999999978</v>
      </c>
    </row>
    <row r="103" spans="1:9">
      <c r="A103" s="30"/>
      <c r="B103" s="44" t="s">
        <v>75</v>
      </c>
      <c r="C103" s="15"/>
      <c r="D103" s="15"/>
      <c r="E103" s="39"/>
      <c r="F103" s="39"/>
      <c r="G103" s="40"/>
      <c r="H103" s="40"/>
      <c r="I103" s="17">
        <v>0</v>
      </c>
    </row>
    <row r="104" spans="1:9">
      <c r="A104" s="46"/>
      <c r="B104" s="43" t="s">
        <v>143</v>
      </c>
      <c r="C104" s="34"/>
      <c r="D104" s="34"/>
      <c r="E104" s="34"/>
      <c r="F104" s="34"/>
      <c r="G104" s="34"/>
      <c r="H104" s="34"/>
      <c r="I104" s="41">
        <f>I89+I102</f>
        <v>109656.94167999997</v>
      </c>
    </row>
    <row r="105" spans="1:9">
      <c r="A105" s="197" t="s">
        <v>211</v>
      </c>
      <c r="B105" s="198"/>
      <c r="C105" s="198"/>
      <c r="D105" s="198"/>
      <c r="E105" s="198"/>
      <c r="F105" s="198"/>
      <c r="G105" s="198"/>
      <c r="H105" s="198"/>
      <c r="I105" s="198"/>
    </row>
    <row r="106" spans="1:9" ht="15.75">
      <c r="A106" s="188" t="s">
        <v>311</v>
      </c>
      <c r="B106" s="188"/>
      <c r="C106" s="188"/>
      <c r="D106" s="188"/>
      <c r="E106" s="188"/>
      <c r="F106" s="188"/>
      <c r="G106" s="188"/>
      <c r="H106" s="188"/>
      <c r="I106" s="188"/>
    </row>
    <row r="107" spans="1:9" ht="15.75">
      <c r="A107" s="56"/>
      <c r="B107" s="189" t="s">
        <v>312</v>
      </c>
      <c r="C107" s="189"/>
      <c r="D107" s="189"/>
      <c r="E107" s="189"/>
      <c r="F107" s="189"/>
      <c r="G107" s="189"/>
      <c r="H107" s="61"/>
      <c r="I107" s="3"/>
    </row>
    <row r="108" spans="1:9">
      <c r="A108" s="107"/>
      <c r="B108" s="179" t="s">
        <v>6</v>
      </c>
      <c r="C108" s="179"/>
      <c r="D108" s="179"/>
      <c r="E108" s="179"/>
      <c r="F108" s="179"/>
      <c r="G108" s="179"/>
      <c r="H108" s="25"/>
      <c r="I108" s="5"/>
    </row>
    <row r="109" spans="1:9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ht="15.75">
      <c r="A110" s="190" t="s">
        <v>7</v>
      </c>
      <c r="B110" s="190"/>
      <c r="C110" s="190"/>
      <c r="D110" s="190"/>
      <c r="E110" s="190"/>
      <c r="F110" s="190"/>
      <c r="G110" s="190"/>
      <c r="H110" s="190"/>
      <c r="I110" s="190"/>
    </row>
    <row r="111" spans="1:9" ht="15.75">
      <c r="A111" s="190" t="s">
        <v>8</v>
      </c>
      <c r="B111" s="190"/>
      <c r="C111" s="190"/>
      <c r="D111" s="190"/>
      <c r="E111" s="190"/>
      <c r="F111" s="190"/>
      <c r="G111" s="190"/>
      <c r="H111" s="190"/>
      <c r="I111" s="190"/>
    </row>
    <row r="112" spans="1:9" ht="15.75">
      <c r="A112" s="183" t="s">
        <v>59</v>
      </c>
      <c r="B112" s="183"/>
      <c r="C112" s="183"/>
      <c r="D112" s="183"/>
      <c r="E112" s="183"/>
      <c r="F112" s="183"/>
      <c r="G112" s="183"/>
      <c r="H112" s="183"/>
      <c r="I112" s="183"/>
    </row>
    <row r="113" spans="1:9" ht="15.75">
      <c r="A113" s="11"/>
    </row>
    <row r="114" spans="1:9" ht="15.75">
      <c r="A114" s="177" t="s">
        <v>9</v>
      </c>
      <c r="B114" s="177"/>
      <c r="C114" s="177"/>
      <c r="D114" s="177"/>
      <c r="E114" s="177"/>
      <c r="F114" s="177"/>
      <c r="G114" s="177"/>
      <c r="H114" s="177"/>
      <c r="I114" s="177"/>
    </row>
    <row r="115" spans="1:9" ht="15.75">
      <c r="A115" s="4"/>
    </row>
    <row r="116" spans="1:9" ht="15.75">
      <c r="B116" s="108" t="s">
        <v>10</v>
      </c>
      <c r="C116" s="178" t="s">
        <v>131</v>
      </c>
      <c r="D116" s="178"/>
      <c r="E116" s="178"/>
      <c r="F116" s="59"/>
      <c r="I116" s="106"/>
    </row>
    <row r="117" spans="1:9">
      <c r="A117" s="107"/>
      <c r="C117" s="179" t="s">
        <v>11</v>
      </c>
      <c r="D117" s="179"/>
      <c r="E117" s="179"/>
      <c r="F117" s="25"/>
      <c r="I117" s="105" t="s">
        <v>12</v>
      </c>
    </row>
    <row r="118" spans="1:9" ht="15.75">
      <c r="A118" s="26"/>
      <c r="C118" s="12"/>
      <c r="D118" s="12"/>
      <c r="G118" s="12"/>
      <c r="H118" s="12"/>
    </row>
    <row r="119" spans="1:9" ht="15.75">
      <c r="B119" s="108" t="s">
        <v>13</v>
      </c>
      <c r="C119" s="180"/>
      <c r="D119" s="180"/>
      <c r="E119" s="180"/>
      <c r="F119" s="60"/>
      <c r="I119" s="106"/>
    </row>
    <row r="120" spans="1:9">
      <c r="A120" s="107"/>
      <c r="C120" s="181" t="s">
        <v>11</v>
      </c>
      <c r="D120" s="181"/>
      <c r="E120" s="181"/>
      <c r="F120" s="107"/>
      <c r="I120" s="105" t="s">
        <v>12</v>
      </c>
    </row>
    <row r="121" spans="1:9" ht="15.75">
      <c r="A121" s="4" t="s">
        <v>14</v>
      </c>
    </row>
    <row r="122" spans="1:9">
      <c r="A122" s="182" t="s">
        <v>15</v>
      </c>
      <c r="B122" s="182"/>
      <c r="C122" s="182"/>
      <c r="D122" s="182"/>
      <c r="E122" s="182"/>
      <c r="F122" s="182"/>
      <c r="G122" s="182"/>
      <c r="H122" s="182"/>
      <c r="I122" s="182"/>
    </row>
    <row r="123" spans="1:9" ht="42" customHeight="1">
      <c r="A123" s="176" t="s">
        <v>16</v>
      </c>
      <c r="B123" s="176"/>
      <c r="C123" s="176"/>
      <c r="D123" s="176"/>
      <c r="E123" s="176"/>
      <c r="F123" s="176"/>
      <c r="G123" s="176"/>
      <c r="H123" s="176"/>
      <c r="I123" s="176"/>
    </row>
    <row r="124" spans="1:9" ht="37.5" customHeight="1">
      <c r="A124" s="176" t="s">
        <v>17</v>
      </c>
      <c r="B124" s="176"/>
      <c r="C124" s="176"/>
      <c r="D124" s="176"/>
      <c r="E124" s="176"/>
      <c r="F124" s="176"/>
      <c r="G124" s="176"/>
      <c r="H124" s="176"/>
      <c r="I124" s="176"/>
    </row>
    <row r="125" spans="1:9" ht="43.5" customHeight="1">
      <c r="A125" s="176" t="s">
        <v>21</v>
      </c>
      <c r="B125" s="176"/>
      <c r="C125" s="176"/>
      <c r="D125" s="176"/>
      <c r="E125" s="176"/>
      <c r="F125" s="176"/>
      <c r="G125" s="176"/>
      <c r="H125" s="176"/>
      <c r="I125" s="176"/>
    </row>
    <row r="126" spans="1:9" ht="15.75">
      <c r="A126" s="176" t="s">
        <v>20</v>
      </c>
      <c r="B126" s="176"/>
      <c r="C126" s="176"/>
      <c r="D126" s="176"/>
      <c r="E126" s="176"/>
      <c r="F126" s="176"/>
      <c r="G126" s="176"/>
      <c r="H126" s="176"/>
      <c r="I126" s="176"/>
    </row>
  </sheetData>
  <mergeCells count="29">
    <mergeCell ref="A14:I14"/>
    <mergeCell ref="A3:I3"/>
    <mergeCell ref="A4:I4"/>
    <mergeCell ref="A5:I5"/>
    <mergeCell ref="A8:I8"/>
    <mergeCell ref="A10:I10"/>
    <mergeCell ref="A112:I112"/>
    <mergeCell ref="A15:I15"/>
    <mergeCell ref="A28:I28"/>
    <mergeCell ref="A45:I45"/>
    <mergeCell ref="A55:I55"/>
    <mergeCell ref="A86:I86"/>
    <mergeCell ref="A90:I90"/>
    <mergeCell ref="A106:I106"/>
    <mergeCell ref="B107:G107"/>
    <mergeCell ref="B108:G108"/>
    <mergeCell ref="A110:I110"/>
    <mergeCell ref="A111:I111"/>
    <mergeCell ref="A105:I105"/>
    <mergeCell ref="A123:I123"/>
    <mergeCell ref="A124:I124"/>
    <mergeCell ref="A125:I125"/>
    <mergeCell ref="A126:I126"/>
    <mergeCell ref="A114:I114"/>
    <mergeCell ref="C116:E116"/>
    <mergeCell ref="C117:E117"/>
    <mergeCell ref="C119:E119"/>
    <mergeCell ref="C120:E120"/>
    <mergeCell ref="A122:I122"/>
  </mergeCells>
  <pageMargins left="0.7" right="0.7" top="0.75" bottom="0.75" header="0.3" footer="0.3"/>
  <pageSetup paperSize="9" scale="6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33"/>
  <sheetViews>
    <sheetView view="pageBreakPreview" zoomScale="60" workbookViewId="0">
      <selection activeCell="I12" sqref="I12"/>
    </sheetView>
  </sheetViews>
  <sheetFormatPr defaultRowHeight="15"/>
  <cols>
    <col min="2" max="2" width="51.42578125" customWidth="1"/>
    <col min="3" max="4" width="18.28515625" customWidth="1"/>
    <col min="5" max="5" width="0" hidden="1" customWidth="1"/>
    <col min="6" max="6" width="12.7109375" hidden="1" customWidth="1"/>
    <col min="7" max="7" width="17.7109375" customWidth="1"/>
    <col min="8" max="8" width="0" hidden="1" customWidth="1"/>
    <col min="9" max="9" width="18.28515625" customWidth="1"/>
  </cols>
  <sheetData>
    <row r="1" spans="1:9" ht="15.75">
      <c r="A1" s="28" t="s">
        <v>82</v>
      </c>
      <c r="I1" s="27"/>
    </row>
    <row r="2" spans="1:9" ht="15.75">
      <c r="A2" s="29" t="s">
        <v>60</v>
      </c>
    </row>
    <row r="3" spans="1:9" ht="15.75">
      <c r="A3" s="199" t="s">
        <v>184</v>
      </c>
      <c r="B3" s="199"/>
      <c r="C3" s="199"/>
      <c r="D3" s="199"/>
      <c r="E3" s="199"/>
      <c r="F3" s="199"/>
      <c r="G3" s="199"/>
      <c r="H3" s="199"/>
      <c r="I3" s="199"/>
    </row>
    <row r="4" spans="1:9" ht="31.5" customHeight="1">
      <c r="A4" s="200" t="s">
        <v>245</v>
      </c>
      <c r="B4" s="200"/>
      <c r="C4" s="200"/>
      <c r="D4" s="200"/>
      <c r="E4" s="200"/>
      <c r="F4" s="200"/>
      <c r="G4" s="200"/>
      <c r="H4" s="200"/>
      <c r="I4" s="200"/>
    </row>
    <row r="5" spans="1:9" ht="15.75">
      <c r="A5" s="199" t="s">
        <v>185</v>
      </c>
      <c r="B5" s="201"/>
      <c r="C5" s="201"/>
      <c r="D5" s="201"/>
      <c r="E5" s="201"/>
      <c r="F5" s="201"/>
      <c r="G5" s="201"/>
      <c r="H5" s="201"/>
      <c r="I5" s="201"/>
    </row>
    <row r="6" spans="1:9" ht="15.75">
      <c r="A6" s="2"/>
      <c r="B6" s="115"/>
      <c r="C6" s="115"/>
      <c r="D6" s="115"/>
      <c r="E6" s="115"/>
      <c r="F6" s="115"/>
      <c r="G6" s="115"/>
      <c r="H6" s="115"/>
      <c r="I6" s="31">
        <v>43251</v>
      </c>
    </row>
    <row r="7" spans="1:9" ht="15.75">
      <c r="B7" s="117"/>
      <c r="C7" s="117"/>
      <c r="D7" s="117"/>
      <c r="E7" s="3"/>
      <c r="F7" s="3"/>
      <c r="G7" s="3"/>
      <c r="H7" s="3"/>
    </row>
    <row r="8" spans="1:9" ht="90" customHeight="1">
      <c r="A8" s="202" t="s">
        <v>302</v>
      </c>
      <c r="B8" s="202"/>
      <c r="C8" s="202"/>
      <c r="D8" s="202"/>
      <c r="E8" s="202"/>
      <c r="F8" s="202"/>
      <c r="G8" s="202"/>
      <c r="H8" s="202"/>
      <c r="I8" s="202"/>
    </row>
    <row r="9" spans="1:9" ht="1.5" customHeight="1">
      <c r="A9" s="4"/>
    </row>
    <row r="10" spans="1:9" ht="64.5" customHeight="1">
      <c r="A10" s="203" t="s">
        <v>144</v>
      </c>
      <c r="B10" s="203"/>
      <c r="C10" s="203"/>
      <c r="D10" s="203"/>
      <c r="E10" s="203"/>
      <c r="F10" s="203"/>
      <c r="G10" s="203"/>
      <c r="H10" s="203"/>
      <c r="I10" s="203"/>
    </row>
    <row r="11" spans="1:9" ht="0.75" customHeight="1">
      <c r="A11" s="4"/>
    </row>
    <row r="12" spans="1:9" ht="71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4" t="s">
        <v>57</v>
      </c>
      <c r="B14" s="204"/>
      <c r="C14" s="204"/>
      <c r="D14" s="204"/>
      <c r="E14" s="204"/>
      <c r="F14" s="204"/>
      <c r="G14" s="204"/>
      <c r="H14" s="204"/>
      <c r="I14" s="204"/>
    </row>
    <row r="15" spans="1:9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</row>
    <row r="16" spans="1:9" ht="30">
      <c r="A16" s="30">
        <v>1</v>
      </c>
      <c r="B16" s="63" t="s">
        <v>83</v>
      </c>
      <c r="C16" s="64" t="s">
        <v>84</v>
      </c>
      <c r="D16" s="120" t="s">
        <v>186</v>
      </c>
      <c r="E16" s="65">
        <v>143.78</v>
      </c>
      <c r="F16" s="66">
        <f>SUM(E16*156/100)</f>
        <v>224.29679999999999</v>
      </c>
      <c r="G16" s="123">
        <v>230</v>
      </c>
      <c r="H16" s="67">
        <f t="shared" ref="H16:H24" si="0">SUM(F16*G16/1000)</f>
        <v>51.588263999999995</v>
      </c>
      <c r="I16" s="13">
        <f>149.531/12*G16</f>
        <v>2866.0108333333337</v>
      </c>
    </row>
    <row r="17" spans="1:9" ht="30">
      <c r="A17" s="30">
        <v>2</v>
      </c>
      <c r="B17" s="63" t="s">
        <v>109</v>
      </c>
      <c r="C17" s="64" t="s">
        <v>84</v>
      </c>
      <c r="D17" s="120" t="s">
        <v>187</v>
      </c>
      <c r="E17" s="65">
        <v>575.12</v>
      </c>
      <c r="F17" s="66">
        <f>SUM(E17*104/100)</f>
        <v>598.12480000000005</v>
      </c>
      <c r="G17" s="123">
        <v>230</v>
      </c>
      <c r="H17" s="67">
        <f t="shared" si="0"/>
        <v>137.568704</v>
      </c>
      <c r="I17" s="13">
        <f>299.062/12*G17</f>
        <v>5732.0216666666674</v>
      </c>
    </row>
    <row r="18" spans="1:9">
      <c r="A18" s="30">
        <v>3</v>
      </c>
      <c r="B18" s="63" t="s">
        <v>110</v>
      </c>
      <c r="C18" s="64" t="s">
        <v>84</v>
      </c>
      <c r="D18" s="120" t="s">
        <v>188</v>
      </c>
      <c r="E18" s="65">
        <v>718.9</v>
      </c>
      <c r="F18" s="66">
        <f>SUM(E18*24/100)</f>
        <v>172.53599999999997</v>
      </c>
      <c r="G18" s="123">
        <v>661.67</v>
      </c>
      <c r="H18" s="67">
        <f t="shared" si="0"/>
        <v>114.16189511999997</v>
      </c>
      <c r="I18" s="13">
        <f>86.268/12*G18</f>
        <v>4756.7456299999994</v>
      </c>
    </row>
    <row r="19" spans="1:9">
      <c r="A19" s="30">
        <v>4</v>
      </c>
      <c r="B19" s="63" t="s">
        <v>91</v>
      </c>
      <c r="C19" s="64" t="s">
        <v>92</v>
      </c>
      <c r="D19" s="120" t="s">
        <v>93</v>
      </c>
      <c r="E19" s="65">
        <v>42.2</v>
      </c>
      <c r="F19" s="66">
        <f>SUM(E19/10)</f>
        <v>4.2200000000000006</v>
      </c>
      <c r="G19" s="123">
        <v>223.17</v>
      </c>
      <c r="H19" s="67">
        <f t="shared" si="0"/>
        <v>0.9417774000000001</v>
      </c>
      <c r="I19" s="13">
        <f>G19*4.22</f>
        <v>941.77739999999994</v>
      </c>
    </row>
    <row r="20" spans="1:9">
      <c r="A20" s="30">
        <v>5</v>
      </c>
      <c r="B20" s="63" t="s">
        <v>94</v>
      </c>
      <c r="C20" s="64" t="s">
        <v>84</v>
      </c>
      <c r="D20" s="120" t="s">
        <v>41</v>
      </c>
      <c r="E20" s="65">
        <v>14</v>
      </c>
      <c r="F20" s="66">
        <f>SUM(E20*2/100)</f>
        <v>0.28000000000000003</v>
      </c>
      <c r="G20" s="123">
        <v>285.76</v>
      </c>
      <c r="H20" s="67">
        <f t="shared" si="0"/>
        <v>8.0012799999999995E-2</v>
      </c>
      <c r="I20" s="13">
        <f>0.28/2*G20</f>
        <v>40.006399999999999</v>
      </c>
    </row>
    <row r="21" spans="1:9">
      <c r="A21" s="30">
        <v>6</v>
      </c>
      <c r="B21" s="63" t="s">
        <v>95</v>
      </c>
      <c r="C21" s="64" t="s">
        <v>84</v>
      </c>
      <c r="D21" s="120" t="s">
        <v>41</v>
      </c>
      <c r="E21" s="65">
        <v>6</v>
      </c>
      <c r="F21" s="66">
        <f>SUM(E21*2/100)</f>
        <v>0.12</v>
      </c>
      <c r="G21" s="123">
        <v>283.44</v>
      </c>
      <c r="H21" s="67">
        <f>SUM(F21*G21/1000)</f>
        <v>3.4012799999999996E-2</v>
      </c>
      <c r="I21" s="13">
        <f>F21/2*G21</f>
        <v>17.006399999999999</v>
      </c>
    </row>
    <row r="22" spans="1:9">
      <c r="A22" s="30">
        <v>7</v>
      </c>
      <c r="B22" s="63" t="s">
        <v>96</v>
      </c>
      <c r="C22" s="64" t="s">
        <v>51</v>
      </c>
      <c r="D22" s="120" t="s">
        <v>93</v>
      </c>
      <c r="E22" s="65">
        <v>640</v>
      </c>
      <c r="F22" s="66">
        <f>SUM(E22/100)</f>
        <v>6.4</v>
      </c>
      <c r="G22" s="123">
        <v>353.14</v>
      </c>
      <c r="H22" s="67">
        <f t="shared" si="0"/>
        <v>2.2600959999999999</v>
      </c>
      <c r="I22" s="13">
        <f t="shared" ref="I22:I25" si="1">F22*G22</f>
        <v>2260.096</v>
      </c>
    </row>
    <row r="23" spans="1:9">
      <c r="A23" s="30">
        <v>8</v>
      </c>
      <c r="B23" s="63" t="s">
        <v>97</v>
      </c>
      <c r="C23" s="64" t="s">
        <v>51</v>
      </c>
      <c r="D23" s="120" t="s">
        <v>93</v>
      </c>
      <c r="E23" s="68">
        <v>49</v>
      </c>
      <c r="F23" s="66">
        <f>SUM(E23/100)</f>
        <v>0.49</v>
      </c>
      <c r="G23" s="123">
        <v>58.08</v>
      </c>
      <c r="H23" s="67">
        <f t="shared" si="0"/>
        <v>2.84592E-2</v>
      </c>
      <c r="I23" s="13">
        <f t="shared" si="1"/>
        <v>28.459199999999999</v>
      </c>
    </row>
    <row r="24" spans="1:9">
      <c r="A24" s="30">
        <v>9</v>
      </c>
      <c r="B24" s="63" t="s">
        <v>98</v>
      </c>
      <c r="C24" s="64" t="s">
        <v>51</v>
      </c>
      <c r="D24" s="120" t="s">
        <v>52</v>
      </c>
      <c r="E24" s="65">
        <v>19</v>
      </c>
      <c r="F24" s="66">
        <f>SUM(E24/100)</f>
        <v>0.19</v>
      </c>
      <c r="G24" s="132">
        <v>683.05</v>
      </c>
      <c r="H24" s="67">
        <f t="shared" si="0"/>
        <v>0.12977949999999999</v>
      </c>
      <c r="I24" s="13">
        <f>0.085*G24</f>
        <v>58.059249999999999</v>
      </c>
    </row>
    <row r="25" spans="1:9">
      <c r="A25" s="30">
        <v>10</v>
      </c>
      <c r="B25" s="63" t="s">
        <v>113</v>
      </c>
      <c r="C25" s="64" t="s">
        <v>51</v>
      </c>
      <c r="D25" s="120" t="s">
        <v>52</v>
      </c>
      <c r="E25" s="65">
        <v>19</v>
      </c>
      <c r="F25" s="66">
        <f>E25/100</f>
        <v>0.19</v>
      </c>
      <c r="G25" s="123">
        <v>283.44</v>
      </c>
      <c r="H25" s="67">
        <f>G25*F25/1000</f>
        <v>5.3853600000000001E-2</v>
      </c>
      <c r="I25" s="13">
        <f t="shared" si="1"/>
        <v>53.8536</v>
      </c>
    </row>
    <row r="26" spans="1:9">
      <c r="A26" s="30">
        <v>11</v>
      </c>
      <c r="B26" s="63" t="s">
        <v>62</v>
      </c>
      <c r="C26" s="64" t="s">
        <v>33</v>
      </c>
      <c r="D26" s="63" t="s">
        <v>160</v>
      </c>
      <c r="E26" s="65">
        <v>0.1</v>
      </c>
      <c r="F26" s="66">
        <f>SUM(E26*182)</f>
        <v>18.2</v>
      </c>
      <c r="G26" s="66">
        <v>264.85000000000002</v>
      </c>
      <c r="H26" s="67">
        <f>SUM(F26*G26/1000)</f>
        <v>4.8202700000000007</v>
      </c>
      <c r="I26" s="13">
        <f>F26/12*G26</f>
        <v>401.68916666666667</v>
      </c>
    </row>
    <row r="27" spans="1:9">
      <c r="A27" s="30">
        <v>12</v>
      </c>
      <c r="B27" s="71" t="s">
        <v>23</v>
      </c>
      <c r="C27" s="64" t="s">
        <v>24</v>
      </c>
      <c r="D27" s="63"/>
      <c r="E27" s="65">
        <v>4731.7</v>
      </c>
      <c r="F27" s="66">
        <f>SUM(E27*12)</f>
        <v>56780.399999999994</v>
      </c>
      <c r="G27" s="66">
        <v>4.5199999999999996</v>
      </c>
      <c r="H27" s="67">
        <f>SUM(F27*G27/1000)</f>
        <v>256.64740799999993</v>
      </c>
      <c r="I27" s="13">
        <f>F27/12*G27</f>
        <v>21387.283999999996</v>
      </c>
    </row>
    <row r="28" spans="1:9">
      <c r="A28" s="184" t="s">
        <v>81</v>
      </c>
      <c r="B28" s="184"/>
      <c r="C28" s="184"/>
      <c r="D28" s="184"/>
      <c r="E28" s="184"/>
      <c r="F28" s="184"/>
      <c r="G28" s="184"/>
      <c r="H28" s="184"/>
      <c r="I28" s="184"/>
    </row>
    <row r="29" spans="1:9">
      <c r="A29" s="30"/>
      <c r="B29" s="83" t="s">
        <v>28</v>
      </c>
      <c r="C29" s="64"/>
      <c r="D29" s="63"/>
      <c r="E29" s="65"/>
      <c r="F29" s="66"/>
      <c r="G29" s="66"/>
      <c r="H29" s="67"/>
      <c r="I29" s="13"/>
    </row>
    <row r="30" spans="1:9">
      <c r="A30" s="30">
        <v>13</v>
      </c>
      <c r="B30" s="63" t="s">
        <v>100</v>
      </c>
      <c r="C30" s="64" t="s">
        <v>86</v>
      </c>
      <c r="D30" s="63" t="s">
        <v>141</v>
      </c>
      <c r="E30" s="66">
        <v>436.6</v>
      </c>
      <c r="F30" s="66">
        <f>SUM(E30*52/1000)</f>
        <v>22.703200000000002</v>
      </c>
      <c r="G30" s="123">
        <v>204.44</v>
      </c>
      <c r="H30" s="67">
        <f t="shared" ref="H30:H36" si="2">SUM(F30*G30/1000)</f>
        <v>4.641442208</v>
      </c>
      <c r="I30" s="13">
        <f>F30/6*G30</f>
        <v>773.57370133333336</v>
      </c>
    </row>
    <row r="31" spans="1:9" ht="45">
      <c r="A31" s="30">
        <v>14</v>
      </c>
      <c r="B31" s="63" t="s">
        <v>111</v>
      </c>
      <c r="C31" s="64" t="s">
        <v>86</v>
      </c>
      <c r="D31" s="63" t="s">
        <v>142</v>
      </c>
      <c r="E31" s="66">
        <v>54.4</v>
      </c>
      <c r="F31" s="66">
        <f>SUM(E31*78/1000)</f>
        <v>4.2431999999999999</v>
      </c>
      <c r="G31" s="123">
        <v>339.21</v>
      </c>
      <c r="H31" s="67">
        <f t="shared" si="2"/>
        <v>1.4393358719999998</v>
      </c>
      <c r="I31" s="13">
        <f t="shared" ref="I31:I34" si="3">F31/6*G31</f>
        <v>239.88931199999996</v>
      </c>
    </row>
    <row r="32" spans="1:9">
      <c r="A32" s="30">
        <v>15</v>
      </c>
      <c r="B32" s="63" t="s">
        <v>27</v>
      </c>
      <c r="C32" s="64" t="s">
        <v>86</v>
      </c>
      <c r="D32" s="63" t="s">
        <v>52</v>
      </c>
      <c r="E32" s="66">
        <v>436.6</v>
      </c>
      <c r="F32" s="66">
        <f>SUM(E32/1000)</f>
        <v>0.43660000000000004</v>
      </c>
      <c r="G32" s="123">
        <v>3961.23</v>
      </c>
      <c r="H32" s="67">
        <f t="shared" si="2"/>
        <v>1.7294730180000002</v>
      </c>
      <c r="I32" s="13">
        <f>F32*G32</f>
        <v>1729.4730180000001</v>
      </c>
    </row>
    <row r="33" spans="1:9">
      <c r="A33" s="30">
        <v>16</v>
      </c>
      <c r="B33" s="63" t="s">
        <v>123</v>
      </c>
      <c r="C33" s="64" t="s">
        <v>39</v>
      </c>
      <c r="D33" s="63" t="s">
        <v>61</v>
      </c>
      <c r="E33" s="66">
        <v>4</v>
      </c>
      <c r="F33" s="66">
        <f>E33*155/100</f>
        <v>6.2</v>
      </c>
      <c r="G33" s="123">
        <v>1707.63</v>
      </c>
      <c r="H33" s="67">
        <f>G33*F33/1000</f>
        <v>10.587306</v>
      </c>
      <c r="I33" s="13">
        <f t="shared" si="3"/>
        <v>1764.5510000000004</v>
      </c>
    </row>
    <row r="34" spans="1:9">
      <c r="A34" s="30">
        <v>17</v>
      </c>
      <c r="B34" s="63" t="s">
        <v>99</v>
      </c>
      <c r="C34" s="64" t="s">
        <v>31</v>
      </c>
      <c r="D34" s="63" t="s">
        <v>61</v>
      </c>
      <c r="E34" s="70">
        <f>1/3</f>
        <v>0.33333333333333331</v>
      </c>
      <c r="F34" s="66">
        <f>155/3</f>
        <v>51.666666666666664</v>
      </c>
      <c r="G34" s="123">
        <v>74.349999999999994</v>
      </c>
      <c r="H34" s="67">
        <f>SUM(G34*155/3/1000)</f>
        <v>3.8414166666666665</v>
      </c>
      <c r="I34" s="13">
        <f t="shared" si="3"/>
        <v>640.23611111111109</v>
      </c>
    </row>
    <row r="35" spans="1:9" hidden="1">
      <c r="A35" s="30"/>
      <c r="B35" s="63" t="s">
        <v>63</v>
      </c>
      <c r="C35" s="64" t="s">
        <v>33</v>
      </c>
      <c r="D35" s="63" t="s">
        <v>65</v>
      </c>
      <c r="E35" s="65"/>
      <c r="F35" s="66">
        <v>2</v>
      </c>
      <c r="G35" s="66">
        <v>250.92</v>
      </c>
      <c r="H35" s="67">
        <f t="shared" si="2"/>
        <v>0.50183999999999995</v>
      </c>
      <c r="I35" s="13">
        <v>0</v>
      </c>
    </row>
    <row r="36" spans="1:9" hidden="1">
      <c r="A36" s="30"/>
      <c r="B36" s="63" t="s">
        <v>64</v>
      </c>
      <c r="C36" s="64" t="s">
        <v>32</v>
      </c>
      <c r="D36" s="63" t="s">
        <v>65</v>
      </c>
      <c r="E36" s="65"/>
      <c r="F36" s="66">
        <v>1</v>
      </c>
      <c r="G36" s="66">
        <v>1490.31</v>
      </c>
      <c r="H36" s="67">
        <f t="shared" si="2"/>
        <v>1.49031</v>
      </c>
      <c r="I36" s="13">
        <v>0</v>
      </c>
    </row>
    <row r="37" spans="1:9">
      <c r="A37" s="30"/>
      <c r="B37" s="83" t="s">
        <v>5</v>
      </c>
      <c r="C37" s="64"/>
      <c r="D37" s="63"/>
      <c r="E37" s="65"/>
      <c r="F37" s="66"/>
      <c r="G37" s="66"/>
      <c r="H37" s="67" t="s">
        <v>122</v>
      </c>
      <c r="I37" s="13"/>
    </row>
    <row r="38" spans="1:9" hidden="1">
      <c r="A38" s="30">
        <v>6</v>
      </c>
      <c r="B38" s="63" t="s">
        <v>26</v>
      </c>
      <c r="C38" s="64" t="s">
        <v>32</v>
      </c>
      <c r="D38" s="63"/>
      <c r="E38" s="65"/>
      <c r="F38" s="66">
        <v>5</v>
      </c>
      <c r="G38" s="66">
        <v>2003</v>
      </c>
      <c r="H38" s="67">
        <f t="shared" ref="H38:H44" si="4">SUM(F38*G38/1000)</f>
        <v>10.015000000000001</v>
      </c>
      <c r="I38" s="13">
        <f t="shared" ref="I38:I44" si="5">F38/6*G38</f>
        <v>1669.1666666666667</v>
      </c>
    </row>
    <row r="39" spans="1:9" hidden="1">
      <c r="A39" s="30">
        <v>7</v>
      </c>
      <c r="B39" s="63" t="s">
        <v>146</v>
      </c>
      <c r="C39" s="64" t="s">
        <v>29</v>
      </c>
      <c r="D39" s="63" t="s">
        <v>115</v>
      </c>
      <c r="E39" s="65">
        <v>54.4</v>
      </c>
      <c r="F39" s="66">
        <f>E39*30/1000</f>
        <v>1.6319999999999999</v>
      </c>
      <c r="G39" s="66">
        <v>2757.78</v>
      </c>
      <c r="H39" s="67">
        <f t="shared" si="4"/>
        <v>4.50069696</v>
      </c>
      <c r="I39" s="13">
        <f t="shared" si="5"/>
        <v>750.11615999999992</v>
      </c>
    </row>
    <row r="40" spans="1:9" hidden="1">
      <c r="A40" s="30">
        <v>8</v>
      </c>
      <c r="B40" s="63" t="s">
        <v>66</v>
      </c>
      <c r="C40" s="64" t="s">
        <v>29</v>
      </c>
      <c r="D40" s="63" t="s">
        <v>85</v>
      </c>
      <c r="E40" s="66">
        <v>54.4</v>
      </c>
      <c r="F40" s="66">
        <f>SUM(E40*155/1000)</f>
        <v>8.4320000000000004</v>
      </c>
      <c r="G40" s="66">
        <v>460.02</v>
      </c>
      <c r="H40" s="67">
        <f t="shared" si="4"/>
        <v>3.87888864</v>
      </c>
      <c r="I40" s="13">
        <f t="shared" si="5"/>
        <v>646.48144000000002</v>
      </c>
    </row>
    <row r="41" spans="1:9" ht="60" hidden="1">
      <c r="A41" s="30">
        <v>9</v>
      </c>
      <c r="B41" s="63" t="s">
        <v>78</v>
      </c>
      <c r="C41" s="64" t="s">
        <v>86</v>
      </c>
      <c r="D41" s="63" t="s">
        <v>116</v>
      </c>
      <c r="E41" s="66">
        <v>31.2</v>
      </c>
      <c r="F41" s="66">
        <f>SUM(E41*35/1000)</f>
        <v>1.0920000000000001</v>
      </c>
      <c r="G41" s="66">
        <v>7611.16</v>
      </c>
      <c r="H41" s="67">
        <f t="shared" si="4"/>
        <v>8.3113867199999998</v>
      </c>
      <c r="I41" s="13">
        <f t="shared" si="5"/>
        <v>1385.2311200000001</v>
      </c>
    </row>
    <row r="42" spans="1:9" hidden="1">
      <c r="A42" s="30">
        <v>10</v>
      </c>
      <c r="B42" s="63" t="s">
        <v>87</v>
      </c>
      <c r="C42" s="64" t="s">
        <v>86</v>
      </c>
      <c r="D42" s="63" t="s">
        <v>67</v>
      </c>
      <c r="E42" s="66">
        <v>54.4</v>
      </c>
      <c r="F42" s="66">
        <f>SUM(E42*45/1000)</f>
        <v>2.448</v>
      </c>
      <c r="G42" s="66">
        <v>562.25</v>
      </c>
      <c r="H42" s="67">
        <f t="shared" si="4"/>
        <v>1.3763879999999999</v>
      </c>
      <c r="I42" s="13">
        <f>(F42/7.5*1.5)*G42</f>
        <v>275.27759999999995</v>
      </c>
    </row>
    <row r="43" spans="1:9" hidden="1">
      <c r="A43" s="30">
        <v>11</v>
      </c>
      <c r="B43" s="63" t="s">
        <v>68</v>
      </c>
      <c r="C43" s="64" t="s">
        <v>33</v>
      </c>
      <c r="D43" s="63"/>
      <c r="E43" s="65"/>
      <c r="F43" s="66">
        <v>0.9</v>
      </c>
      <c r="G43" s="66">
        <v>974.83</v>
      </c>
      <c r="H43" s="67">
        <f t="shared" si="4"/>
        <v>0.8773470000000001</v>
      </c>
      <c r="I43" s="13">
        <f>(F43/7.5*1.5)*G43</f>
        <v>175.46940000000004</v>
      </c>
    </row>
    <row r="44" spans="1:9" ht="30" hidden="1">
      <c r="A44" s="30">
        <v>12</v>
      </c>
      <c r="B44" s="47" t="s">
        <v>147</v>
      </c>
      <c r="C44" s="49" t="s">
        <v>29</v>
      </c>
      <c r="D44" s="63" t="s">
        <v>148</v>
      </c>
      <c r="E44" s="65">
        <v>3</v>
      </c>
      <c r="F44" s="66">
        <f>SUM(E44*12/1000)</f>
        <v>3.5999999999999997E-2</v>
      </c>
      <c r="G44" s="66">
        <v>260.2</v>
      </c>
      <c r="H44" s="67">
        <f t="shared" si="4"/>
        <v>9.3671999999999991E-3</v>
      </c>
      <c r="I44" s="13">
        <f t="shared" si="5"/>
        <v>1.5611999999999997</v>
      </c>
    </row>
    <row r="45" spans="1:9">
      <c r="A45" s="185" t="s">
        <v>128</v>
      </c>
      <c r="B45" s="186"/>
      <c r="C45" s="186"/>
      <c r="D45" s="186"/>
      <c r="E45" s="186"/>
      <c r="F45" s="186"/>
      <c r="G45" s="186"/>
      <c r="H45" s="186"/>
      <c r="I45" s="187"/>
    </row>
    <row r="46" spans="1:9">
      <c r="A46" s="30">
        <v>18</v>
      </c>
      <c r="B46" s="63" t="s">
        <v>117</v>
      </c>
      <c r="C46" s="64" t="s">
        <v>86</v>
      </c>
      <c r="D46" s="63" t="s">
        <v>41</v>
      </c>
      <c r="E46" s="65">
        <v>1320.9</v>
      </c>
      <c r="F46" s="66">
        <f>SUM(E46*2/1000)</f>
        <v>2.6418000000000004</v>
      </c>
      <c r="G46" s="35">
        <v>1114.1300000000001</v>
      </c>
      <c r="H46" s="67">
        <f t="shared" ref="H46:H54" si="6">SUM(F46*G46/1000)</f>
        <v>2.943308634000001</v>
      </c>
      <c r="I46" s="13">
        <f>2.6418/2*G46</f>
        <v>1471.654317</v>
      </c>
    </row>
    <row r="47" spans="1:9">
      <c r="A47" s="30">
        <v>19</v>
      </c>
      <c r="B47" s="63" t="s">
        <v>34</v>
      </c>
      <c r="C47" s="64" t="s">
        <v>86</v>
      </c>
      <c r="D47" s="63" t="s">
        <v>41</v>
      </c>
      <c r="E47" s="65">
        <v>52</v>
      </c>
      <c r="F47" s="66">
        <f>E47*2/1000</f>
        <v>0.104</v>
      </c>
      <c r="G47" s="35">
        <v>4419.05</v>
      </c>
      <c r="H47" s="67">
        <f t="shared" si="6"/>
        <v>0.45958120000000002</v>
      </c>
      <c r="I47" s="13">
        <f>0.104/2*G47</f>
        <v>229.79060000000001</v>
      </c>
    </row>
    <row r="48" spans="1:9">
      <c r="A48" s="30">
        <v>20</v>
      </c>
      <c r="B48" s="63" t="s">
        <v>35</v>
      </c>
      <c r="C48" s="64" t="s">
        <v>86</v>
      </c>
      <c r="D48" s="63" t="s">
        <v>41</v>
      </c>
      <c r="E48" s="65">
        <v>1520.8</v>
      </c>
      <c r="F48" s="66">
        <f>SUM(E48*2/1000)</f>
        <v>3.0415999999999999</v>
      </c>
      <c r="G48" s="35">
        <v>1803.69</v>
      </c>
      <c r="H48" s="67">
        <f t="shared" si="6"/>
        <v>5.4861035039999999</v>
      </c>
      <c r="I48" s="13">
        <f>3.0416/2*G48</f>
        <v>2743.0517519999999</v>
      </c>
    </row>
    <row r="49" spans="1:9">
      <c r="A49" s="30">
        <v>21</v>
      </c>
      <c r="B49" s="63" t="s">
        <v>36</v>
      </c>
      <c r="C49" s="64" t="s">
        <v>86</v>
      </c>
      <c r="D49" s="63" t="s">
        <v>41</v>
      </c>
      <c r="E49" s="65">
        <v>3433.81</v>
      </c>
      <c r="F49" s="66">
        <f>SUM(E49*2/1000)</f>
        <v>6.8676199999999996</v>
      </c>
      <c r="G49" s="35">
        <v>1243.43</v>
      </c>
      <c r="H49" s="67">
        <f t="shared" si="6"/>
        <v>8.5394047365999999</v>
      </c>
      <c r="I49" s="13">
        <f>6.86762/2*G49</f>
        <v>4269.7023682999998</v>
      </c>
    </row>
    <row r="50" spans="1:9" hidden="1">
      <c r="A50" s="30">
        <v>13</v>
      </c>
      <c r="B50" s="63" t="s">
        <v>54</v>
      </c>
      <c r="C50" s="64" t="s">
        <v>86</v>
      </c>
      <c r="D50" s="63" t="s">
        <v>133</v>
      </c>
      <c r="E50" s="65">
        <v>4731.7</v>
      </c>
      <c r="F50" s="66">
        <f>SUM(E50*5/1000)</f>
        <v>23.6585</v>
      </c>
      <c r="G50" s="35">
        <v>1803.69</v>
      </c>
      <c r="H50" s="67">
        <f t="shared" si="6"/>
        <v>42.672599865000002</v>
      </c>
      <c r="I50" s="13">
        <f>F50/5*G50</f>
        <v>8534.5199730000004</v>
      </c>
    </row>
    <row r="51" spans="1:9" ht="45">
      <c r="A51" s="30">
        <v>22</v>
      </c>
      <c r="B51" s="63" t="s">
        <v>88</v>
      </c>
      <c r="C51" s="64" t="s">
        <v>86</v>
      </c>
      <c r="D51" s="63" t="s">
        <v>41</v>
      </c>
      <c r="E51" s="65">
        <v>4731.7</v>
      </c>
      <c r="F51" s="66">
        <f>SUM(E51*2/1000)</f>
        <v>9.4634</v>
      </c>
      <c r="G51" s="35">
        <v>1591.6</v>
      </c>
      <c r="H51" s="67">
        <f t="shared" si="6"/>
        <v>15.061947439999999</v>
      </c>
      <c r="I51" s="13">
        <f>9.4634/2*G51</f>
        <v>7530.97372</v>
      </c>
    </row>
    <row r="52" spans="1:9" ht="30">
      <c r="A52" s="30">
        <v>23</v>
      </c>
      <c r="B52" s="63" t="s">
        <v>89</v>
      </c>
      <c r="C52" s="64" t="s">
        <v>37</v>
      </c>
      <c r="D52" s="63" t="s">
        <v>41</v>
      </c>
      <c r="E52" s="65">
        <v>20</v>
      </c>
      <c r="F52" s="66">
        <f>SUM(E52*2/100)</f>
        <v>0.4</v>
      </c>
      <c r="G52" s="35">
        <v>4058.32</v>
      </c>
      <c r="H52" s="67">
        <f>SUM(F52*G52/1000)</f>
        <v>1.6233280000000001</v>
      </c>
      <c r="I52" s="13">
        <f>0.4/2*G52</f>
        <v>811.6640000000001</v>
      </c>
    </row>
    <row r="53" spans="1:9">
      <c r="A53" s="30">
        <v>24</v>
      </c>
      <c r="B53" s="63" t="s">
        <v>38</v>
      </c>
      <c r="C53" s="64" t="s">
        <v>39</v>
      </c>
      <c r="D53" s="63" t="s">
        <v>41</v>
      </c>
      <c r="E53" s="65">
        <v>1</v>
      </c>
      <c r="F53" s="66">
        <v>0.02</v>
      </c>
      <c r="G53" s="35">
        <v>7412.92</v>
      </c>
      <c r="H53" s="67">
        <f t="shared" si="6"/>
        <v>0.14825839999999998</v>
      </c>
      <c r="I53" s="13">
        <f>0.02/2*G53</f>
        <v>74.129199999999997</v>
      </c>
    </row>
    <row r="54" spans="1:9" hidden="1">
      <c r="A54" s="30">
        <v>13</v>
      </c>
      <c r="B54" s="63" t="s">
        <v>40</v>
      </c>
      <c r="C54" s="64" t="s">
        <v>101</v>
      </c>
      <c r="D54" s="63" t="s">
        <v>52</v>
      </c>
      <c r="E54" s="65">
        <v>160</v>
      </c>
      <c r="F54" s="66">
        <f>SUM(E54)</f>
        <v>160</v>
      </c>
      <c r="G54" s="124">
        <v>86.15</v>
      </c>
      <c r="H54" s="67">
        <f t="shared" si="6"/>
        <v>13.784000000000001</v>
      </c>
      <c r="I54" s="13">
        <f>G54*160</f>
        <v>13784</v>
      </c>
    </row>
    <row r="55" spans="1:9">
      <c r="A55" s="185" t="s">
        <v>168</v>
      </c>
      <c r="B55" s="186"/>
      <c r="C55" s="186"/>
      <c r="D55" s="186"/>
      <c r="E55" s="186"/>
      <c r="F55" s="186"/>
      <c r="G55" s="186"/>
      <c r="H55" s="186"/>
      <c r="I55" s="187"/>
    </row>
    <row r="56" spans="1:9" hidden="1">
      <c r="A56" s="30"/>
      <c r="B56" s="83" t="s">
        <v>42</v>
      </c>
      <c r="C56" s="64"/>
      <c r="D56" s="63"/>
      <c r="E56" s="65"/>
      <c r="F56" s="66"/>
      <c r="G56" s="66"/>
      <c r="H56" s="67"/>
      <c r="I56" s="13"/>
    </row>
    <row r="57" spans="1:9" ht="30" hidden="1">
      <c r="A57" s="30">
        <v>14</v>
      </c>
      <c r="B57" s="63" t="s">
        <v>118</v>
      </c>
      <c r="C57" s="64" t="s">
        <v>84</v>
      </c>
      <c r="D57" s="63" t="s">
        <v>102</v>
      </c>
      <c r="E57" s="65">
        <v>107.21</v>
      </c>
      <c r="F57" s="66">
        <f>SUM(E57*6/100)</f>
        <v>6.4325999999999999</v>
      </c>
      <c r="G57" s="13">
        <v>2029.3</v>
      </c>
      <c r="H57" s="67">
        <f>SUM(F57*G57/1000)</f>
        <v>13.053675180000001</v>
      </c>
      <c r="I57" s="13">
        <f>F57/6*G57</f>
        <v>2175.6125299999999</v>
      </c>
    </row>
    <row r="58" spans="1:9" hidden="1">
      <c r="A58" s="30">
        <v>14</v>
      </c>
      <c r="B58" s="72" t="s">
        <v>120</v>
      </c>
      <c r="C58" s="73" t="s">
        <v>121</v>
      </c>
      <c r="D58" s="72" t="s">
        <v>41</v>
      </c>
      <c r="E58" s="74">
        <v>4</v>
      </c>
      <c r="F58" s="75">
        <v>0.8</v>
      </c>
      <c r="G58" s="13">
        <v>237.1</v>
      </c>
      <c r="H58" s="67">
        <f t="shared" ref="H58:H59" si="7">SUM(F58*G58/1000)</f>
        <v>0.18968000000000002</v>
      </c>
      <c r="I58" s="13">
        <f>F58/2*G58</f>
        <v>94.84</v>
      </c>
    </row>
    <row r="59" spans="1:9" hidden="1">
      <c r="A59" s="30">
        <v>15</v>
      </c>
      <c r="B59" s="63" t="s">
        <v>119</v>
      </c>
      <c r="C59" s="64" t="s">
        <v>84</v>
      </c>
      <c r="D59" s="63" t="s">
        <v>102</v>
      </c>
      <c r="E59" s="65">
        <v>3.8</v>
      </c>
      <c r="F59" s="66">
        <f>SUM(E59*6/100)</f>
        <v>0.22799999999999998</v>
      </c>
      <c r="G59" s="13">
        <v>2029.3</v>
      </c>
      <c r="H59" s="67">
        <f t="shared" si="7"/>
        <v>0.46268039999999994</v>
      </c>
      <c r="I59" s="13">
        <f>F59/6*G59</f>
        <v>77.113399999999999</v>
      </c>
    </row>
    <row r="60" spans="1:9" hidden="1">
      <c r="A60" s="30">
        <v>17</v>
      </c>
      <c r="B60" s="63" t="s">
        <v>149</v>
      </c>
      <c r="C60" s="64" t="s">
        <v>150</v>
      </c>
      <c r="D60" s="63" t="s">
        <v>65</v>
      </c>
      <c r="E60" s="65"/>
      <c r="F60" s="66">
        <v>3</v>
      </c>
      <c r="G60" s="13">
        <v>1582.05</v>
      </c>
      <c r="H60" s="67">
        <f>SUM(F60*G60/1000)</f>
        <v>4.7461499999999992</v>
      </c>
      <c r="I60" s="13">
        <f>G60*1.5</f>
        <v>2373.0749999999998</v>
      </c>
    </row>
    <row r="61" spans="1:9">
      <c r="A61" s="30"/>
      <c r="B61" s="84" t="s">
        <v>43</v>
      </c>
      <c r="C61" s="73"/>
      <c r="D61" s="72"/>
      <c r="E61" s="74"/>
      <c r="F61" s="75"/>
      <c r="G61" s="13"/>
      <c r="H61" s="76"/>
      <c r="I61" s="13"/>
    </row>
    <row r="62" spans="1:9" hidden="1">
      <c r="A62" s="30">
        <v>18</v>
      </c>
      <c r="B62" s="72" t="s">
        <v>151</v>
      </c>
      <c r="C62" s="73" t="s">
        <v>51</v>
      </c>
      <c r="D62" s="72" t="s">
        <v>52</v>
      </c>
      <c r="E62" s="74">
        <v>660.45</v>
      </c>
      <c r="F62" s="75">
        <f>E62/100</f>
        <v>6.6045000000000007</v>
      </c>
      <c r="G62" s="13">
        <v>1040.8399999999999</v>
      </c>
      <c r="H62" s="76">
        <f>F62*G62/1000</f>
        <v>6.87422778</v>
      </c>
      <c r="I62" s="13">
        <f>G62*(1.2/100)</f>
        <v>12.490079999999999</v>
      </c>
    </row>
    <row r="63" spans="1:9">
      <c r="A63" s="30">
        <v>25</v>
      </c>
      <c r="B63" s="72" t="s">
        <v>112</v>
      </c>
      <c r="C63" s="73" t="s">
        <v>25</v>
      </c>
      <c r="D63" s="72" t="s">
        <v>30</v>
      </c>
      <c r="E63" s="74">
        <v>200</v>
      </c>
      <c r="F63" s="77">
        <f>E63*12</f>
        <v>2400</v>
      </c>
      <c r="G63" s="57">
        <v>2.8</v>
      </c>
      <c r="H63" s="75">
        <f>F63*G63/1000</f>
        <v>6.72</v>
      </c>
      <c r="I63" s="13">
        <f>2856/12*G63</f>
        <v>666.4</v>
      </c>
    </row>
    <row r="64" spans="1:9">
      <c r="A64" s="30"/>
      <c r="B64" s="84" t="s">
        <v>44</v>
      </c>
      <c r="C64" s="73"/>
      <c r="D64" s="72"/>
      <c r="E64" s="74"/>
      <c r="F64" s="77"/>
      <c r="G64" s="77"/>
      <c r="H64" s="75" t="s">
        <v>122</v>
      </c>
      <c r="I64" s="13"/>
    </row>
    <row r="65" spans="1:9" ht="21" customHeight="1">
      <c r="A65" s="30">
        <v>26</v>
      </c>
      <c r="B65" s="14" t="s">
        <v>45</v>
      </c>
      <c r="C65" s="16" t="s">
        <v>101</v>
      </c>
      <c r="D65" s="14" t="s">
        <v>65</v>
      </c>
      <c r="E65" s="18">
        <v>10</v>
      </c>
      <c r="F65" s="66">
        <f>SUM(E65)</f>
        <v>10</v>
      </c>
      <c r="G65" s="13">
        <v>291.68</v>
      </c>
      <c r="H65" s="78">
        <f t="shared" ref="H65:H83" si="8">SUM(F65*G65/1000)</f>
        <v>2.9168000000000003</v>
      </c>
      <c r="I65" s="13">
        <f>G65*1</f>
        <v>291.68</v>
      </c>
    </row>
    <row r="66" spans="1:9" ht="16.5" hidden="1" customHeight="1">
      <c r="A66" s="30"/>
      <c r="B66" s="14" t="s">
        <v>46</v>
      </c>
      <c r="C66" s="16" t="s">
        <v>101</v>
      </c>
      <c r="D66" s="14" t="s">
        <v>65</v>
      </c>
      <c r="E66" s="18">
        <v>9</v>
      </c>
      <c r="F66" s="66">
        <f>SUM(E66)</f>
        <v>9</v>
      </c>
      <c r="G66" s="13">
        <v>100.01</v>
      </c>
      <c r="H66" s="78">
        <f t="shared" si="8"/>
        <v>0.90009000000000006</v>
      </c>
      <c r="I66" s="13">
        <v>0</v>
      </c>
    </row>
    <row r="67" spans="1:9">
      <c r="A67" s="30">
        <v>27</v>
      </c>
      <c r="B67" s="14" t="s">
        <v>47</v>
      </c>
      <c r="C67" s="16" t="s">
        <v>103</v>
      </c>
      <c r="D67" s="14" t="s">
        <v>52</v>
      </c>
      <c r="E67" s="65">
        <v>19836</v>
      </c>
      <c r="F67" s="13">
        <f>SUM(E67/100)</f>
        <v>198.36</v>
      </c>
      <c r="G67" s="13">
        <v>278.24</v>
      </c>
      <c r="H67" s="78">
        <f t="shared" si="8"/>
        <v>55.191686400000009</v>
      </c>
      <c r="I67" s="13">
        <f>F67*G67</f>
        <v>55191.686400000006</v>
      </c>
    </row>
    <row r="68" spans="1:9">
      <c r="A68" s="30">
        <v>28</v>
      </c>
      <c r="B68" s="14" t="s">
        <v>48</v>
      </c>
      <c r="C68" s="16" t="s">
        <v>104</v>
      </c>
      <c r="D68" s="14"/>
      <c r="E68" s="65">
        <v>19836</v>
      </c>
      <c r="F68" s="13">
        <f>SUM(E68/1000)</f>
        <v>19.835999999999999</v>
      </c>
      <c r="G68" s="13">
        <v>216.68</v>
      </c>
      <c r="H68" s="78">
        <f t="shared" si="8"/>
        <v>4.2980644799999999</v>
      </c>
      <c r="I68" s="13">
        <f t="shared" ref="I68:I72" si="9">F68*G68</f>
        <v>4298.06448</v>
      </c>
    </row>
    <row r="69" spans="1:9">
      <c r="A69" s="30">
        <v>29</v>
      </c>
      <c r="B69" s="14" t="s">
        <v>49</v>
      </c>
      <c r="C69" s="16" t="s">
        <v>73</v>
      </c>
      <c r="D69" s="14" t="s">
        <v>52</v>
      </c>
      <c r="E69" s="65">
        <v>3155</v>
      </c>
      <c r="F69" s="13">
        <f>SUM(E69/100)</f>
        <v>31.55</v>
      </c>
      <c r="G69" s="13">
        <v>2720.94</v>
      </c>
      <c r="H69" s="78">
        <f t="shared" si="8"/>
        <v>85.845657000000003</v>
      </c>
      <c r="I69" s="13">
        <f t="shared" si="9"/>
        <v>85845.657000000007</v>
      </c>
    </row>
    <row r="70" spans="1:9">
      <c r="A70" s="30">
        <v>30</v>
      </c>
      <c r="B70" s="79" t="s">
        <v>105</v>
      </c>
      <c r="C70" s="16" t="s">
        <v>33</v>
      </c>
      <c r="D70" s="14"/>
      <c r="E70" s="65">
        <v>34.5</v>
      </c>
      <c r="F70" s="13">
        <f>SUM(E70)</f>
        <v>34.5</v>
      </c>
      <c r="G70" s="13">
        <v>44.31</v>
      </c>
      <c r="H70" s="78">
        <f t="shared" si="8"/>
        <v>1.5286950000000001</v>
      </c>
      <c r="I70" s="13">
        <f t="shared" si="9"/>
        <v>1528.6950000000002</v>
      </c>
    </row>
    <row r="71" spans="1:9">
      <c r="A71" s="30">
        <v>31</v>
      </c>
      <c r="B71" s="79" t="s">
        <v>106</v>
      </c>
      <c r="C71" s="16" t="s">
        <v>33</v>
      </c>
      <c r="D71" s="14"/>
      <c r="E71" s="65">
        <v>34.5</v>
      </c>
      <c r="F71" s="13">
        <f t="shared" ref="F71:F72" si="10">SUM(E71)</f>
        <v>34.5</v>
      </c>
      <c r="G71" s="13">
        <v>47.79</v>
      </c>
      <c r="H71" s="78">
        <f t="shared" si="8"/>
        <v>1.648755</v>
      </c>
      <c r="I71" s="13">
        <f t="shared" si="9"/>
        <v>1648.7549999999999</v>
      </c>
    </row>
    <row r="72" spans="1:9" hidden="1">
      <c r="A72" s="30"/>
      <c r="B72" s="14" t="s">
        <v>55</v>
      </c>
      <c r="C72" s="16" t="s">
        <v>56</v>
      </c>
      <c r="D72" s="14" t="s">
        <v>52</v>
      </c>
      <c r="E72" s="18">
        <v>5</v>
      </c>
      <c r="F72" s="13">
        <f t="shared" si="10"/>
        <v>5</v>
      </c>
      <c r="G72" s="13">
        <v>53.32</v>
      </c>
      <c r="H72" s="78">
        <f t="shared" si="8"/>
        <v>0.2666</v>
      </c>
      <c r="I72" s="13">
        <f t="shared" si="9"/>
        <v>266.60000000000002</v>
      </c>
    </row>
    <row r="73" spans="1:9">
      <c r="A73" s="30"/>
      <c r="B73" s="102" t="s">
        <v>152</v>
      </c>
      <c r="C73" s="49"/>
      <c r="D73" s="14"/>
      <c r="E73" s="18"/>
      <c r="F73" s="13"/>
      <c r="G73" s="13"/>
      <c r="H73" s="78"/>
      <c r="I73" s="13"/>
    </row>
    <row r="74" spans="1:9">
      <c r="A74" s="30">
        <v>32</v>
      </c>
      <c r="B74" s="14" t="s">
        <v>153</v>
      </c>
      <c r="C74" s="30" t="s">
        <v>154</v>
      </c>
      <c r="D74" s="14" t="s">
        <v>65</v>
      </c>
      <c r="E74" s="18">
        <v>4731.7</v>
      </c>
      <c r="F74" s="13">
        <f>SUM(E74*12)</f>
        <v>56780.399999999994</v>
      </c>
      <c r="G74" s="13">
        <v>2.2799999999999998</v>
      </c>
      <c r="H74" s="78">
        <f t="shared" ref="H74" si="11">SUM(F74*G74/1000)</f>
        <v>129.45931199999998</v>
      </c>
      <c r="I74" s="13">
        <f>F74/12*G74</f>
        <v>10788.275999999998</v>
      </c>
    </row>
    <row r="75" spans="1:9">
      <c r="A75" s="30"/>
      <c r="B75" s="116" t="s">
        <v>69</v>
      </c>
      <c r="C75" s="16"/>
      <c r="D75" s="14"/>
      <c r="E75" s="18"/>
      <c r="F75" s="13"/>
      <c r="G75" s="13"/>
      <c r="H75" s="78" t="s">
        <v>122</v>
      </c>
      <c r="I75" s="13"/>
    </row>
    <row r="76" spans="1:9" ht="30" hidden="1">
      <c r="A76" s="30"/>
      <c r="B76" s="14" t="s">
        <v>155</v>
      </c>
      <c r="C76" s="16" t="s">
        <v>101</v>
      </c>
      <c r="D76" s="14" t="s">
        <v>65</v>
      </c>
      <c r="E76" s="18">
        <v>1</v>
      </c>
      <c r="F76" s="13">
        <v>1</v>
      </c>
      <c r="G76" s="13">
        <v>1543.4</v>
      </c>
      <c r="H76" s="78">
        <f t="shared" ref="H76:H79" si="12">SUM(F76*G76/1000)</f>
        <v>1.5434000000000001</v>
      </c>
      <c r="I76" s="13">
        <v>0</v>
      </c>
    </row>
    <row r="77" spans="1:9" hidden="1">
      <c r="A77" s="30">
        <v>19</v>
      </c>
      <c r="B77" s="47" t="s">
        <v>156</v>
      </c>
      <c r="C77" s="49" t="s">
        <v>101</v>
      </c>
      <c r="D77" s="14" t="s">
        <v>65</v>
      </c>
      <c r="E77" s="18">
        <v>4</v>
      </c>
      <c r="F77" s="13">
        <v>1</v>
      </c>
      <c r="G77" s="13">
        <v>130.96</v>
      </c>
      <c r="H77" s="78">
        <f>SUM(F77*G77/1000)</f>
        <v>0.13096000000000002</v>
      </c>
      <c r="I77" s="13">
        <v>0</v>
      </c>
    </row>
    <row r="78" spans="1:9" hidden="1">
      <c r="A78" s="30">
        <v>22</v>
      </c>
      <c r="B78" s="14" t="s">
        <v>70</v>
      </c>
      <c r="C78" s="16" t="s">
        <v>71</v>
      </c>
      <c r="D78" s="14" t="s">
        <v>65</v>
      </c>
      <c r="E78" s="18">
        <v>8</v>
      </c>
      <c r="F78" s="13">
        <f>E78/10</f>
        <v>0.8</v>
      </c>
      <c r="G78" s="13">
        <v>657.87</v>
      </c>
      <c r="H78" s="78">
        <f t="shared" si="12"/>
        <v>0.5262960000000001</v>
      </c>
      <c r="I78" s="13">
        <f>G78*0.3</f>
        <v>197.36099999999999</v>
      </c>
    </row>
    <row r="79" spans="1:9" hidden="1">
      <c r="A79" s="30"/>
      <c r="B79" s="14" t="s">
        <v>157</v>
      </c>
      <c r="C79" s="16" t="s">
        <v>101</v>
      </c>
      <c r="D79" s="14" t="s">
        <v>65</v>
      </c>
      <c r="E79" s="18">
        <v>1</v>
      </c>
      <c r="F79" s="66">
        <f>SUM(E79)</f>
        <v>1</v>
      </c>
      <c r="G79" s="13">
        <v>1118.72</v>
      </c>
      <c r="H79" s="78">
        <f t="shared" si="12"/>
        <v>1.1187199999999999</v>
      </c>
      <c r="I79" s="13">
        <v>0</v>
      </c>
    </row>
    <row r="80" spans="1:9" hidden="1">
      <c r="A80" s="30"/>
      <c r="B80" s="47" t="s">
        <v>158</v>
      </c>
      <c r="C80" s="49" t="s">
        <v>101</v>
      </c>
      <c r="D80" s="14" t="s">
        <v>65</v>
      </c>
      <c r="E80" s="18">
        <v>1</v>
      </c>
      <c r="F80" s="57">
        <v>1</v>
      </c>
      <c r="G80" s="13">
        <v>3757.02</v>
      </c>
      <c r="H80" s="78">
        <f>SUM(F80*G80/1000)</f>
        <v>3.7570199999999998</v>
      </c>
      <c r="I80" s="13">
        <v>0</v>
      </c>
    </row>
    <row r="81" spans="1:9">
      <c r="A81" s="30">
        <v>33</v>
      </c>
      <c r="B81" s="47" t="s">
        <v>159</v>
      </c>
      <c r="C81" s="49" t="s">
        <v>101</v>
      </c>
      <c r="D81" s="14" t="s">
        <v>30</v>
      </c>
      <c r="E81" s="99">
        <v>2</v>
      </c>
      <c r="F81" s="77">
        <f>E81*12</f>
        <v>24</v>
      </c>
      <c r="G81" s="100">
        <v>53.42</v>
      </c>
      <c r="H81" s="78">
        <f t="shared" ref="H81" si="13">SUM(F81*G81/1000)</f>
        <v>1.2820799999999999</v>
      </c>
      <c r="I81" s="13">
        <f>G81*2</f>
        <v>106.84</v>
      </c>
    </row>
    <row r="82" spans="1:9" hidden="1">
      <c r="A82" s="30"/>
      <c r="B82" s="81" t="s">
        <v>72</v>
      </c>
      <c r="C82" s="16"/>
      <c r="D82" s="14"/>
      <c r="E82" s="18"/>
      <c r="F82" s="13"/>
      <c r="G82" s="13" t="s">
        <v>122</v>
      </c>
      <c r="H82" s="78" t="s">
        <v>122</v>
      </c>
      <c r="I82" s="13"/>
    </row>
    <row r="83" spans="1:9" hidden="1">
      <c r="A83" s="30"/>
      <c r="B83" s="44" t="s">
        <v>114</v>
      </c>
      <c r="C83" s="16" t="s">
        <v>73</v>
      </c>
      <c r="D83" s="14"/>
      <c r="E83" s="18"/>
      <c r="F83" s="13">
        <v>0.3</v>
      </c>
      <c r="G83" s="13">
        <v>3619.09</v>
      </c>
      <c r="H83" s="78">
        <f t="shared" si="8"/>
        <v>1.0857270000000001</v>
      </c>
      <c r="I83" s="13">
        <v>0</v>
      </c>
    </row>
    <row r="84" spans="1:9" ht="28.5" hidden="1">
      <c r="A84" s="30"/>
      <c r="B84" s="103" t="s">
        <v>90</v>
      </c>
      <c r="C84" s="81"/>
      <c r="D84" s="32"/>
      <c r="E84" s="33"/>
      <c r="F84" s="69"/>
      <c r="G84" s="69"/>
      <c r="H84" s="82">
        <f>SUM(H57:H83)</f>
        <v>323.54627624000005</v>
      </c>
      <c r="I84" s="69"/>
    </row>
    <row r="85" spans="1:9" hidden="1">
      <c r="A85" s="30"/>
      <c r="B85" s="63" t="s">
        <v>107</v>
      </c>
      <c r="C85" s="16"/>
      <c r="D85" s="14"/>
      <c r="E85" s="58"/>
      <c r="F85" s="13">
        <v>1</v>
      </c>
      <c r="G85" s="13">
        <v>20512</v>
      </c>
      <c r="H85" s="78">
        <f>G85*F85/1000</f>
        <v>20.512</v>
      </c>
      <c r="I85" s="13">
        <v>0</v>
      </c>
    </row>
    <row r="86" spans="1:9">
      <c r="A86" s="194" t="s">
        <v>169</v>
      </c>
      <c r="B86" s="195"/>
      <c r="C86" s="195"/>
      <c r="D86" s="195"/>
      <c r="E86" s="195"/>
      <c r="F86" s="195"/>
      <c r="G86" s="195"/>
      <c r="H86" s="195"/>
      <c r="I86" s="196"/>
    </row>
    <row r="87" spans="1:9">
      <c r="A87" s="30">
        <v>34</v>
      </c>
      <c r="B87" s="63" t="s">
        <v>108</v>
      </c>
      <c r="C87" s="16" t="s">
        <v>53</v>
      </c>
      <c r="D87" s="101"/>
      <c r="E87" s="13">
        <v>4731.7</v>
      </c>
      <c r="F87" s="13">
        <f>SUM(E87*12)</f>
        <v>56780.399999999994</v>
      </c>
      <c r="G87" s="13">
        <v>3.1</v>
      </c>
      <c r="H87" s="78">
        <f>SUM(F87*G87/1000)</f>
        <v>176.01924</v>
      </c>
      <c r="I87" s="13">
        <f>F87/12*G87</f>
        <v>14668.27</v>
      </c>
    </row>
    <row r="88" spans="1:9" ht="30">
      <c r="A88" s="30">
        <v>35</v>
      </c>
      <c r="B88" s="14" t="s">
        <v>74</v>
      </c>
      <c r="C88" s="16"/>
      <c r="D88" s="44"/>
      <c r="E88" s="65">
        <f>E87</f>
        <v>4731.7</v>
      </c>
      <c r="F88" s="13">
        <f>E88*12</f>
        <v>56780.399999999994</v>
      </c>
      <c r="G88" s="13">
        <v>3.5</v>
      </c>
      <c r="H88" s="78">
        <f>F88*G88/1000</f>
        <v>198.73139999999995</v>
      </c>
      <c r="I88" s="13">
        <f>F88/12*G88</f>
        <v>16560.95</v>
      </c>
    </row>
    <row r="89" spans="1:9">
      <c r="A89" s="30"/>
      <c r="B89" s="37" t="s">
        <v>76</v>
      </c>
      <c r="C89" s="81"/>
      <c r="D89" s="80"/>
      <c r="E89" s="69"/>
      <c r="F89" s="69"/>
      <c r="G89" s="69"/>
      <c r="H89" s="82">
        <f>H88</f>
        <v>198.73139999999995</v>
      </c>
      <c r="I89" s="69">
        <f>I88+I87+I81+I74+I71+I70+I69+I68+I67+I65+I63+I53+I52+I51+I49+I48+I47+I46+I34+I33+I32+I31+I30+I27+I26+I25+I24+I23+I22+I21+I20+I19+I18+I17+I16</f>
        <v>252416.97252641115</v>
      </c>
    </row>
    <row r="90" spans="1:9">
      <c r="A90" s="191" t="s">
        <v>58</v>
      </c>
      <c r="B90" s="192"/>
      <c r="C90" s="192"/>
      <c r="D90" s="192"/>
      <c r="E90" s="192"/>
      <c r="F90" s="192"/>
      <c r="G90" s="192"/>
      <c r="H90" s="192"/>
      <c r="I90" s="193"/>
    </row>
    <row r="91" spans="1:9" ht="30">
      <c r="A91" s="30">
        <v>36</v>
      </c>
      <c r="B91" s="47" t="s">
        <v>189</v>
      </c>
      <c r="C91" s="49" t="s">
        <v>127</v>
      </c>
      <c r="D91" s="14"/>
      <c r="E91" s="18"/>
      <c r="F91" s="13">
        <v>160</v>
      </c>
      <c r="G91" s="35">
        <v>1187</v>
      </c>
      <c r="H91" s="78">
        <f>G91*F91/1000</f>
        <v>189.92</v>
      </c>
      <c r="I91" s="13">
        <f>G91*2</f>
        <v>2374</v>
      </c>
    </row>
    <row r="92" spans="1:9">
      <c r="A92" s="30">
        <v>37</v>
      </c>
      <c r="B92" s="47" t="s">
        <v>190</v>
      </c>
      <c r="C92" s="49" t="s">
        <v>101</v>
      </c>
      <c r="D92" s="36"/>
      <c r="E92" s="17"/>
      <c r="F92" s="35">
        <v>15</v>
      </c>
      <c r="G92" s="35">
        <v>95.25</v>
      </c>
      <c r="H92" s="86">
        <f t="shared" ref="H92:H93" si="14">G92*F92/1000</f>
        <v>1.42875</v>
      </c>
      <c r="I92" s="13">
        <f>G92</f>
        <v>95.25</v>
      </c>
    </row>
    <row r="93" spans="1:9">
      <c r="A93" s="30">
        <v>38</v>
      </c>
      <c r="B93" s="47" t="s">
        <v>191</v>
      </c>
      <c r="C93" s="49" t="s">
        <v>101</v>
      </c>
      <c r="D93" s="44"/>
      <c r="E93" s="35"/>
      <c r="F93" s="35">
        <v>1</v>
      </c>
      <c r="G93" s="35">
        <v>89.92</v>
      </c>
      <c r="H93" s="86">
        <f t="shared" si="14"/>
        <v>8.992E-2</v>
      </c>
      <c r="I93" s="13">
        <f>G93</f>
        <v>89.92</v>
      </c>
    </row>
    <row r="94" spans="1:9">
      <c r="A94" s="30">
        <v>39</v>
      </c>
      <c r="B94" s="47" t="s">
        <v>192</v>
      </c>
      <c r="C94" s="49" t="s">
        <v>101</v>
      </c>
      <c r="D94" s="44"/>
      <c r="E94" s="35"/>
      <c r="F94" s="35">
        <v>1</v>
      </c>
      <c r="G94" s="35">
        <v>151.31</v>
      </c>
      <c r="H94" s="35">
        <f>G94*F94/1000</f>
        <v>0.15131</v>
      </c>
      <c r="I94" s="13">
        <f>G94*3</f>
        <v>453.93</v>
      </c>
    </row>
    <row r="95" spans="1:9">
      <c r="A95" s="30">
        <v>40</v>
      </c>
      <c r="B95" s="47" t="s">
        <v>193</v>
      </c>
      <c r="C95" s="49" t="s">
        <v>101</v>
      </c>
      <c r="D95" s="44"/>
      <c r="E95" s="35"/>
      <c r="F95" s="35"/>
      <c r="G95" s="35">
        <v>169.24</v>
      </c>
      <c r="H95" s="35"/>
      <c r="I95" s="13">
        <f>G95*5</f>
        <v>846.2</v>
      </c>
    </row>
    <row r="96" spans="1:9">
      <c r="A96" s="30">
        <v>41</v>
      </c>
      <c r="B96" s="47" t="s">
        <v>194</v>
      </c>
      <c r="C96" s="49" t="s">
        <v>101</v>
      </c>
      <c r="D96" s="44"/>
      <c r="E96" s="35"/>
      <c r="F96" s="35"/>
      <c r="G96" s="35">
        <v>79.52</v>
      </c>
      <c r="H96" s="35"/>
      <c r="I96" s="13">
        <f>G96*2</f>
        <v>159.04</v>
      </c>
    </row>
    <row r="97" spans="1:9">
      <c r="A97" s="30">
        <v>42</v>
      </c>
      <c r="B97" s="47" t="s">
        <v>195</v>
      </c>
      <c r="C97" s="49" t="s">
        <v>101</v>
      </c>
      <c r="D97" s="44"/>
      <c r="E97" s="35"/>
      <c r="F97" s="35"/>
      <c r="G97" s="35">
        <v>79.52</v>
      </c>
      <c r="H97" s="35"/>
      <c r="I97" s="13">
        <f>G97*2</f>
        <v>159.04</v>
      </c>
    </row>
    <row r="98" spans="1:9" ht="30">
      <c r="A98" s="30">
        <v>43</v>
      </c>
      <c r="B98" s="62" t="s">
        <v>138</v>
      </c>
      <c r="C98" s="30" t="s">
        <v>139</v>
      </c>
      <c r="D98" s="44"/>
      <c r="E98" s="35"/>
      <c r="F98" s="35"/>
      <c r="G98" s="13">
        <v>326.66000000000003</v>
      </c>
      <c r="H98" s="35"/>
      <c r="I98" s="13">
        <f>G98*1</f>
        <v>326.66000000000003</v>
      </c>
    </row>
    <row r="99" spans="1:9" ht="30">
      <c r="A99" s="30">
        <v>44</v>
      </c>
      <c r="B99" s="47" t="s">
        <v>126</v>
      </c>
      <c r="C99" s="49" t="s">
        <v>127</v>
      </c>
      <c r="D99" s="44"/>
      <c r="E99" s="35"/>
      <c r="F99" s="35"/>
      <c r="G99" s="13">
        <v>1272</v>
      </c>
      <c r="H99" s="35"/>
      <c r="I99" s="13">
        <f>G99*4</f>
        <v>5088</v>
      </c>
    </row>
    <row r="100" spans="1:9">
      <c r="A100" s="30">
        <v>45</v>
      </c>
      <c r="B100" s="47" t="s">
        <v>196</v>
      </c>
      <c r="C100" s="49" t="s">
        <v>101</v>
      </c>
      <c r="D100" s="44"/>
      <c r="E100" s="35"/>
      <c r="F100" s="35"/>
      <c r="G100" s="13">
        <v>8.44</v>
      </c>
      <c r="H100" s="35"/>
      <c r="I100" s="13">
        <f>G100*4</f>
        <v>33.76</v>
      </c>
    </row>
    <row r="101" spans="1:9">
      <c r="A101" s="30">
        <v>46</v>
      </c>
      <c r="B101" s="47" t="s">
        <v>197</v>
      </c>
      <c r="C101" s="49" t="s">
        <v>101</v>
      </c>
      <c r="D101" s="44"/>
      <c r="E101" s="35"/>
      <c r="F101" s="35"/>
      <c r="G101" s="13">
        <v>10.55</v>
      </c>
      <c r="H101" s="35"/>
      <c r="I101" s="13">
        <f>G101*2</f>
        <v>21.1</v>
      </c>
    </row>
    <row r="102" spans="1:9">
      <c r="A102" s="30">
        <v>47</v>
      </c>
      <c r="B102" s="112" t="s">
        <v>198</v>
      </c>
      <c r="C102" s="113" t="s">
        <v>199</v>
      </c>
      <c r="D102" s="44"/>
      <c r="E102" s="35"/>
      <c r="F102" s="35"/>
      <c r="G102" s="13">
        <v>802.98</v>
      </c>
      <c r="H102" s="35"/>
      <c r="I102" s="13">
        <f>G102*1</f>
        <v>802.98</v>
      </c>
    </row>
    <row r="103" spans="1:9" ht="30">
      <c r="A103" s="30" t="s">
        <v>222</v>
      </c>
      <c r="B103" s="47" t="s">
        <v>124</v>
      </c>
      <c r="C103" s="49" t="s">
        <v>101</v>
      </c>
      <c r="D103" s="44"/>
      <c r="E103" s="35"/>
      <c r="F103" s="35"/>
      <c r="G103" s="35">
        <v>55.55</v>
      </c>
      <c r="H103" s="35"/>
      <c r="I103" s="13">
        <f>G103*80</f>
        <v>4444</v>
      </c>
    </row>
    <row r="104" spans="1:9">
      <c r="A104" s="30">
        <v>49</v>
      </c>
      <c r="B104" s="47" t="s">
        <v>77</v>
      </c>
      <c r="C104" s="49" t="s">
        <v>101</v>
      </c>
      <c r="D104" s="44"/>
      <c r="E104" s="35"/>
      <c r="F104" s="35"/>
      <c r="G104" s="35">
        <v>197.48</v>
      </c>
      <c r="H104" s="35"/>
      <c r="I104" s="13">
        <f>G104*1</f>
        <v>197.48</v>
      </c>
    </row>
    <row r="105" spans="1:9" ht="30">
      <c r="A105" s="30">
        <v>50</v>
      </c>
      <c r="B105" s="112" t="s">
        <v>200</v>
      </c>
      <c r="C105" s="113" t="s">
        <v>177</v>
      </c>
      <c r="D105" s="44"/>
      <c r="E105" s="35"/>
      <c r="F105" s="35"/>
      <c r="G105" s="35">
        <v>835.68</v>
      </c>
      <c r="H105" s="35"/>
      <c r="I105" s="13">
        <f>G105*1</f>
        <v>835.68</v>
      </c>
    </row>
    <row r="106" spans="1:9">
      <c r="A106" s="30">
        <v>51</v>
      </c>
      <c r="B106" s="112" t="s">
        <v>201</v>
      </c>
      <c r="C106" s="113" t="s">
        <v>202</v>
      </c>
      <c r="D106" s="44"/>
      <c r="E106" s="35"/>
      <c r="F106" s="35"/>
      <c r="G106" s="35">
        <v>257.85000000000002</v>
      </c>
      <c r="H106" s="35"/>
      <c r="I106" s="13">
        <f>G106*15</f>
        <v>3867.7500000000005</v>
      </c>
    </row>
    <row r="107" spans="1:9" ht="30">
      <c r="A107" s="30">
        <v>52</v>
      </c>
      <c r="B107" s="112" t="s">
        <v>176</v>
      </c>
      <c r="C107" s="113" t="s">
        <v>177</v>
      </c>
      <c r="D107" s="44"/>
      <c r="E107" s="35"/>
      <c r="F107" s="35"/>
      <c r="G107" s="13">
        <v>613.44000000000005</v>
      </c>
      <c r="H107" s="35"/>
      <c r="I107" s="13">
        <f>G107*1</f>
        <v>613.44000000000005</v>
      </c>
    </row>
    <row r="108" spans="1:9">
      <c r="A108" s="30">
        <v>53</v>
      </c>
      <c r="B108" s="112" t="s">
        <v>203</v>
      </c>
      <c r="C108" s="113" t="s">
        <v>177</v>
      </c>
      <c r="D108" s="44"/>
      <c r="E108" s="35"/>
      <c r="F108" s="35"/>
      <c r="G108" s="13">
        <v>1008.38</v>
      </c>
      <c r="H108" s="35"/>
      <c r="I108" s="13">
        <f>G108*1</f>
        <v>1008.38</v>
      </c>
    </row>
    <row r="109" spans="1:9">
      <c r="A109" s="30"/>
      <c r="B109" s="42" t="s">
        <v>50</v>
      </c>
      <c r="C109" s="38"/>
      <c r="D109" s="45"/>
      <c r="E109" s="38">
        <v>1</v>
      </c>
      <c r="F109" s="38"/>
      <c r="G109" s="38"/>
      <c r="H109" s="38"/>
      <c r="I109" s="33">
        <f>SUM(I91:I108)-I103</f>
        <v>16972.61</v>
      </c>
    </row>
    <row r="110" spans="1:9">
      <c r="A110" s="30"/>
      <c r="B110" s="44" t="s">
        <v>75</v>
      </c>
      <c r="C110" s="15"/>
      <c r="D110" s="15"/>
      <c r="E110" s="39"/>
      <c r="F110" s="39"/>
      <c r="G110" s="40"/>
      <c r="H110" s="40"/>
      <c r="I110" s="17">
        <v>0</v>
      </c>
    </row>
    <row r="111" spans="1:9">
      <c r="A111" s="46"/>
      <c r="B111" s="43" t="s">
        <v>143</v>
      </c>
      <c r="C111" s="34"/>
      <c r="D111" s="34"/>
      <c r="E111" s="34"/>
      <c r="F111" s="34"/>
      <c r="G111" s="34"/>
      <c r="H111" s="34"/>
      <c r="I111" s="41">
        <f>I89+I109</f>
        <v>269389.58252641116</v>
      </c>
    </row>
    <row r="112" spans="1:9">
      <c r="A112" s="197" t="s">
        <v>223</v>
      </c>
      <c r="B112" s="198"/>
      <c r="C112" s="198"/>
      <c r="D112" s="198"/>
      <c r="E112" s="198"/>
      <c r="F112" s="198"/>
      <c r="G112" s="198"/>
      <c r="H112" s="198"/>
      <c r="I112" s="198"/>
    </row>
    <row r="113" spans="1:9" ht="15.75">
      <c r="A113" s="188" t="s">
        <v>220</v>
      </c>
      <c r="B113" s="188"/>
      <c r="C113" s="188"/>
      <c r="D113" s="188"/>
      <c r="E113" s="188"/>
      <c r="F113" s="188"/>
      <c r="G113" s="188"/>
      <c r="H113" s="188"/>
      <c r="I113" s="188"/>
    </row>
    <row r="114" spans="1:9" ht="15.75">
      <c r="A114" s="56"/>
      <c r="B114" s="189" t="s">
        <v>221</v>
      </c>
      <c r="C114" s="189"/>
      <c r="D114" s="189"/>
      <c r="E114" s="189"/>
      <c r="F114" s="189"/>
      <c r="G114" s="189"/>
      <c r="H114" s="61"/>
      <c r="I114" s="3"/>
    </row>
    <row r="115" spans="1:9">
      <c r="A115" s="114"/>
      <c r="B115" s="179" t="s">
        <v>6</v>
      </c>
      <c r="C115" s="179"/>
      <c r="D115" s="179"/>
      <c r="E115" s="179"/>
      <c r="F115" s="179"/>
      <c r="G115" s="179"/>
      <c r="H115" s="25"/>
      <c r="I115" s="5"/>
    </row>
    <row r="116" spans="1:9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ht="15.75">
      <c r="A117" s="190" t="s">
        <v>7</v>
      </c>
      <c r="B117" s="190"/>
      <c r="C117" s="190"/>
      <c r="D117" s="190"/>
      <c r="E117" s="190"/>
      <c r="F117" s="190"/>
      <c r="G117" s="190"/>
      <c r="H117" s="190"/>
      <c r="I117" s="190"/>
    </row>
    <row r="118" spans="1:9" ht="15.75">
      <c r="A118" s="190" t="s">
        <v>8</v>
      </c>
      <c r="B118" s="190"/>
      <c r="C118" s="190"/>
      <c r="D118" s="190"/>
      <c r="E118" s="190"/>
      <c r="F118" s="190"/>
      <c r="G118" s="190"/>
      <c r="H118" s="190"/>
      <c r="I118" s="190"/>
    </row>
    <row r="119" spans="1:9" ht="15.75">
      <c r="A119" s="183" t="s">
        <v>59</v>
      </c>
      <c r="B119" s="183"/>
      <c r="C119" s="183"/>
      <c r="D119" s="183"/>
      <c r="E119" s="183"/>
      <c r="F119" s="183"/>
      <c r="G119" s="183"/>
      <c r="H119" s="183"/>
      <c r="I119" s="183"/>
    </row>
    <row r="120" spans="1:9" ht="15.75">
      <c r="A120" s="11"/>
    </row>
    <row r="121" spans="1:9" ht="15.75">
      <c r="A121" s="177" t="s">
        <v>9</v>
      </c>
      <c r="B121" s="177"/>
      <c r="C121" s="177"/>
      <c r="D121" s="177"/>
      <c r="E121" s="177"/>
      <c r="F121" s="177"/>
      <c r="G121" s="177"/>
      <c r="H121" s="177"/>
      <c r="I121" s="177"/>
    </row>
    <row r="122" spans="1:9" ht="15.75">
      <c r="A122" s="4"/>
    </row>
    <row r="123" spans="1:9" ht="15.75">
      <c r="B123" s="117" t="s">
        <v>10</v>
      </c>
      <c r="C123" s="178" t="s">
        <v>131</v>
      </c>
      <c r="D123" s="178"/>
      <c r="E123" s="178"/>
      <c r="F123" s="59"/>
      <c r="I123" s="119"/>
    </row>
    <row r="124" spans="1:9">
      <c r="A124" s="114"/>
      <c r="C124" s="179" t="s">
        <v>11</v>
      </c>
      <c r="D124" s="179"/>
      <c r="E124" s="179"/>
      <c r="F124" s="25"/>
      <c r="I124" s="118" t="s">
        <v>12</v>
      </c>
    </row>
    <row r="125" spans="1:9" ht="15.75">
      <c r="A125" s="26"/>
      <c r="C125" s="12"/>
      <c r="D125" s="12"/>
      <c r="G125" s="12"/>
      <c r="H125" s="12"/>
    </row>
    <row r="126" spans="1:9" ht="15.75">
      <c r="B126" s="117" t="s">
        <v>13</v>
      </c>
      <c r="C126" s="180"/>
      <c r="D126" s="180"/>
      <c r="E126" s="180"/>
      <c r="F126" s="60"/>
      <c r="I126" s="119"/>
    </row>
    <row r="127" spans="1:9">
      <c r="A127" s="114"/>
      <c r="C127" s="181" t="s">
        <v>11</v>
      </c>
      <c r="D127" s="181"/>
      <c r="E127" s="181"/>
      <c r="F127" s="114"/>
      <c r="I127" s="118" t="s">
        <v>12</v>
      </c>
    </row>
    <row r="128" spans="1:9" ht="15.75">
      <c r="A128" s="4" t="s">
        <v>14</v>
      </c>
    </row>
    <row r="129" spans="1:9">
      <c r="A129" s="182" t="s">
        <v>15</v>
      </c>
      <c r="B129" s="182"/>
      <c r="C129" s="182"/>
      <c r="D129" s="182"/>
      <c r="E129" s="182"/>
      <c r="F129" s="182"/>
      <c r="G129" s="182"/>
      <c r="H129" s="182"/>
      <c r="I129" s="182"/>
    </row>
    <row r="130" spans="1:9" ht="47.25" customHeight="1">
      <c r="A130" s="176" t="s">
        <v>16</v>
      </c>
      <c r="B130" s="176"/>
      <c r="C130" s="176"/>
      <c r="D130" s="176"/>
      <c r="E130" s="176"/>
      <c r="F130" s="176"/>
      <c r="G130" s="176"/>
      <c r="H130" s="176"/>
      <c r="I130" s="176"/>
    </row>
    <row r="131" spans="1:9" ht="47.25" customHeight="1">
      <c r="A131" s="176" t="s">
        <v>17</v>
      </c>
      <c r="B131" s="176"/>
      <c r="C131" s="176"/>
      <c r="D131" s="176"/>
      <c r="E131" s="176"/>
      <c r="F131" s="176"/>
      <c r="G131" s="176"/>
      <c r="H131" s="176"/>
      <c r="I131" s="176"/>
    </row>
    <row r="132" spans="1:9" ht="42.75" customHeight="1">
      <c r="A132" s="176" t="s">
        <v>21</v>
      </c>
      <c r="B132" s="176"/>
      <c r="C132" s="176"/>
      <c r="D132" s="176"/>
      <c r="E132" s="176"/>
      <c r="F132" s="176"/>
      <c r="G132" s="176"/>
      <c r="H132" s="176"/>
      <c r="I132" s="176"/>
    </row>
    <row r="133" spans="1:9" ht="15.75">
      <c r="A133" s="176" t="s">
        <v>20</v>
      </c>
      <c r="B133" s="176"/>
      <c r="C133" s="176"/>
      <c r="D133" s="176"/>
      <c r="E133" s="176"/>
      <c r="F133" s="176"/>
      <c r="G133" s="176"/>
      <c r="H133" s="176"/>
      <c r="I133" s="176"/>
    </row>
  </sheetData>
  <mergeCells count="29">
    <mergeCell ref="A117:I117"/>
    <mergeCell ref="A119:I119"/>
    <mergeCell ref="A3:I3"/>
    <mergeCell ref="A8:I8"/>
    <mergeCell ref="A28:I28"/>
    <mergeCell ref="A4:I4"/>
    <mergeCell ref="A5:I5"/>
    <mergeCell ref="A10:I10"/>
    <mergeCell ref="A14:I14"/>
    <mergeCell ref="A15:I15"/>
    <mergeCell ref="A45:I45"/>
    <mergeCell ref="A55:I55"/>
    <mergeCell ref="A86:I86"/>
    <mergeCell ref="A132:I132"/>
    <mergeCell ref="A133:I133"/>
    <mergeCell ref="A90:I90"/>
    <mergeCell ref="A113:I113"/>
    <mergeCell ref="B114:G114"/>
    <mergeCell ref="B115:G115"/>
    <mergeCell ref="A118:I118"/>
    <mergeCell ref="A121:I121"/>
    <mergeCell ref="A129:I129"/>
    <mergeCell ref="A130:I130"/>
    <mergeCell ref="A131:I131"/>
    <mergeCell ref="C127:E127"/>
    <mergeCell ref="A112:I112"/>
    <mergeCell ref="C124:E124"/>
    <mergeCell ref="C123:E123"/>
    <mergeCell ref="C126:E126"/>
  </mergeCells>
  <pageMargins left="0.31496062992125984" right="0.31496062992125984" top="0.35433070866141736" bottom="0.35433070866141736" header="0.31496062992125984" footer="0.31496062992125984"/>
  <pageSetup paperSize="9" scale="65" orientation="portrait" horizontalDpi="0" verticalDpi="0" r:id="rId1"/>
  <rowBreaks count="1" manualBreakCount="1">
    <brk id="90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127"/>
  <sheetViews>
    <sheetView topLeftCell="A92" workbookViewId="0">
      <selection activeCell="C100" sqref="C100"/>
    </sheetView>
  </sheetViews>
  <sheetFormatPr defaultRowHeight="15"/>
  <cols>
    <col min="1" max="1" width="13.28515625" customWidth="1"/>
    <col min="2" max="2" width="49" customWidth="1"/>
    <col min="3" max="3" width="18.28515625" customWidth="1"/>
    <col min="4" max="4" width="22.140625" customWidth="1"/>
    <col min="5" max="5" width="0" hidden="1" customWidth="1"/>
    <col min="6" max="6" width="10.5703125" hidden="1" customWidth="1"/>
    <col min="7" max="7" width="21" customWidth="1"/>
    <col min="8" max="8" width="0" hidden="1" customWidth="1"/>
    <col min="9" max="9" width="21.140625" customWidth="1"/>
  </cols>
  <sheetData>
    <row r="1" spans="1:9" ht="15.75">
      <c r="A1" s="28" t="s">
        <v>82</v>
      </c>
      <c r="I1" s="27"/>
    </row>
    <row r="2" spans="1:9" ht="15.75">
      <c r="A2" s="29" t="s">
        <v>60</v>
      </c>
    </row>
    <row r="3" spans="1:9" ht="15.75">
      <c r="A3" s="199" t="s">
        <v>204</v>
      </c>
      <c r="B3" s="199"/>
      <c r="C3" s="199"/>
      <c r="D3" s="199"/>
      <c r="E3" s="199"/>
      <c r="F3" s="199"/>
      <c r="G3" s="199"/>
      <c r="H3" s="199"/>
      <c r="I3" s="199"/>
    </row>
    <row r="4" spans="1:9" ht="33" customHeight="1">
      <c r="A4" s="200" t="s">
        <v>245</v>
      </c>
      <c r="B4" s="200"/>
      <c r="C4" s="200"/>
      <c r="D4" s="200"/>
      <c r="E4" s="200"/>
      <c r="F4" s="200"/>
      <c r="G4" s="200"/>
      <c r="H4" s="200"/>
      <c r="I4" s="200"/>
    </row>
    <row r="5" spans="1:9" ht="15.75">
      <c r="A5" s="199" t="s">
        <v>205</v>
      </c>
      <c r="B5" s="201"/>
      <c r="C5" s="201"/>
      <c r="D5" s="201"/>
      <c r="E5" s="201"/>
      <c r="F5" s="201"/>
      <c r="G5" s="201"/>
      <c r="H5" s="201"/>
      <c r="I5" s="201"/>
    </row>
    <row r="6" spans="1:9" ht="15.75">
      <c r="A6" s="2"/>
      <c r="B6" s="126"/>
      <c r="C6" s="126"/>
      <c r="D6" s="126"/>
      <c r="E6" s="126"/>
      <c r="F6" s="126"/>
      <c r="G6" s="126"/>
      <c r="H6" s="126"/>
      <c r="I6" s="31">
        <v>43281</v>
      </c>
    </row>
    <row r="7" spans="1:9" ht="15.75">
      <c r="B7" s="128"/>
      <c r="C7" s="128"/>
      <c r="D7" s="128"/>
      <c r="E7" s="3"/>
      <c r="F7" s="3"/>
      <c r="G7" s="3"/>
      <c r="H7" s="3"/>
    </row>
    <row r="8" spans="1:9" ht="83.25" customHeight="1">
      <c r="A8" s="202" t="s">
        <v>302</v>
      </c>
      <c r="B8" s="202"/>
      <c r="C8" s="202"/>
      <c r="D8" s="202"/>
      <c r="E8" s="202"/>
      <c r="F8" s="202"/>
      <c r="G8" s="202"/>
      <c r="H8" s="202"/>
      <c r="I8" s="202"/>
    </row>
    <row r="9" spans="1:9" ht="15.75">
      <c r="A9" s="4"/>
    </row>
    <row r="10" spans="1:9" ht="69.75" customHeight="1">
      <c r="A10" s="203" t="s">
        <v>144</v>
      </c>
      <c r="B10" s="203"/>
      <c r="C10" s="203"/>
      <c r="D10" s="203"/>
      <c r="E10" s="203"/>
      <c r="F10" s="203"/>
      <c r="G10" s="203"/>
      <c r="H10" s="203"/>
      <c r="I10" s="203"/>
    </row>
    <row r="11" spans="1:9" ht="15.75">
      <c r="A11" s="4"/>
    </row>
    <row r="12" spans="1:9" ht="66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4" t="s">
        <v>57</v>
      </c>
      <c r="B14" s="204"/>
      <c r="C14" s="204"/>
      <c r="D14" s="204"/>
      <c r="E14" s="204"/>
      <c r="F14" s="204"/>
      <c r="G14" s="204"/>
      <c r="H14" s="204"/>
      <c r="I14" s="204"/>
    </row>
    <row r="15" spans="1:9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</row>
    <row r="16" spans="1:9" ht="30" customHeight="1">
      <c r="A16" s="30">
        <v>1</v>
      </c>
      <c r="B16" s="63" t="s">
        <v>83</v>
      </c>
      <c r="C16" s="64" t="s">
        <v>84</v>
      </c>
      <c r="D16" s="120" t="s">
        <v>186</v>
      </c>
      <c r="E16" s="65">
        <v>143.78</v>
      </c>
      <c r="F16" s="66">
        <f>SUM(E16*156/100)</f>
        <v>224.29679999999999</v>
      </c>
      <c r="G16" s="123">
        <v>230</v>
      </c>
      <c r="H16" s="67">
        <f t="shared" ref="H16:H24" si="0">SUM(F16*G16/1000)</f>
        <v>51.588263999999995</v>
      </c>
      <c r="I16" s="13">
        <f>149.531/12*G16</f>
        <v>2866.0108333333337</v>
      </c>
    </row>
    <row r="17" spans="1:9" ht="30" customHeight="1">
      <c r="A17" s="30">
        <v>2</v>
      </c>
      <c r="B17" s="63" t="s">
        <v>109</v>
      </c>
      <c r="C17" s="64" t="s">
        <v>84</v>
      </c>
      <c r="D17" s="120" t="s">
        <v>187</v>
      </c>
      <c r="E17" s="65">
        <v>575.12</v>
      </c>
      <c r="F17" s="66">
        <f>SUM(E17*104/100)</f>
        <v>598.12480000000005</v>
      </c>
      <c r="G17" s="123">
        <v>230</v>
      </c>
      <c r="H17" s="67">
        <f t="shared" si="0"/>
        <v>137.568704</v>
      </c>
      <c r="I17" s="13">
        <f>299.062/12*G17</f>
        <v>5732.0216666666674</v>
      </c>
    </row>
    <row r="18" spans="1:9" ht="26.25" customHeight="1">
      <c r="A18" s="30">
        <v>3</v>
      </c>
      <c r="B18" s="63" t="s">
        <v>110</v>
      </c>
      <c r="C18" s="64" t="s">
        <v>84</v>
      </c>
      <c r="D18" s="120" t="s">
        <v>188</v>
      </c>
      <c r="E18" s="65">
        <v>718.9</v>
      </c>
      <c r="F18" s="66">
        <f>SUM(E18*24/100)</f>
        <v>172.53599999999997</v>
      </c>
      <c r="G18" s="123">
        <v>661.67</v>
      </c>
      <c r="H18" s="67">
        <f t="shared" si="0"/>
        <v>114.16189511999997</v>
      </c>
      <c r="I18" s="13">
        <f>86.268/12*G18</f>
        <v>4756.7456299999994</v>
      </c>
    </row>
    <row r="19" spans="1:9" ht="19.5" hidden="1" customHeight="1">
      <c r="A19" s="30">
        <v>4</v>
      </c>
      <c r="B19" s="63" t="s">
        <v>91</v>
      </c>
      <c r="C19" s="64" t="s">
        <v>92</v>
      </c>
      <c r="D19" s="120" t="s">
        <v>93</v>
      </c>
      <c r="E19" s="65">
        <v>42.2</v>
      </c>
      <c r="F19" s="66">
        <f>SUM(E19/10)</f>
        <v>4.2200000000000006</v>
      </c>
      <c r="G19" s="123">
        <v>223.17</v>
      </c>
      <c r="H19" s="67">
        <f t="shared" si="0"/>
        <v>0.9417774000000001</v>
      </c>
      <c r="I19" s="13">
        <f>G19*4.22</f>
        <v>941.77739999999994</v>
      </c>
    </row>
    <row r="20" spans="1:9" hidden="1">
      <c r="A20" s="30">
        <v>5</v>
      </c>
      <c r="B20" s="63" t="s">
        <v>94</v>
      </c>
      <c r="C20" s="64" t="s">
        <v>84</v>
      </c>
      <c r="D20" s="120" t="s">
        <v>41</v>
      </c>
      <c r="E20" s="65">
        <v>14</v>
      </c>
      <c r="F20" s="66">
        <f>SUM(E20*2/100)</f>
        <v>0.28000000000000003</v>
      </c>
      <c r="G20" s="123">
        <v>285.76</v>
      </c>
      <c r="H20" s="67">
        <f t="shared" si="0"/>
        <v>8.0012799999999995E-2</v>
      </c>
      <c r="I20" s="13">
        <f>0.28/2*G20</f>
        <v>40.006399999999999</v>
      </c>
    </row>
    <row r="21" spans="1:9" hidden="1">
      <c r="A21" s="30">
        <v>6</v>
      </c>
      <c r="B21" s="63" t="s">
        <v>95</v>
      </c>
      <c r="C21" s="64" t="s">
        <v>84</v>
      </c>
      <c r="D21" s="120" t="s">
        <v>41</v>
      </c>
      <c r="E21" s="65">
        <v>6</v>
      </c>
      <c r="F21" s="66">
        <f>SUM(E21*2/100)</f>
        <v>0.12</v>
      </c>
      <c r="G21" s="123">
        <v>283.44</v>
      </c>
      <c r="H21" s="67">
        <f>SUM(F21*G21/1000)</f>
        <v>3.4012799999999996E-2</v>
      </c>
      <c r="I21" s="13">
        <f>F21/2*G21</f>
        <v>17.006399999999999</v>
      </c>
    </row>
    <row r="22" spans="1:9" hidden="1">
      <c r="A22" s="30">
        <v>7</v>
      </c>
      <c r="B22" s="63" t="s">
        <v>96</v>
      </c>
      <c r="C22" s="64" t="s">
        <v>51</v>
      </c>
      <c r="D22" s="120" t="s">
        <v>93</v>
      </c>
      <c r="E22" s="65">
        <v>640</v>
      </c>
      <c r="F22" s="66">
        <f>SUM(E22/100)</f>
        <v>6.4</v>
      </c>
      <c r="G22" s="123">
        <v>353.14</v>
      </c>
      <c r="H22" s="67">
        <f t="shared" si="0"/>
        <v>2.2600959999999999</v>
      </c>
      <c r="I22" s="13">
        <f t="shared" ref="I22:I25" si="1">F22*G22</f>
        <v>2260.096</v>
      </c>
    </row>
    <row r="23" spans="1:9" hidden="1">
      <c r="A23" s="30">
        <v>8</v>
      </c>
      <c r="B23" s="63" t="s">
        <v>97</v>
      </c>
      <c r="C23" s="64" t="s">
        <v>51</v>
      </c>
      <c r="D23" s="120" t="s">
        <v>93</v>
      </c>
      <c r="E23" s="68">
        <v>49</v>
      </c>
      <c r="F23" s="66">
        <f>SUM(E23/100)</f>
        <v>0.49</v>
      </c>
      <c r="G23" s="123">
        <v>58.08</v>
      </c>
      <c r="H23" s="67">
        <f t="shared" si="0"/>
        <v>2.84592E-2</v>
      </c>
      <c r="I23" s="13">
        <f t="shared" si="1"/>
        <v>28.459199999999999</v>
      </c>
    </row>
    <row r="24" spans="1:9" hidden="1">
      <c r="A24" s="30">
        <v>9</v>
      </c>
      <c r="B24" s="63" t="s">
        <v>98</v>
      </c>
      <c r="C24" s="64" t="s">
        <v>51</v>
      </c>
      <c r="D24" s="120" t="s">
        <v>52</v>
      </c>
      <c r="E24" s="65">
        <v>19</v>
      </c>
      <c r="F24" s="66">
        <f>SUM(E24/100)</f>
        <v>0.19</v>
      </c>
      <c r="G24" s="132">
        <v>683.05</v>
      </c>
      <c r="H24" s="67">
        <f t="shared" si="0"/>
        <v>0.12977949999999999</v>
      </c>
      <c r="I24" s="13">
        <f>0.085*G24</f>
        <v>58.059249999999999</v>
      </c>
    </row>
    <row r="25" spans="1:9" ht="30" hidden="1">
      <c r="A25" s="30">
        <v>10</v>
      </c>
      <c r="B25" s="63" t="s">
        <v>113</v>
      </c>
      <c r="C25" s="64" t="s">
        <v>51</v>
      </c>
      <c r="D25" s="120" t="s">
        <v>52</v>
      </c>
      <c r="E25" s="65">
        <v>19</v>
      </c>
      <c r="F25" s="66">
        <f>E25/100</f>
        <v>0.19</v>
      </c>
      <c r="G25" s="123">
        <v>283.44</v>
      </c>
      <c r="H25" s="67">
        <f>G25*F25/1000</f>
        <v>5.3853600000000001E-2</v>
      </c>
      <c r="I25" s="13">
        <f t="shared" si="1"/>
        <v>53.8536</v>
      </c>
    </row>
    <row r="26" spans="1:9" ht="24.75" customHeight="1">
      <c r="A26" s="30">
        <v>4</v>
      </c>
      <c r="B26" s="63" t="s">
        <v>62</v>
      </c>
      <c r="C26" s="64" t="s">
        <v>33</v>
      </c>
      <c r="D26" s="63" t="s">
        <v>160</v>
      </c>
      <c r="E26" s="65">
        <v>0.1</v>
      </c>
      <c r="F26" s="66">
        <f>SUM(E26*182)</f>
        <v>18.2</v>
      </c>
      <c r="G26" s="66">
        <v>264.85000000000002</v>
      </c>
      <c r="H26" s="67">
        <f>SUM(F26*G26/1000)</f>
        <v>4.8202700000000007</v>
      </c>
      <c r="I26" s="13">
        <f>F26/12*G26</f>
        <v>401.68916666666667</v>
      </c>
    </row>
    <row r="27" spans="1:9">
      <c r="A27" s="30">
        <v>5</v>
      </c>
      <c r="B27" s="71" t="s">
        <v>23</v>
      </c>
      <c r="C27" s="64" t="s">
        <v>24</v>
      </c>
      <c r="D27" s="63"/>
      <c r="E27" s="65">
        <v>4731.7</v>
      </c>
      <c r="F27" s="66">
        <f>SUM(E27*12)</f>
        <v>56780.399999999994</v>
      </c>
      <c r="G27" s="66">
        <v>4.5199999999999996</v>
      </c>
      <c r="H27" s="67">
        <f>SUM(F27*G27/1000)</f>
        <v>256.64740799999993</v>
      </c>
      <c r="I27" s="13">
        <f>F27/12*G27</f>
        <v>21387.283999999996</v>
      </c>
    </row>
    <row r="28" spans="1:9">
      <c r="A28" s="184" t="s">
        <v>81</v>
      </c>
      <c r="B28" s="184"/>
      <c r="C28" s="184"/>
      <c r="D28" s="184"/>
      <c r="E28" s="184"/>
      <c r="F28" s="184"/>
      <c r="G28" s="184"/>
      <c r="H28" s="184"/>
      <c r="I28" s="184"/>
    </row>
    <row r="29" spans="1:9" ht="15.75" customHeight="1">
      <c r="A29" s="30"/>
      <c r="B29" s="83" t="s">
        <v>28</v>
      </c>
      <c r="C29" s="64"/>
      <c r="D29" s="63"/>
      <c r="E29" s="65"/>
      <c r="F29" s="66"/>
      <c r="G29" s="66"/>
      <c r="H29" s="67"/>
      <c r="I29" s="13"/>
    </row>
    <row r="30" spans="1:9" ht="20.25" customHeight="1">
      <c r="A30" s="30">
        <v>6</v>
      </c>
      <c r="B30" s="63" t="s">
        <v>100</v>
      </c>
      <c r="C30" s="64" t="s">
        <v>86</v>
      </c>
      <c r="D30" s="63" t="s">
        <v>141</v>
      </c>
      <c r="E30" s="66">
        <v>436.6</v>
      </c>
      <c r="F30" s="66">
        <f>SUM(E30*52/1000)</f>
        <v>22.703200000000002</v>
      </c>
      <c r="G30" s="123">
        <v>204.44</v>
      </c>
      <c r="H30" s="67">
        <f t="shared" ref="H30:H36" si="2">SUM(F30*G30/1000)</f>
        <v>4.641442208</v>
      </c>
      <c r="I30" s="13">
        <f>F30/6*G30</f>
        <v>773.57370133333336</v>
      </c>
    </row>
    <row r="31" spans="1:9" ht="45" customHeight="1">
      <c r="A31" s="30">
        <v>7</v>
      </c>
      <c r="B31" s="63" t="s">
        <v>111</v>
      </c>
      <c r="C31" s="64" t="s">
        <v>86</v>
      </c>
      <c r="D31" s="63" t="s">
        <v>142</v>
      </c>
      <c r="E31" s="66">
        <v>54.4</v>
      </c>
      <c r="F31" s="66">
        <f>SUM(E31*78/1000)</f>
        <v>4.2431999999999999</v>
      </c>
      <c r="G31" s="123">
        <v>339.21</v>
      </c>
      <c r="H31" s="67">
        <f t="shared" si="2"/>
        <v>1.4393358719999998</v>
      </c>
      <c r="I31" s="13">
        <f t="shared" ref="I31:I34" si="3">F31/6*G31</f>
        <v>239.88931199999996</v>
      </c>
    </row>
    <row r="32" spans="1:9" hidden="1">
      <c r="A32" s="30">
        <v>15</v>
      </c>
      <c r="B32" s="63" t="s">
        <v>27</v>
      </c>
      <c r="C32" s="64" t="s">
        <v>86</v>
      </c>
      <c r="D32" s="63" t="s">
        <v>52</v>
      </c>
      <c r="E32" s="66">
        <v>436.6</v>
      </c>
      <c r="F32" s="66">
        <f>SUM(E32/1000)</f>
        <v>0.43660000000000004</v>
      </c>
      <c r="G32" s="123">
        <v>3961.23</v>
      </c>
      <c r="H32" s="67">
        <f t="shared" si="2"/>
        <v>1.7294730180000002</v>
      </c>
      <c r="I32" s="13">
        <f>F32*G32</f>
        <v>1729.4730180000001</v>
      </c>
    </row>
    <row r="33" spans="1:9" ht="17.25" customHeight="1">
      <c r="A33" s="30">
        <v>8</v>
      </c>
      <c r="B33" s="63" t="s">
        <v>123</v>
      </c>
      <c r="C33" s="64" t="s">
        <v>39</v>
      </c>
      <c r="D33" s="63" t="s">
        <v>61</v>
      </c>
      <c r="E33" s="66">
        <v>4</v>
      </c>
      <c r="F33" s="66">
        <f>E33*155/100</f>
        <v>6.2</v>
      </c>
      <c r="G33" s="123">
        <v>1707.63</v>
      </c>
      <c r="H33" s="67">
        <f>G33*F33/1000</f>
        <v>10.587306</v>
      </c>
      <c r="I33" s="13">
        <f t="shared" si="3"/>
        <v>1764.5510000000004</v>
      </c>
    </row>
    <row r="34" spans="1:9" ht="19.5" customHeight="1">
      <c r="A34" s="30">
        <v>9</v>
      </c>
      <c r="B34" s="63" t="s">
        <v>99</v>
      </c>
      <c r="C34" s="64" t="s">
        <v>31</v>
      </c>
      <c r="D34" s="63" t="s">
        <v>61</v>
      </c>
      <c r="E34" s="70">
        <f>1/3</f>
        <v>0.33333333333333331</v>
      </c>
      <c r="F34" s="66">
        <f>155/3</f>
        <v>51.666666666666664</v>
      </c>
      <c r="G34" s="123">
        <v>74.349999999999994</v>
      </c>
      <c r="H34" s="67">
        <f>SUM(G34*155/3/1000)</f>
        <v>3.8414166666666665</v>
      </c>
      <c r="I34" s="13">
        <f t="shared" si="3"/>
        <v>640.23611111111109</v>
      </c>
    </row>
    <row r="35" spans="1:9" hidden="1">
      <c r="A35" s="30"/>
      <c r="B35" s="63" t="s">
        <v>63</v>
      </c>
      <c r="C35" s="64" t="s">
        <v>33</v>
      </c>
      <c r="D35" s="63" t="s">
        <v>65</v>
      </c>
      <c r="E35" s="65"/>
      <c r="F35" s="66">
        <v>2</v>
      </c>
      <c r="G35" s="66">
        <v>250.92</v>
      </c>
      <c r="H35" s="67">
        <f t="shared" si="2"/>
        <v>0.50183999999999995</v>
      </c>
      <c r="I35" s="13">
        <v>0</v>
      </c>
    </row>
    <row r="36" spans="1:9" hidden="1">
      <c r="A36" s="30"/>
      <c r="B36" s="63" t="s">
        <v>64</v>
      </c>
      <c r="C36" s="64" t="s">
        <v>32</v>
      </c>
      <c r="D36" s="63" t="s">
        <v>65</v>
      </c>
      <c r="E36" s="65"/>
      <c r="F36" s="66">
        <v>1</v>
      </c>
      <c r="G36" s="66">
        <v>1490.31</v>
      </c>
      <c r="H36" s="67">
        <f t="shared" si="2"/>
        <v>1.49031</v>
      </c>
      <c r="I36" s="13">
        <v>0</v>
      </c>
    </row>
    <row r="37" spans="1:9" ht="19.5" hidden="1" customHeight="1">
      <c r="A37" s="30"/>
      <c r="B37" s="83" t="s">
        <v>5</v>
      </c>
      <c r="C37" s="64"/>
      <c r="D37" s="63"/>
      <c r="E37" s="65"/>
      <c r="F37" s="66"/>
      <c r="G37" s="66"/>
      <c r="H37" s="67" t="s">
        <v>122</v>
      </c>
      <c r="I37" s="13"/>
    </row>
    <row r="38" spans="1:9" hidden="1">
      <c r="A38" s="30">
        <v>6</v>
      </c>
      <c r="B38" s="63" t="s">
        <v>26</v>
      </c>
      <c r="C38" s="64" t="s">
        <v>32</v>
      </c>
      <c r="D38" s="63"/>
      <c r="E38" s="65"/>
      <c r="F38" s="66">
        <v>5</v>
      </c>
      <c r="G38" s="66">
        <v>2003</v>
      </c>
      <c r="H38" s="67">
        <f t="shared" ref="H38:H44" si="4">SUM(F38*G38/1000)</f>
        <v>10.015000000000001</v>
      </c>
      <c r="I38" s="13">
        <f t="shared" ref="I38:I44" si="5">F38/6*G38</f>
        <v>1669.1666666666667</v>
      </c>
    </row>
    <row r="39" spans="1:9" hidden="1">
      <c r="A39" s="30">
        <v>7</v>
      </c>
      <c r="B39" s="63" t="s">
        <v>146</v>
      </c>
      <c r="C39" s="64" t="s">
        <v>29</v>
      </c>
      <c r="D39" s="63" t="s">
        <v>115</v>
      </c>
      <c r="E39" s="65">
        <v>54.4</v>
      </c>
      <c r="F39" s="66">
        <f>E39*30/1000</f>
        <v>1.6319999999999999</v>
      </c>
      <c r="G39" s="66">
        <v>2757.78</v>
      </c>
      <c r="H39" s="67">
        <f t="shared" si="4"/>
        <v>4.50069696</v>
      </c>
      <c r="I39" s="13">
        <f t="shared" si="5"/>
        <v>750.11615999999992</v>
      </c>
    </row>
    <row r="40" spans="1:9" ht="30" hidden="1">
      <c r="A40" s="30">
        <v>8</v>
      </c>
      <c r="B40" s="63" t="s">
        <v>66</v>
      </c>
      <c r="C40" s="64" t="s">
        <v>29</v>
      </c>
      <c r="D40" s="63" t="s">
        <v>85</v>
      </c>
      <c r="E40" s="66">
        <v>54.4</v>
      </c>
      <c r="F40" s="66">
        <f>SUM(E40*155/1000)</f>
        <v>8.4320000000000004</v>
      </c>
      <c r="G40" s="66">
        <v>460.02</v>
      </c>
      <c r="H40" s="67">
        <f t="shared" si="4"/>
        <v>3.87888864</v>
      </c>
      <c r="I40" s="13">
        <f t="shared" si="5"/>
        <v>646.48144000000002</v>
      </c>
    </row>
    <row r="41" spans="1:9" ht="60" hidden="1">
      <c r="A41" s="30">
        <v>9</v>
      </c>
      <c r="B41" s="63" t="s">
        <v>78</v>
      </c>
      <c r="C41" s="64" t="s">
        <v>86</v>
      </c>
      <c r="D41" s="63" t="s">
        <v>116</v>
      </c>
      <c r="E41" s="66">
        <v>31.2</v>
      </c>
      <c r="F41" s="66">
        <f>SUM(E41*35/1000)</f>
        <v>1.0920000000000001</v>
      </c>
      <c r="G41" s="66">
        <v>7611.16</v>
      </c>
      <c r="H41" s="67">
        <f t="shared" si="4"/>
        <v>8.3113867199999998</v>
      </c>
      <c r="I41" s="13">
        <f t="shared" si="5"/>
        <v>1385.2311200000001</v>
      </c>
    </row>
    <row r="42" spans="1:9" hidden="1">
      <c r="A42" s="30">
        <v>10</v>
      </c>
      <c r="B42" s="63" t="s">
        <v>87</v>
      </c>
      <c r="C42" s="64" t="s">
        <v>86</v>
      </c>
      <c r="D42" s="63" t="s">
        <v>67</v>
      </c>
      <c r="E42" s="66">
        <v>54.4</v>
      </c>
      <c r="F42" s="66">
        <f>SUM(E42*45/1000)</f>
        <v>2.448</v>
      </c>
      <c r="G42" s="66">
        <v>562.25</v>
      </c>
      <c r="H42" s="67">
        <f t="shared" si="4"/>
        <v>1.3763879999999999</v>
      </c>
      <c r="I42" s="13">
        <f>(F42/7.5*1.5)*G42</f>
        <v>275.27759999999995</v>
      </c>
    </row>
    <row r="43" spans="1:9" hidden="1">
      <c r="A43" s="30">
        <v>11</v>
      </c>
      <c r="B43" s="63" t="s">
        <v>68</v>
      </c>
      <c r="C43" s="64" t="s">
        <v>33</v>
      </c>
      <c r="D43" s="63"/>
      <c r="E43" s="65"/>
      <c r="F43" s="66">
        <v>0.9</v>
      </c>
      <c r="G43" s="66">
        <v>974.83</v>
      </c>
      <c r="H43" s="67">
        <f t="shared" si="4"/>
        <v>0.8773470000000001</v>
      </c>
      <c r="I43" s="13">
        <f>(F43/7.5*1.5)*G43</f>
        <v>175.46940000000004</v>
      </c>
    </row>
    <row r="44" spans="1:9" ht="30" hidden="1">
      <c r="A44" s="30">
        <v>12</v>
      </c>
      <c r="B44" s="47" t="s">
        <v>147</v>
      </c>
      <c r="C44" s="49" t="s">
        <v>29</v>
      </c>
      <c r="D44" s="63" t="s">
        <v>148</v>
      </c>
      <c r="E44" s="65">
        <v>3</v>
      </c>
      <c r="F44" s="66">
        <f>SUM(E44*12/1000)</f>
        <v>3.5999999999999997E-2</v>
      </c>
      <c r="G44" s="66">
        <v>260.2</v>
      </c>
      <c r="H44" s="67">
        <f t="shared" si="4"/>
        <v>9.3671999999999991E-3</v>
      </c>
      <c r="I44" s="13">
        <f t="shared" si="5"/>
        <v>1.5611999999999997</v>
      </c>
    </row>
    <row r="45" spans="1:9" hidden="1">
      <c r="A45" s="185" t="s">
        <v>128</v>
      </c>
      <c r="B45" s="186"/>
      <c r="C45" s="186"/>
      <c r="D45" s="186"/>
      <c r="E45" s="186"/>
      <c r="F45" s="186"/>
      <c r="G45" s="186"/>
      <c r="H45" s="186"/>
      <c r="I45" s="187"/>
    </row>
    <row r="46" spans="1:9" hidden="1">
      <c r="A46" s="30">
        <v>18</v>
      </c>
      <c r="B46" s="63" t="s">
        <v>117</v>
      </c>
      <c r="C46" s="64" t="s">
        <v>86</v>
      </c>
      <c r="D46" s="63" t="s">
        <v>41</v>
      </c>
      <c r="E46" s="65">
        <v>1320.9</v>
      </c>
      <c r="F46" s="66">
        <f>SUM(E46*2/1000)</f>
        <v>2.6418000000000004</v>
      </c>
      <c r="G46" s="35">
        <v>1114.1300000000001</v>
      </c>
      <c r="H46" s="67">
        <f t="shared" ref="H46:H54" si="6">SUM(F46*G46/1000)</f>
        <v>2.943308634000001</v>
      </c>
      <c r="I46" s="13">
        <f>2.6418/2*G46</f>
        <v>1471.654317</v>
      </c>
    </row>
    <row r="47" spans="1:9" hidden="1">
      <c r="A47" s="30">
        <v>19</v>
      </c>
      <c r="B47" s="63" t="s">
        <v>34</v>
      </c>
      <c r="C47" s="64" t="s">
        <v>86</v>
      </c>
      <c r="D47" s="63" t="s">
        <v>41</v>
      </c>
      <c r="E47" s="65">
        <v>52</v>
      </c>
      <c r="F47" s="66">
        <f>E47*2/1000</f>
        <v>0.104</v>
      </c>
      <c r="G47" s="35">
        <v>4419.05</v>
      </c>
      <c r="H47" s="67">
        <f t="shared" si="6"/>
        <v>0.45958120000000002</v>
      </c>
      <c r="I47" s="13">
        <f>0.104/2*G47</f>
        <v>229.79060000000001</v>
      </c>
    </row>
    <row r="48" spans="1:9" hidden="1">
      <c r="A48" s="30">
        <v>20</v>
      </c>
      <c r="B48" s="63" t="s">
        <v>35</v>
      </c>
      <c r="C48" s="64" t="s">
        <v>86</v>
      </c>
      <c r="D48" s="63" t="s">
        <v>41</v>
      </c>
      <c r="E48" s="65">
        <v>1520.8</v>
      </c>
      <c r="F48" s="66">
        <f>SUM(E48*2/1000)</f>
        <v>3.0415999999999999</v>
      </c>
      <c r="G48" s="35">
        <v>1803.69</v>
      </c>
      <c r="H48" s="67">
        <f t="shared" si="6"/>
        <v>5.4861035039999999</v>
      </c>
      <c r="I48" s="13">
        <f>3.0416/2*G48</f>
        <v>2743.0517519999999</v>
      </c>
    </row>
    <row r="49" spans="1:9" hidden="1">
      <c r="A49" s="30">
        <v>21</v>
      </c>
      <c r="B49" s="63" t="s">
        <v>36</v>
      </c>
      <c r="C49" s="64" t="s">
        <v>86</v>
      </c>
      <c r="D49" s="63" t="s">
        <v>41</v>
      </c>
      <c r="E49" s="65">
        <v>3433.81</v>
      </c>
      <c r="F49" s="66">
        <f>SUM(E49*2/1000)</f>
        <v>6.8676199999999996</v>
      </c>
      <c r="G49" s="35">
        <v>1243.43</v>
      </c>
      <c r="H49" s="67">
        <f t="shared" si="6"/>
        <v>8.5394047365999999</v>
      </c>
      <c r="I49" s="13">
        <f>6.86762/2*G49</f>
        <v>4269.7023682999998</v>
      </c>
    </row>
    <row r="50" spans="1:9" hidden="1">
      <c r="A50" s="30">
        <v>13</v>
      </c>
      <c r="B50" s="63" t="s">
        <v>54</v>
      </c>
      <c r="C50" s="64" t="s">
        <v>86</v>
      </c>
      <c r="D50" s="63" t="s">
        <v>133</v>
      </c>
      <c r="E50" s="65">
        <v>4731.7</v>
      </c>
      <c r="F50" s="66">
        <f>SUM(E50*5/1000)</f>
        <v>23.6585</v>
      </c>
      <c r="G50" s="35">
        <v>1803.69</v>
      </c>
      <c r="H50" s="67">
        <f t="shared" si="6"/>
        <v>42.672599865000002</v>
      </c>
      <c r="I50" s="13">
        <f>F50/5*G50</f>
        <v>8534.5199730000004</v>
      </c>
    </row>
    <row r="51" spans="1:9" ht="45" hidden="1">
      <c r="A51" s="30">
        <v>22</v>
      </c>
      <c r="B51" s="63" t="s">
        <v>88</v>
      </c>
      <c r="C51" s="64" t="s">
        <v>86</v>
      </c>
      <c r="D51" s="63" t="s">
        <v>41</v>
      </c>
      <c r="E51" s="65">
        <v>4731.7</v>
      </c>
      <c r="F51" s="66">
        <f>SUM(E51*2/1000)</f>
        <v>9.4634</v>
      </c>
      <c r="G51" s="35">
        <v>1591.6</v>
      </c>
      <c r="H51" s="67">
        <f t="shared" si="6"/>
        <v>15.061947439999999</v>
      </c>
      <c r="I51" s="13">
        <f>9.4634/2*G51</f>
        <v>7530.97372</v>
      </c>
    </row>
    <row r="52" spans="1:9" ht="30" hidden="1">
      <c r="A52" s="30">
        <v>23</v>
      </c>
      <c r="B52" s="63" t="s">
        <v>89</v>
      </c>
      <c r="C52" s="64" t="s">
        <v>37</v>
      </c>
      <c r="D52" s="63" t="s">
        <v>41</v>
      </c>
      <c r="E52" s="65">
        <v>20</v>
      </c>
      <c r="F52" s="66">
        <f>SUM(E52*2/100)</f>
        <v>0.4</v>
      </c>
      <c r="G52" s="35">
        <v>4058.32</v>
      </c>
      <c r="H52" s="67">
        <f>SUM(F52*G52/1000)</f>
        <v>1.6233280000000001</v>
      </c>
      <c r="I52" s="13">
        <f>0.4/2*G52</f>
        <v>811.6640000000001</v>
      </c>
    </row>
    <row r="53" spans="1:9" hidden="1">
      <c r="A53" s="30">
        <v>24</v>
      </c>
      <c r="B53" s="63" t="s">
        <v>38</v>
      </c>
      <c r="C53" s="64" t="s">
        <v>39</v>
      </c>
      <c r="D53" s="63" t="s">
        <v>41</v>
      </c>
      <c r="E53" s="65">
        <v>1</v>
      </c>
      <c r="F53" s="66">
        <v>0.02</v>
      </c>
      <c r="G53" s="35">
        <v>7412.92</v>
      </c>
      <c r="H53" s="67">
        <f t="shared" si="6"/>
        <v>0.14825839999999998</v>
      </c>
      <c r="I53" s="13">
        <f>0.02/2*G53</f>
        <v>74.129199999999997</v>
      </c>
    </row>
    <row r="54" spans="1:9" hidden="1">
      <c r="A54" s="30">
        <v>13</v>
      </c>
      <c r="B54" s="63" t="s">
        <v>40</v>
      </c>
      <c r="C54" s="64" t="s">
        <v>101</v>
      </c>
      <c r="D54" s="63" t="s">
        <v>52</v>
      </c>
      <c r="E54" s="65">
        <v>160</v>
      </c>
      <c r="F54" s="66">
        <f>SUM(E54)</f>
        <v>160</v>
      </c>
      <c r="G54" s="124">
        <v>86.15</v>
      </c>
      <c r="H54" s="67">
        <f t="shared" si="6"/>
        <v>13.784000000000001</v>
      </c>
      <c r="I54" s="13">
        <f>G54*160</f>
        <v>13784</v>
      </c>
    </row>
    <row r="55" spans="1:9">
      <c r="A55" s="185" t="s">
        <v>168</v>
      </c>
      <c r="B55" s="186"/>
      <c r="C55" s="186"/>
      <c r="D55" s="186"/>
      <c r="E55" s="186"/>
      <c r="F55" s="186"/>
      <c r="G55" s="186"/>
      <c r="H55" s="186"/>
      <c r="I55" s="187"/>
    </row>
    <row r="56" spans="1:9" hidden="1">
      <c r="A56" s="30"/>
      <c r="B56" s="83" t="s">
        <v>42</v>
      </c>
      <c r="C56" s="64"/>
      <c r="D56" s="63"/>
      <c r="E56" s="65"/>
      <c r="F56" s="66"/>
      <c r="G56" s="66"/>
      <c r="H56" s="67"/>
      <c r="I56" s="13"/>
    </row>
    <row r="57" spans="1:9" ht="45" hidden="1">
      <c r="A57" s="30">
        <v>14</v>
      </c>
      <c r="B57" s="63" t="s">
        <v>118</v>
      </c>
      <c r="C57" s="64" t="s">
        <v>84</v>
      </c>
      <c r="D57" s="63" t="s">
        <v>102</v>
      </c>
      <c r="E57" s="65">
        <v>107.21</v>
      </c>
      <c r="F57" s="66">
        <f>SUM(E57*6/100)</f>
        <v>6.4325999999999999</v>
      </c>
      <c r="G57" s="13">
        <v>2029.3</v>
      </c>
      <c r="H57" s="67">
        <f>SUM(F57*G57/1000)</f>
        <v>13.053675180000001</v>
      </c>
      <c r="I57" s="13">
        <f>F57/6*G57</f>
        <v>2175.6125299999999</v>
      </c>
    </row>
    <row r="58" spans="1:9" hidden="1">
      <c r="A58" s="30">
        <v>14</v>
      </c>
      <c r="B58" s="72" t="s">
        <v>120</v>
      </c>
      <c r="C58" s="73" t="s">
        <v>121</v>
      </c>
      <c r="D58" s="72" t="s">
        <v>41</v>
      </c>
      <c r="E58" s="74">
        <v>4</v>
      </c>
      <c r="F58" s="75">
        <v>0.8</v>
      </c>
      <c r="G58" s="13">
        <v>237.1</v>
      </c>
      <c r="H58" s="67">
        <f t="shared" ref="H58:H59" si="7">SUM(F58*G58/1000)</f>
        <v>0.18968000000000002</v>
      </c>
      <c r="I58" s="13">
        <f>F58/2*G58</f>
        <v>94.84</v>
      </c>
    </row>
    <row r="59" spans="1:9" hidden="1">
      <c r="A59" s="30">
        <v>15</v>
      </c>
      <c r="B59" s="63" t="s">
        <v>119</v>
      </c>
      <c r="C59" s="64" t="s">
        <v>84</v>
      </c>
      <c r="D59" s="63" t="s">
        <v>102</v>
      </c>
      <c r="E59" s="65">
        <v>3.8</v>
      </c>
      <c r="F59" s="66">
        <f>SUM(E59*6/100)</f>
        <v>0.22799999999999998</v>
      </c>
      <c r="G59" s="13">
        <v>2029.3</v>
      </c>
      <c r="H59" s="67">
        <f t="shared" si="7"/>
        <v>0.46268039999999994</v>
      </c>
      <c r="I59" s="13">
        <f>F59/6*G59</f>
        <v>77.113399999999999</v>
      </c>
    </row>
    <row r="60" spans="1:9" ht="24.75" hidden="1" customHeight="1">
      <c r="A60" s="30">
        <v>10</v>
      </c>
      <c r="B60" s="63" t="s">
        <v>149</v>
      </c>
      <c r="C60" s="64" t="s">
        <v>150</v>
      </c>
      <c r="D60" s="63" t="s">
        <v>65</v>
      </c>
      <c r="E60" s="65"/>
      <c r="F60" s="66">
        <v>3</v>
      </c>
      <c r="G60" s="13">
        <v>1582.05</v>
      </c>
      <c r="H60" s="67">
        <f>SUM(F60*G60/1000)</f>
        <v>4.7461499999999992</v>
      </c>
      <c r="I60" s="13">
        <f>G60*2</f>
        <v>3164.1</v>
      </c>
    </row>
    <row r="61" spans="1:9" ht="17.25" customHeight="1">
      <c r="A61" s="30"/>
      <c r="B61" s="84" t="s">
        <v>43</v>
      </c>
      <c r="C61" s="73"/>
      <c r="D61" s="72"/>
      <c r="E61" s="74"/>
      <c r="F61" s="75"/>
      <c r="G61" s="13"/>
      <c r="H61" s="76"/>
      <c r="I61" s="13"/>
    </row>
    <row r="62" spans="1:9" hidden="1">
      <c r="A62" s="30">
        <v>18</v>
      </c>
      <c r="B62" s="72" t="s">
        <v>151</v>
      </c>
      <c r="C62" s="73" t="s">
        <v>51</v>
      </c>
      <c r="D62" s="72" t="s">
        <v>52</v>
      </c>
      <c r="E62" s="74">
        <v>660.45</v>
      </c>
      <c r="F62" s="75">
        <f>E62/100</f>
        <v>6.6045000000000007</v>
      </c>
      <c r="G62" s="13">
        <v>1040.8399999999999</v>
      </c>
      <c r="H62" s="76">
        <f>F62*G62/1000</f>
        <v>6.87422778</v>
      </c>
      <c r="I62" s="13">
        <f>G62*(1.2/100)</f>
        <v>12.490079999999999</v>
      </c>
    </row>
    <row r="63" spans="1:9" ht="20.25" customHeight="1">
      <c r="A63" s="30">
        <v>10</v>
      </c>
      <c r="B63" s="72" t="s">
        <v>112</v>
      </c>
      <c r="C63" s="73" t="s">
        <v>25</v>
      </c>
      <c r="D63" s="72" t="s">
        <v>30</v>
      </c>
      <c r="E63" s="74">
        <v>200</v>
      </c>
      <c r="F63" s="77">
        <f>E63*12</f>
        <v>2400</v>
      </c>
      <c r="G63" s="57">
        <v>2.8</v>
      </c>
      <c r="H63" s="75">
        <f>F63*G63/1000</f>
        <v>6.72</v>
      </c>
      <c r="I63" s="13">
        <f>2856/12*G63</f>
        <v>666.4</v>
      </c>
    </row>
    <row r="64" spans="1:9" ht="16.5" customHeight="1">
      <c r="A64" s="30"/>
      <c r="B64" s="84" t="s">
        <v>44</v>
      </c>
      <c r="C64" s="73"/>
      <c r="D64" s="72"/>
      <c r="E64" s="74"/>
      <c r="F64" s="77"/>
      <c r="G64" s="77"/>
      <c r="H64" s="75" t="s">
        <v>122</v>
      </c>
      <c r="I64" s="13"/>
    </row>
    <row r="65" spans="1:9" ht="22.5" customHeight="1">
      <c r="A65" s="30">
        <v>11</v>
      </c>
      <c r="B65" s="14" t="s">
        <v>45</v>
      </c>
      <c r="C65" s="16" t="s">
        <v>101</v>
      </c>
      <c r="D65" s="14" t="s">
        <v>65</v>
      </c>
      <c r="E65" s="18">
        <v>10</v>
      </c>
      <c r="F65" s="66">
        <f>SUM(E65)</f>
        <v>10</v>
      </c>
      <c r="G65" s="13">
        <v>291.68</v>
      </c>
      <c r="H65" s="78">
        <f t="shared" ref="H65:H83" si="8">SUM(F65*G65/1000)</f>
        <v>2.9168000000000003</v>
      </c>
      <c r="I65" s="13">
        <f>G65*6</f>
        <v>1750.08</v>
      </c>
    </row>
    <row r="66" spans="1:9" hidden="1">
      <c r="A66" s="30"/>
      <c r="B66" s="14" t="s">
        <v>46</v>
      </c>
      <c r="C66" s="16" t="s">
        <v>101</v>
      </c>
      <c r="D66" s="14" t="s">
        <v>65</v>
      </c>
      <c r="E66" s="18">
        <v>9</v>
      </c>
      <c r="F66" s="66">
        <f>SUM(E66)</f>
        <v>9</v>
      </c>
      <c r="G66" s="13">
        <v>100.01</v>
      </c>
      <c r="H66" s="78">
        <f t="shared" si="8"/>
        <v>0.90009000000000006</v>
      </c>
      <c r="I66" s="13">
        <v>0</v>
      </c>
    </row>
    <row r="67" spans="1:9" hidden="1">
      <c r="A67" s="30">
        <v>26</v>
      </c>
      <c r="B67" s="14" t="s">
        <v>47</v>
      </c>
      <c r="C67" s="16" t="s">
        <v>103</v>
      </c>
      <c r="D67" s="14" t="s">
        <v>52</v>
      </c>
      <c r="E67" s="65">
        <v>19836</v>
      </c>
      <c r="F67" s="13">
        <f>SUM(E67/100)</f>
        <v>198.36</v>
      </c>
      <c r="G67" s="13">
        <v>278.24</v>
      </c>
      <c r="H67" s="78">
        <f t="shared" si="8"/>
        <v>55.191686400000009</v>
      </c>
      <c r="I67" s="13">
        <f>F67*G67</f>
        <v>55191.686400000006</v>
      </c>
    </row>
    <row r="68" spans="1:9" hidden="1">
      <c r="A68" s="30">
        <v>27</v>
      </c>
      <c r="B68" s="14" t="s">
        <v>48</v>
      </c>
      <c r="C68" s="16" t="s">
        <v>104</v>
      </c>
      <c r="D68" s="14"/>
      <c r="E68" s="65">
        <v>19836</v>
      </c>
      <c r="F68" s="13">
        <f>SUM(E68/1000)</f>
        <v>19.835999999999999</v>
      </c>
      <c r="G68" s="13">
        <v>216.68</v>
      </c>
      <c r="H68" s="78">
        <f t="shared" si="8"/>
        <v>4.2980644799999999</v>
      </c>
      <c r="I68" s="13">
        <f t="shared" ref="I68:I72" si="9">F68*G68</f>
        <v>4298.06448</v>
      </c>
    </row>
    <row r="69" spans="1:9" hidden="1">
      <c r="A69" s="30">
        <v>28</v>
      </c>
      <c r="B69" s="14" t="s">
        <v>49</v>
      </c>
      <c r="C69" s="16" t="s">
        <v>73</v>
      </c>
      <c r="D69" s="14" t="s">
        <v>52</v>
      </c>
      <c r="E69" s="65">
        <v>3155</v>
      </c>
      <c r="F69" s="13">
        <f>SUM(E69/100)</f>
        <v>31.55</v>
      </c>
      <c r="G69" s="13">
        <v>2720.94</v>
      </c>
      <c r="H69" s="78">
        <f t="shared" si="8"/>
        <v>85.845657000000003</v>
      </c>
      <c r="I69" s="13">
        <f t="shared" si="9"/>
        <v>85845.657000000007</v>
      </c>
    </row>
    <row r="70" spans="1:9" hidden="1">
      <c r="A70" s="30">
        <v>29</v>
      </c>
      <c r="B70" s="79" t="s">
        <v>105</v>
      </c>
      <c r="C70" s="16" t="s">
        <v>33</v>
      </c>
      <c r="D70" s="14"/>
      <c r="E70" s="65">
        <v>34.5</v>
      </c>
      <c r="F70" s="13">
        <f>SUM(E70)</f>
        <v>34.5</v>
      </c>
      <c r="G70" s="13">
        <v>44.31</v>
      </c>
      <c r="H70" s="78">
        <f t="shared" si="8"/>
        <v>1.5286950000000001</v>
      </c>
      <c r="I70" s="13">
        <f t="shared" si="9"/>
        <v>1528.6950000000002</v>
      </c>
    </row>
    <row r="71" spans="1:9" hidden="1">
      <c r="A71" s="30">
        <v>30</v>
      </c>
      <c r="B71" s="79" t="s">
        <v>106</v>
      </c>
      <c r="C71" s="16" t="s">
        <v>33</v>
      </c>
      <c r="D71" s="14"/>
      <c r="E71" s="65">
        <v>34.5</v>
      </c>
      <c r="F71" s="13">
        <f t="shared" ref="F71:F72" si="10">SUM(E71)</f>
        <v>34.5</v>
      </c>
      <c r="G71" s="13">
        <v>47.79</v>
      </c>
      <c r="H71" s="78">
        <f t="shared" si="8"/>
        <v>1.648755</v>
      </c>
      <c r="I71" s="13">
        <f t="shared" si="9"/>
        <v>1648.7549999999999</v>
      </c>
    </row>
    <row r="72" spans="1:9" ht="21" hidden="1" customHeight="1">
      <c r="A72" s="30">
        <v>12</v>
      </c>
      <c r="B72" s="14" t="s">
        <v>55</v>
      </c>
      <c r="C72" s="16" t="s">
        <v>56</v>
      </c>
      <c r="D72" s="14" t="s">
        <v>52</v>
      </c>
      <c r="E72" s="18">
        <v>5</v>
      </c>
      <c r="F72" s="13">
        <f t="shared" si="10"/>
        <v>5</v>
      </c>
      <c r="G72" s="13">
        <v>65.42</v>
      </c>
      <c r="H72" s="78">
        <f t="shared" si="8"/>
        <v>0.3271</v>
      </c>
      <c r="I72" s="13">
        <f t="shared" si="9"/>
        <v>327.10000000000002</v>
      </c>
    </row>
    <row r="73" spans="1:9" ht="18" customHeight="1">
      <c r="A73" s="30"/>
      <c r="B73" s="102" t="s">
        <v>152</v>
      </c>
      <c r="C73" s="49"/>
      <c r="D73" s="14"/>
      <c r="E73" s="18"/>
      <c r="F73" s="13"/>
      <c r="G73" s="13"/>
      <c r="H73" s="78"/>
      <c r="I73" s="13"/>
    </row>
    <row r="74" spans="1:9" ht="23.25" customHeight="1">
      <c r="A74" s="30">
        <v>12</v>
      </c>
      <c r="B74" s="14" t="s">
        <v>153</v>
      </c>
      <c r="C74" s="30" t="s">
        <v>154</v>
      </c>
      <c r="D74" s="14" t="s">
        <v>65</v>
      </c>
      <c r="E74" s="18">
        <v>4731.7</v>
      </c>
      <c r="F74" s="13">
        <f>SUM(E74*12)</f>
        <v>56780.399999999994</v>
      </c>
      <c r="G74" s="13">
        <v>2.2799999999999998</v>
      </c>
      <c r="H74" s="78">
        <f t="shared" ref="H74" si="11">SUM(F74*G74/1000)</f>
        <v>129.45931199999998</v>
      </c>
      <c r="I74" s="13">
        <f>F74/12*G74</f>
        <v>10788.275999999998</v>
      </c>
    </row>
    <row r="75" spans="1:9" ht="17.25" customHeight="1">
      <c r="A75" s="30"/>
      <c r="B75" s="127" t="s">
        <v>69</v>
      </c>
      <c r="C75" s="16"/>
      <c r="D75" s="14"/>
      <c r="E75" s="18"/>
      <c r="F75" s="13"/>
      <c r="G75" s="13"/>
      <c r="H75" s="78" t="s">
        <v>122</v>
      </c>
      <c r="I75" s="13"/>
    </row>
    <row r="76" spans="1:9" ht="30" hidden="1">
      <c r="A76" s="30"/>
      <c r="B76" s="14" t="s">
        <v>155</v>
      </c>
      <c r="C76" s="16" t="s">
        <v>101</v>
      </c>
      <c r="D76" s="14" t="s">
        <v>65</v>
      </c>
      <c r="E76" s="18">
        <v>1</v>
      </c>
      <c r="F76" s="13">
        <v>1</v>
      </c>
      <c r="G76" s="13">
        <v>1543.4</v>
      </c>
      <c r="H76" s="78">
        <f t="shared" ref="H76:H79" si="12">SUM(F76*G76/1000)</f>
        <v>1.5434000000000001</v>
      </c>
      <c r="I76" s="13">
        <v>0</v>
      </c>
    </row>
    <row r="77" spans="1:9" hidden="1">
      <c r="A77" s="30">
        <v>19</v>
      </c>
      <c r="B77" s="47" t="s">
        <v>156</v>
      </c>
      <c r="C77" s="49" t="s">
        <v>101</v>
      </c>
      <c r="D77" s="14" t="s">
        <v>65</v>
      </c>
      <c r="E77" s="18">
        <v>4</v>
      </c>
      <c r="F77" s="13">
        <v>1</v>
      </c>
      <c r="G77" s="13">
        <v>130.96</v>
      </c>
      <c r="H77" s="78">
        <f>SUM(F77*G77/1000)</f>
        <v>0.13096000000000002</v>
      </c>
      <c r="I77" s="13">
        <v>0</v>
      </c>
    </row>
    <row r="78" spans="1:9" hidden="1">
      <c r="A78" s="30">
        <v>22</v>
      </c>
      <c r="B78" s="14" t="s">
        <v>70</v>
      </c>
      <c r="C78" s="16" t="s">
        <v>71</v>
      </c>
      <c r="D78" s="14" t="s">
        <v>65</v>
      </c>
      <c r="E78" s="18">
        <v>8</v>
      </c>
      <c r="F78" s="13">
        <f>E78/10</f>
        <v>0.8</v>
      </c>
      <c r="G78" s="13">
        <v>657.87</v>
      </c>
      <c r="H78" s="78">
        <f t="shared" si="12"/>
        <v>0.5262960000000001</v>
      </c>
      <c r="I78" s="13">
        <f>G78*0.3</f>
        <v>197.36099999999999</v>
      </c>
    </row>
    <row r="79" spans="1:9" hidden="1">
      <c r="A79" s="30"/>
      <c r="B79" s="14" t="s">
        <v>157</v>
      </c>
      <c r="C79" s="16" t="s">
        <v>101</v>
      </c>
      <c r="D79" s="14" t="s">
        <v>65</v>
      </c>
      <c r="E79" s="18">
        <v>1</v>
      </c>
      <c r="F79" s="66">
        <f>SUM(E79)</f>
        <v>1</v>
      </c>
      <c r="G79" s="13">
        <v>1118.72</v>
      </c>
      <c r="H79" s="78">
        <f t="shared" si="12"/>
        <v>1.1187199999999999</v>
      </c>
      <c r="I79" s="13">
        <v>0</v>
      </c>
    </row>
    <row r="80" spans="1:9" hidden="1">
      <c r="A80" s="30"/>
      <c r="B80" s="47" t="s">
        <v>158</v>
      </c>
      <c r="C80" s="49" t="s">
        <v>101</v>
      </c>
      <c r="D80" s="14" t="s">
        <v>65</v>
      </c>
      <c r="E80" s="18">
        <v>1</v>
      </c>
      <c r="F80" s="57">
        <v>1</v>
      </c>
      <c r="G80" s="13">
        <v>3757.02</v>
      </c>
      <c r="H80" s="78">
        <f>SUM(F80*G80/1000)</f>
        <v>3.7570199999999998</v>
      </c>
      <c r="I80" s="13">
        <v>0</v>
      </c>
    </row>
    <row r="81" spans="1:9" ht="22.5" customHeight="1">
      <c r="A81" s="30">
        <v>13</v>
      </c>
      <c r="B81" s="47" t="s">
        <v>159</v>
      </c>
      <c r="C81" s="49" t="s">
        <v>101</v>
      </c>
      <c r="D81" s="14" t="s">
        <v>30</v>
      </c>
      <c r="E81" s="99">
        <v>2</v>
      </c>
      <c r="F81" s="77">
        <f>E81*12</f>
        <v>24</v>
      </c>
      <c r="G81" s="100">
        <v>53.42</v>
      </c>
      <c r="H81" s="78">
        <f t="shared" ref="H81" si="13">SUM(F81*G81/1000)</f>
        <v>1.2820799999999999</v>
      </c>
      <c r="I81" s="13">
        <f>G81*2</f>
        <v>106.84</v>
      </c>
    </row>
    <row r="82" spans="1:9" hidden="1">
      <c r="A82" s="30"/>
      <c r="B82" s="81" t="s">
        <v>72</v>
      </c>
      <c r="C82" s="16"/>
      <c r="D82" s="14"/>
      <c r="E82" s="18"/>
      <c r="F82" s="13"/>
      <c r="G82" s="13" t="s">
        <v>122</v>
      </c>
      <c r="H82" s="78" t="s">
        <v>122</v>
      </c>
      <c r="I82" s="13"/>
    </row>
    <row r="83" spans="1:9" hidden="1">
      <c r="A83" s="30"/>
      <c r="B83" s="44" t="s">
        <v>114</v>
      </c>
      <c r="C83" s="16" t="s">
        <v>73</v>
      </c>
      <c r="D83" s="14"/>
      <c r="E83" s="18"/>
      <c r="F83" s="13">
        <v>0.3</v>
      </c>
      <c r="G83" s="13">
        <v>3619.09</v>
      </c>
      <c r="H83" s="78">
        <f t="shared" si="8"/>
        <v>1.0857270000000001</v>
      </c>
      <c r="I83" s="13">
        <v>0</v>
      </c>
    </row>
    <row r="84" spans="1:9" ht="43.5" hidden="1" customHeight="1">
      <c r="A84" s="30"/>
      <c r="B84" s="103" t="s">
        <v>90</v>
      </c>
      <c r="C84" s="81"/>
      <c r="D84" s="32"/>
      <c r="E84" s="33"/>
      <c r="F84" s="69"/>
      <c r="G84" s="69"/>
      <c r="H84" s="82">
        <f>SUM(H57:H83)</f>
        <v>323.6067762400001</v>
      </c>
      <c r="I84" s="69"/>
    </row>
    <row r="85" spans="1:9" hidden="1">
      <c r="A85" s="30"/>
      <c r="B85" s="63" t="s">
        <v>107</v>
      </c>
      <c r="C85" s="16"/>
      <c r="D85" s="14"/>
      <c r="E85" s="58"/>
      <c r="F85" s="13">
        <v>1</v>
      </c>
      <c r="G85" s="13">
        <v>20512</v>
      </c>
      <c r="H85" s="78">
        <f>G85*F85/1000</f>
        <v>20.512</v>
      </c>
      <c r="I85" s="13">
        <v>0</v>
      </c>
    </row>
    <row r="86" spans="1:9">
      <c r="A86" s="194" t="s">
        <v>169</v>
      </c>
      <c r="B86" s="195"/>
      <c r="C86" s="195"/>
      <c r="D86" s="195"/>
      <c r="E86" s="195"/>
      <c r="F86" s="195"/>
      <c r="G86" s="195"/>
      <c r="H86" s="195"/>
      <c r="I86" s="196"/>
    </row>
    <row r="87" spans="1:9" ht="21" customHeight="1">
      <c r="A87" s="30">
        <v>14</v>
      </c>
      <c r="B87" s="63" t="s">
        <v>108</v>
      </c>
      <c r="C87" s="16" t="s">
        <v>53</v>
      </c>
      <c r="D87" s="101"/>
      <c r="E87" s="13">
        <v>4731.7</v>
      </c>
      <c r="F87" s="13">
        <f>SUM(E87*12)</f>
        <v>56780.399999999994</v>
      </c>
      <c r="G87" s="13">
        <v>3.1</v>
      </c>
      <c r="H87" s="78">
        <f>SUM(F87*G87/1000)</f>
        <v>176.01924</v>
      </c>
      <c r="I87" s="13">
        <f>F87/12*G87</f>
        <v>14668.27</v>
      </c>
    </row>
    <row r="88" spans="1:9" ht="35.25" customHeight="1">
      <c r="A88" s="30">
        <v>15</v>
      </c>
      <c r="B88" s="14" t="s">
        <v>74</v>
      </c>
      <c r="C88" s="16"/>
      <c r="D88" s="44"/>
      <c r="E88" s="65">
        <f>E87</f>
        <v>4731.7</v>
      </c>
      <c r="F88" s="13">
        <f>E88*12</f>
        <v>56780.399999999994</v>
      </c>
      <c r="G88" s="13">
        <v>3.5</v>
      </c>
      <c r="H88" s="78">
        <f>F88*G88/1000</f>
        <v>198.73139999999995</v>
      </c>
      <c r="I88" s="13">
        <f>F88/12*G88</f>
        <v>16560.95</v>
      </c>
    </row>
    <row r="89" spans="1:9">
      <c r="A89" s="30"/>
      <c r="B89" s="37" t="s">
        <v>76</v>
      </c>
      <c r="C89" s="81"/>
      <c r="D89" s="80"/>
      <c r="E89" s="69"/>
      <c r="F89" s="69"/>
      <c r="G89" s="69"/>
      <c r="H89" s="82">
        <f>H88</f>
        <v>198.73139999999995</v>
      </c>
      <c r="I89" s="69">
        <f>I88+I87+I81+I74+I65+I63+I34+I33+I31+I30+I27+I26+I18+I17+I16</f>
        <v>83102.817421111104</v>
      </c>
    </row>
    <row r="90" spans="1:9">
      <c r="A90" s="191" t="s">
        <v>58</v>
      </c>
      <c r="B90" s="192"/>
      <c r="C90" s="192"/>
      <c r="D90" s="192"/>
      <c r="E90" s="192"/>
      <c r="F90" s="192"/>
      <c r="G90" s="192"/>
      <c r="H90" s="192"/>
      <c r="I90" s="193"/>
    </row>
    <row r="91" spans="1:9" ht="31.5" customHeight="1">
      <c r="A91" s="30">
        <v>16</v>
      </c>
      <c r="B91" s="112" t="s">
        <v>206</v>
      </c>
      <c r="C91" s="113" t="s">
        <v>207</v>
      </c>
      <c r="D91" s="14"/>
      <c r="E91" s="18"/>
      <c r="F91" s="13">
        <v>160</v>
      </c>
      <c r="G91" s="35">
        <v>56.34</v>
      </c>
      <c r="H91" s="78">
        <f>G91*F91/1000</f>
        <v>9.014400000000002</v>
      </c>
      <c r="I91" s="13">
        <f>G91*1</f>
        <v>56.34</v>
      </c>
    </row>
    <row r="92" spans="1:9" ht="18" customHeight="1">
      <c r="A92" s="30">
        <v>17</v>
      </c>
      <c r="B92" s="104" t="s">
        <v>182</v>
      </c>
      <c r="C92" s="85" t="s">
        <v>71</v>
      </c>
      <c r="D92" s="36"/>
      <c r="E92" s="17"/>
      <c r="F92" s="35">
        <v>15</v>
      </c>
      <c r="G92" s="35">
        <v>4165.3999999999996</v>
      </c>
      <c r="H92" s="86">
        <f t="shared" ref="H92:H93" si="14">G92*F92/1000</f>
        <v>62.480999999999995</v>
      </c>
      <c r="I92" s="13">
        <f>G92*0.2</f>
        <v>833.07999999999993</v>
      </c>
    </row>
    <row r="93" spans="1:9" ht="18.75" customHeight="1">
      <c r="A93" s="30">
        <v>18</v>
      </c>
      <c r="B93" s="112" t="s">
        <v>208</v>
      </c>
      <c r="C93" s="113" t="s">
        <v>79</v>
      </c>
      <c r="D93" s="44"/>
      <c r="E93" s="35"/>
      <c r="F93" s="35">
        <v>1</v>
      </c>
      <c r="G93" s="35">
        <v>203.68</v>
      </c>
      <c r="H93" s="86">
        <f t="shared" si="14"/>
        <v>0.20368</v>
      </c>
      <c r="I93" s="13">
        <f>G93*3</f>
        <v>611.04</v>
      </c>
    </row>
    <row r="94" spans="1:9" ht="15.75" customHeight="1">
      <c r="A94" s="30">
        <v>19</v>
      </c>
      <c r="B94" s="47" t="s">
        <v>194</v>
      </c>
      <c r="C94" s="49" t="s">
        <v>101</v>
      </c>
      <c r="D94" s="44"/>
      <c r="E94" s="35"/>
      <c r="F94" s="35"/>
      <c r="G94" s="35">
        <v>79.52</v>
      </c>
      <c r="H94" s="35"/>
      <c r="I94" s="13">
        <f>G94*1</f>
        <v>79.52</v>
      </c>
    </row>
    <row r="95" spans="1:9">
      <c r="A95" s="30">
        <v>20</v>
      </c>
      <c r="B95" s="112" t="s">
        <v>209</v>
      </c>
      <c r="C95" s="113" t="s">
        <v>101</v>
      </c>
      <c r="D95" s="44"/>
      <c r="E95" s="35"/>
      <c r="F95" s="35"/>
      <c r="G95" s="35">
        <v>8.44</v>
      </c>
      <c r="H95" s="35"/>
      <c r="I95" s="13">
        <f>G95*1</f>
        <v>8.44</v>
      </c>
    </row>
    <row r="96" spans="1:9" ht="31.5" customHeight="1">
      <c r="A96" s="30" t="s">
        <v>210</v>
      </c>
      <c r="B96" s="47" t="s">
        <v>124</v>
      </c>
      <c r="C96" s="49" t="s">
        <v>101</v>
      </c>
      <c r="D96" s="44"/>
      <c r="E96" s="35"/>
      <c r="F96" s="35"/>
      <c r="G96" s="35">
        <v>55.55</v>
      </c>
      <c r="H96" s="35"/>
      <c r="I96" s="13">
        <f>G96*80</f>
        <v>4444</v>
      </c>
    </row>
    <row r="97" spans="1:9" ht="18.75" customHeight="1">
      <c r="A97" s="30">
        <v>22</v>
      </c>
      <c r="B97" s="47" t="s">
        <v>77</v>
      </c>
      <c r="C97" s="49" t="s">
        <v>101</v>
      </c>
      <c r="D97" s="44"/>
      <c r="E97" s="35"/>
      <c r="F97" s="35"/>
      <c r="G97" s="35">
        <v>197.48</v>
      </c>
      <c r="H97" s="35"/>
      <c r="I97" s="13">
        <f>G97*1</f>
        <v>197.48</v>
      </c>
    </row>
    <row r="98" spans="1:9" ht="35.25" customHeight="1">
      <c r="A98" s="30">
        <v>23</v>
      </c>
      <c r="B98" s="112" t="s">
        <v>200</v>
      </c>
      <c r="C98" s="113" t="s">
        <v>177</v>
      </c>
      <c r="D98" s="44"/>
      <c r="E98" s="35"/>
      <c r="F98" s="35"/>
      <c r="G98" s="35">
        <v>835.68</v>
      </c>
      <c r="H98" s="35"/>
      <c r="I98" s="13">
        <f>G98*2</f>
        <v>1671.36</v>
      </c>
    </row>
    <row r="99" spans="1:9" ht="31.5" customHeight="1">
      <c r="A99" s="30">
        <v>24</v>
      </c>
      <c r="B99" s="112" t="s">
        <v>176</v>
      </c>
      <c r="C99" s="113" t="s">
        <v>177</v>
      </c>
      <c r="D99" s="44"/>
      <c r="E99" s="35"/>
      <c r="F99" s="35"/>
      <c r="G99" s="13">
        <v>613.44000000000005</v>
      </c>
      <c r="H99" s="35"/>
      <c r="I99" s="13">
        <f>G99*2</f>
        <v>1226.8800000000001</v>
      </c>
    </row>
    <row r="100" spans="1:9" ht="32.25" customHeight="1">
      <c r="A100" s="30">
        <v>25</v>
      </c>
      <c r="B100" s="47" t="s">
        <v>126</v>
      </c>
      <c r="C100" s="113" t="s">
        <v>127</v>
      </c>
      <c r="D100" s="44"/>
      <c r="E100" s="35"/>
      <c r="F100" s="35"/>
      <c r="G100" s="13">
        <v>1272</v>
      </c>
      <c r="H100" s="35"/>
      <c r="I100" s="13">
        <f>G100*4</f>
        <v>5088</v>
      </c>
    </row>
    <row r="101" spans="1:9" ht="30" customHeight="1">
      <c r="A101" s="30">
        <v>26</v>
      </c>
      <c r="B101" s="47" t="s">
        <v>189</v>
      </c>
      <c r="C101" s="113"/>
      <c r="D101" s="44"/>
      <c r="E101" s="35"/>
      <c r="F101" s="35"/>
      <c r="G101" s="35">
        <v>1187</v>
      </c>
      <c r="H101" s="35"/>
      <c r="I101" s="13">
        <f>G101*2</f>
        <v>2374</v>
      </c>
    </row>
    <row r="102" spans="1:9" ht="18" customHeight="1">
      <c r="A102" s="30">
        <v>27</v>
      </c>
      <c r="B102" s="112" t="s">
        <v>203</v>
      </c>
      <c r="C102" s="113" t="s">
        <v>177</v>
      </c>
      <c r="D102" s="44"/>
      <c r="E102" s="35"/>
      <c r="F102" s="35"/>
      <c r="G102" s="13">
        <v>1008.38</v>
      </c>
      <c r="H102" s="35"/>
      <c r="I102" s="13">
        <f>G102*1</f>
        <v>1008.38</v>
      </c>
    </row>
    <row r="103" spans="1:9" ht="18" customHeight="1">
      <c r="A103" s="30"/>
      <c r="B103" s="32" t="s">
        <v>50</v>
      </c>
      <c r="C103" s="38"/>
      <c r="D103" s="45"/>
      <c r="E103" s="38">
        <v>1</v>
      </c>
      <c r="F103" s="38"/>
      <c r="G103" s="38"/>
      <c r="H103" s="38"/>
      <c r="I103" s="33">
        <f>SUM(I91:I102)-I96</f>
        <v>13154.52</v>
      </c>
    </row>
    <row r="104" spans="1:9">
      <c r="A104" s="30"/>
      <c r="B104" s="44" t="s">
        <v>75</v>
      </c>
      <c r="C104" s="15"/>
      <c r="D104" s="15"/>
      <c r="E104" s="39"/>
      <c r="F104" s="39"/>
      <c r="G104" s="40"/>
      <c r="H104" s="40"/>
      <c r="I104" s="17">
        <v>0</v>
      </c>
    </row>
    <row r="105" spans="1:9">
      <c r="A105" s="46"/>
      <c r="B105" s="43" t="s">
        <v>143</v>
      </c>
      <c r="C105" s="34"/>
      <c r="D105" s="34"/>
      <c r="E105" s="34"/>
      <c r="F105" s="34"/>
      <c r="G105" s="34"/>
      <c r="H105" s="34"/>
      <c r="I105" s="41">
        <f>I89+I103</f>
        <v>96257.337421111108</v>
      </c>
    </row>
    <row r="106" spans="1:9">
      <c r="A106" s="197" t="s">
        <v>211</v>
      </c>
      <c r="B106" s="198"/>
      <c r="C106" s="198"/>
      <c r="D106" s="198"/>
      <c r="E106" s="198"/>
      <c r="F106" s="198"/>
      <c r="G106" s="198"/>
      <c r="H106" s="198"/>
      <c r="I106" s="198"/>
    </row>
    <row r="107" spans="1:9" ht="15.75">
      <c r="A107" s="188" t="s">
        <v>218</v>
      </c>
      <c r="B107" s="188"/>
      <c r="C107" s="188"/>
      <c r="D107" s="188"/>
      <c r="E107" s="188"/>
      <c r="F107" s="188"/>
      <c r="G107" s="188"/>
      <c r="H107" s="188"/>
      <c r="I107" s="188"/>
    </row>
    <row r="108" spans="1:9" ht="15.75">
      <c r="A108" s="56"/>
      <c r="B108" s="189" t="s">
        <v>219</v>
      </c>
      <c r="C108" s="189"/>
      <c r="D108" s="189"/>
      <c r="E108" s="189"/>
      <c r="F108" s="189"/>
      <c r="G108" s="189"/>
      <c r="H108" s="61"/>
      <c r="I108" s="3"/>
    </row>
    <row r="109" spans="1:9">
      <c r="A109" s="125"/>
      <c r="B109" s="179" t="s">
        <v>6</v>
      </c>
      <c r="C109" s="179"/>
      <c r="D109" s="179"/>
      <c r="E109" s="179"/>
      <c r="F109" s="179"/>
      <c r="G109" s="179"/>
      <c r="H109" s="25"/>
      <c r="I109" s="5"/>
    </row>
    <row r="110" spans="1:9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ht="15.75">
      <c r="A111" s="190" t="s">
        <v>7</v>
      </c>
      <c r="B111" s="190"/>
      <c r="C111" s="190"/>
      <c r="D111" s="190"/>
      <c r="E111" s="190"/>
      <c r="F111" s="190"/>
      <c r="G111" s="190"/>
      <c r="H111" s="190"/>
      <c r="I111" s="190"/>
    </row>
    <row r="112" spans="1:9" ht="15.75">
      <c r="A112" s="190" t="s">
        <v>8</v>
      </c>
      <c r="B112" s="190"/>
      <c r="C112" s="190"/>
      <c r="D112" s="190"/>
      <c r="E112" s="190"/>
      <c r="F112" s="190"/>
      <c r="G112" s="190"/>
      <c r="H112" s="190"/>
      <c r="I112" s="190"/>
    </row>
    <row r="113" spans="1:9" ht="15.75">
      <c r="A113" s="183" t="s">
        <v>59</v>
      </c>
      <c r="B113" s="183"/>
      <c r="C113" s="183"/>
      <c r="D113" s="183"/>
      <c r="E113" s="183"/>
      <c r="F113" s="183"/>
      <c r="G113" s="183"/>
      <c r="H113" s="183"/>
      <c r="I113" s="183"/>
    </row>
    <row r="114" spans="1:9" ht="15.75">
      <c r="A114" s="11"/>
    </row>
    <row r="115" spans="1:9" ht="15.75">
      <c r="A115" s="177" t="s">
        <v>9</v>
      </c>
      <c r="B115" s="177"/>
      <c r="C115" s="177"/>
      <c r="D115" s="177"/>
      <c r="E115" s="177"/>
      <c r="F115" s="177"/>
      <c r="G115" s="177"/>
      <c r="H115" s="177"/>
      <c r="I115" s="177"/>
    </row>
    <row r="116" spans="1:9" ht="15.75">
      <c r="A116" s="4"/>
    </row>
    <row r="117" spans="1:9" ht="15.75">
      <c r="B117" s="128" t="s">
        <v>10</v>
      </c>
      <c r="C117" s="178" t="s">
        <v>131</v>
      </c>
      <c r="D117" s="178"/>
      <c r="E117" s="178"/>
      <c r="F117" s="59"/>
      <c r="I117" s="130"/>
    </row>
    <row r="118" spans="1:9">
      <c r="A118" s="125"/>
      <c r="C118" s="179" t="s">
        <v>11</v>
      </c>
      <c r="D118" s="179"/>
      <c r="E118" s="179"/>
      <c r="F118" s="25"/>
      <c r="I118" s="129" t="s">
        <v>12</v>
      </c>
    </row>
    <row r="119" spans="1:9" ht="15.75">
      <c r="A119" s="26"/>
      <c r="C119" s="12"/>
      <c r="D119" s="12"/>
      <c r="G119" s="12"/>
      <c r="H119" s="12"/>
    </row>
    <row r="120" spans="1:9" ht="15.75">
      <c r="B120" s="128" t="s">
        <v>13</v>
      </c>
      <c r="C120" s="180"/>
      <c r="D120" s="180"/>
      <c r="E120" s="180"/>
      <c r="F120" s="60"/>
      <c r="I120" s="130"/>
    </row>
    <row r="121" spans="1:9">
      <c r="A121" s="125"/>
      <c r="C121" s="181" t="s">
        <v>11</v>
      </c>
      <c r="D121" s="181"/>
      <c r="E121" s="181"/>
      <c r="F121" s="125"/>
      <c r="I121" s="129" t="s">
        <v>12</v>
      </c>
    </row>
    <row r="122" spans="1:9" ht="15.75">
      <c r="A122" s="4" t="s">
        <v>14</v>
      </c>
    </row>
    <row r="123" spans="1:9">
      <c r="A123" s="182" t="s">
        <v>15</v>
      </c>
      <c r="B123" s="182"/>
      <c r="C123" s="182"/>
      <c r="D123" s="182"/>
      <c r="E123" s="182"/>
      <c r="F123" s="182"/>
      <c r="G123" s="182"/>
      <c r="H123" s="182"/>
      <c r="I123" s="182"/>
    </row>
    <row r="124" spans="1:9" ht="60" customHeight="1">
      <c r="A124" s="176" t="s">
        <v>16</v>
      </c>
      <c r="B124" s="176"/>
      <c r="C124" s="176"/>
      <c r="D124" s="176"/>
      <c r="E124" s="176"/>
      <c r="F124" s="176"/>
      <c r="G124" s="176"/>
      <c r="H124" s="176"/>
      <c r="I124" s="176"/>
    </row>
    <row r="125" spans="1:9" ht="48.75" customHeight="1">
      <c r="A125" s="176" t="s">
        <v>17</v>
      </c>
      <c r="B125" s="176"/>
      <c r="C125" s="176"/>
      <c r="D125" s="176"/>
      <c r="E125" s="176"/>
      <c r="F125" s="176"/>
      <c r="G125" s="176"/>
      <c r="H125" s="176"/>
      <c r="I125" s="176"/>
    </row>
    <row r="126" spans="1:9" ht="47.25" customHeight="1">
      <c r="A126" s="176" t="s">
        <v>21</v>
      </c>
      <c r="B126" s="176"/>
      <c r="C126" s="176"/>
      <c r="D126" s="176"/>
      <c r="E126" s="176"/>
      <c r="F126" s="176"/>
      <c r="G126" s="176"/>
      <c r="H126" s="176"/>
      <c r="I126" s="176"/>
    </row>
    <row r="127" spans="1:9" ht="15.75">
      <c r="A127" s="176" t="s">
        <v>20</v>
      </c>
      <c r="B127" s="176"/>
      <c r="C127" s="176"/>
      <c r="D127" s="176"/>
      <c r="E127" s="176"/>
      <c r="F127" s="176"/>
      <c r="G127" s="176"/>
      <c r="H127" s="176"/>
      <c r="I127" s="176"/>
    </row>
  </sheetData>
  <mergeCells count="29">
    <mergeCell ref="A124:I124"/>
    <mergeCell ref="A125:I125"/>
    <mergeCell ref="A126:I126"/>
    <mergeCell ref="A127:I127"/>
    <mergeCell ref="A106:I106"/>
    <mergeCell ref="A115:I115"/>
    <mergeCell ref="C117:E117"/>
    <mergeCell ref="C118:E118"/>
    <mergeCell ref="C120:E120"/>
    <mergeCell ref="C121:E121"/>
    <mergeCell ref="A123:I123"/>
    <mergeCell ref="A107:I107"/>
    <mergeCell ref="B108:G108"/>
    <mergeCell ref="B109:G109"/>
    <mergeCell ref="A111:I111"/>
    <mergeCell ref="A112:I112"/>
    <mergeCell ref="A113:I113"/>
    <mergeCell ref="A15:I15"/>
    <mergeCell ref="A28:I28"/>
    <mergeCell ref="A45:I45"/>
    <mergeCell ref="A55:I55"/>
    <mergeCell ref="A86:I86"/>
    <mergeCell ref="A90:I90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22"/>
  <sheetViews>
    <sheetView workbookViewId="0">
      <selection activeCell="A8" sqref="A8:I8"/>
    </sheetView>
  </sheetViews>
  <sheetFormatPr defaultRowHeight="15"/>
  <cols>
    <col min="1" max="1" width="10.5703125" customWidth="1"/>
    <col min="2" max="2" width="50" customWidth="1"/>
    <col min="3" max="3" width="17.28515625" customWidth="1"/>
    <col min="4" max="4" width="16.85546875" customWidth="1"/>
    <col min="5" max="6" width="0" hidden="1" customWidth="1"/>
    <col min="7" max="7" width="16.7109375" customWidth="1"/>
    <col min="8" max="8" width="0" hidden="1" customWidth="1"/>
    <col min="9" max="9" width="17.85546875" customWidth="1"/>
  </cols>
  <sheetData>
    <row r="1" spans="1:9" ht="15.75">
      <c r="A1" s="28" t="s">
        <v>224</v>
      </c>
      <c r="I1" s="27"/>
    </row>
    <row r="2" spans="1:9" ht="15.75">
      <c r="A2" s="29" t="s">
        <v>60</v>
      </c>
    </row>
    <row r="3" spans="1:9" ht="15.75">
      <c r="A3" s="199" t="s">
        <v>233</v>
      </c>
      <c r="B3" s="199"/>
      <c r="C3" s="199"/>
      <c r="D3" s="199"/>
      <c r="E3" s="199"/>
      <c r="F3" s="199"/>
      <c r="G3" s="199"/>
      <c r="H3" s="199"/>
      <c r="I3" s="199"/>
    </row>
    <row r="4" spans="1:9" ht="39" customHeight="1">
      <c r="A4" s="200" t="s">
        <v>245</v>
      </c>
      <c r="B4" s="200"/>
      <c r="C4" s="200"/>
      <c r="D4" s="200"/>
      <c r="E4" s="200"/>
      <c r="F4" s="200"/>
      <c r="G4" s="200"/>
      <c r="H4" s="200"/>
      <c r="I4" s="200"/>
    </row>
    <row r="5" spans="1:9" ht="12.75" customHeight="1">
      <c r="A5" s="199" t="s">
        <v>225</v>
      </c>
      <c r="B5" s="201"/>
      <c r="C5" s="201"/>
      <c r="D5" s="201"/>
      <c r="E5" s="201"/>
      <c r="F5" s="201"/>
      <c r="G5" s="201"/>
      <c r="H5" s="201"/>
      <c r="I5" s="201"/>
    </row>
    <row r="6" spans="1:9" ht="15.75">
      <c r="A6" s="2"/>
      <c r="B6" s="137"/>
      <c r="C6" s="137"/>
      <c r="D6" s="137"/>
      <c r="E6" s="137"/>
      <c r="F6" s="137"/>
      <c r="G6" s="137"/>
      <c r="H6" s="137"/>
      <c r="I6" s="31">
        <v>43312</v>
      </c>
    </row>
    <row r="7" spans="1:9" ht="15.75">
      <c r="B7" s="136"/>
      <c r="C7" s="136"/>
      <c r="D7" s="136"/>
      <c r="E7" s="3"/>
      <c r="F7" s="3"/>
      <c r="G7" s="3"/>
      <c r="H7" s="3"/>
    </row>
    <row r="8" spans="1:9" ht="96" customHeight="1">
      <c r="A8" s="202" t="s">
        <v>301</v>
      </c>
      <c r="B8" s="202"/>
      <c r="C8" s="202"/>
      <c r="D8" s="202"/>
      <c r="E8" s="202"/>
      <c r="F8" s="202"/>
      <c r="G8" s="202"/>
      <c r="H8" s="202"/>
      <c r="I8" s="202"/>
    </row>
    <row r="9" spans="1:9" ht="1.5" customHeight="1">
      <c r="A9" s="4"/>
    </row>
    <row r="10" spans="1:9" ht="64.5" customHeight="1">
      <c r="A10" s="203" t="s">
        <v>144</v>
      </c>
      <c r="B10" s="203"/>
      <c r="C10" s="203"/>
      <c r="D10" s="203"/>
      <c r="E10" s="203"/>
      <c r="F10" s="203"/>
      <c r="G10" s="203"/>
      <c r="H10" s="203"/>
      <c r="I10" s="203"/>
    </row>
    <row r="11" spans="1:9" ht="15.75">
      <c r="A11" s="4"/>
    </row>
    <row r="12" spans="1:9" ht="60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4" t="s">
        <v>57</v>
      </c>
      <c r="B14" s="204"/>
      <c r="C14" s="204"/>
      <c r="D14" s="204"/>
      <c r="E14" s="204"/>
      <c r="F14" s="204"/>
      <c r="G14" s="204"/>
      <c r="H14" s="204"/>
      <c r="I14" s="204"/>
    </row>
    <row r="15" spans="1:9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</row>
    <row r="16" spans="1:9" ht="19.5" customHeight="1">
      <c r="A16" s="30">
        <v>1</v>
      </c>
      <c r="B16" s="63" t="s">
        <v>83</v>
      </c>
      <c r="C16" s="64" t="s">
        <v>84</v>
      </c>
      <c r="D16" s="120" t="s">
        <v>186</v>
      </c>
      <c r="E16" s="65">
        <v>143.78</v>
      </c>
      <c r="F16" s="66">
        <f>SUM(E16*156/100)</f>
        <v>224.29679999999999</v>
      </c>
      <c r="G16" s="123">
        <v>230</v>
      </c>
      <c r="H16" s="67">
        <f t="shared" ref="H16:H24" si="0">SUM(F16*G16/1000)</f>
        <v>51.588263999999995</v>
      </c>
      <c r="I16" s="13">
        <f>149.531/12*G16</f>
        <v>2866.0108333333337</v>
      </c>
    </row>
    <row r="17" spans="1:9" ht="17.25" customHeight="1">
      <c r="A17" s="30">
        <v>2</v>
      </c>
      <c r="B17" s="63" t="s">
        <v>109</v>
      </c>
      <c r="C17" s="64" t="s">
        <v>84</v>
      </c>
      <c r="D17" s="120" t="s">
        <v>187</v>
      </c>
      <c r="E17" s="65">
        <v>575.12</v>
      </c>
      <c r="F17" s="66">
        <f>SUM(E17*104/100)</f>
        <v>598.12480000000005</v>
      </c>
      <c r="G17" s="123">
        <v>230</v>
      </c>
      <c r="H17" s="67">
        <f t="shared" si="0"/>
        <v>137.568704</v>
      </c>
      <c r="I17" s="13">
        <f>299.062/12*G17</f>
        <v>5732.0216666666674</v>
      </c>
    </row>
    <row r="18" spans="1:9" ht="16.5" customHeight="1">
      <c r="A18" s="30">
        <v>3</v>
      </c>
      <c r="B18" s="63" t="s">
        <v>110</v>
      </c>
      <c r="C18" s="64" t="s">
        <v>84</v>
      </c>
      <c r="D18" s="120" t="s">
        <v>188</v>
      </c>
      <c r="E18" s="65">
        <v>718.9</v>
      </c>
      <c r="F18" s="66">
        <f>SUM(E18*24/100)</f>
        <v>172.53599999999997</v>
      </c>
      <c r="G18" s="123">
        <v>661.67</v>
      </c>
      <c r="H18" s="67">
        <f t="shared" si="0"/>
        <v>114.16189511999997</v>
      </c>
      <c r="I18" s="13">
        <f>86.268/12*G18</f>
        <v>4756.7456299999994</v>
      </c>
    </row>
    <row r="19" spans="1:9" hidden="1">
      <c r="A19" s="30">
        <v>4</v>
      </c>
      <c r="B19" s="63" t="s">
        <v>91</v>
      </c>
      <c r="C19" s="64" t="s">
        <v>92</v>
      </c>
      <c r="D19" s="120" t="s">
        <v>93</v>
      </c>
      <c r="E19" s="65">
        <v>42.2</v>
      </c>
      <c r="F19" s="66">
        <f>SUM(E19/10)</f>
        <v>4.2200000000000006</v>
      </c>
      <c r="G19" s="123">
        <v>223.17</v>
      </c>
      <c r="H19" s="67">
        <f t="shared" si="0"/>
        <v>0.9417774000000001</v>
      </c>
      <c r="I19" s="13">
        <f>G19*4.22</f>
        <v>941.77739999999994</v>
      </c>
    </row>
    <row r="20" spans="1:9" hidden="1">
      <c r="A20" s="30">
        <v>5</v>
      </c>
      <c r="B20" s="63" t="s">
        <v>94</v>
      </c>
      <c r="C20" s="64" t="s">
        <v>84</v>
      </c>
      <c r="D20" s="120" t="s">
        <v>41</v>
      </c>
      <c r="E20" s="65">
        <v>14</v>
      </c>
      <c r="F20" s="66">
        <f>SUM(E20*2/100)</f>
        <v>0.28000000000000003</v>
      </c>
      <c r="G20" s="123">
        <v>285.76</v>
      </c>
      <c r="H20" s="67">
        <f t="shared" si="0"/>
        <v>8.0012799999999995E-2</v>
      </c>
      <c r="I20" s="13">
        <f>0.28/2*G20</f>
        <v>40.006399999999999</v>
      </c>
    </row>
    <row r="21" spans="1:9" hidden="1">
      <c r="A21" s="30">
        <v>6</v>
      </c>
      <c r="B21" s="63" t="s">
        <v>95</v>
      </c>
      <c r="C21" s="64" t="s">
        <v>84</v>
      </c>
      <c r="D21" s="120" t="s">
        <v>41</v>
      </c>
      <c r="E21" s="65">
        <v>6</v>
      </c>
      <c r="F21" s="66">
        <f>SUM(E21*2/100)</f>
        <v>0.12</v>
      </c>
      <c r="G21" s="123">
        <v>283.44</v>
      </c>
      <c r="H21" s="67">
        <f>SUM(F21*G21/1000)</f>
        <v>3.4012799999999996E-2</v>
      </c>
      <c r="I21" s="13">
        <f>F21/2*G21</f>
        <v>17.006399999999999</v>
      </c>
    </row>
    <row r="22" spans="1:9" hidden="1">
      <c r="A22" s="30">
        <v>7</v>
      </c>
      <c r="B22" s="63" t="s">
        <v>96</v>
      </c>
      <c r="C22" s="64" t="s">
        <v>51</v>
      </c>
      <c r="D22" s="120" t="s">
        <v>93</v>
      </c>
      <c r="E22" s="65">
        <v>640</v>
      </c>
      <c r="F22" s="66">
        <f>SUM(E22/100)</f>
        <v>6.4</v>
      </c>
      <c r="G22" s="123">
        <v>353.14</v>
      </c>
      <c r="H22" s="67">
        <f t="shared" si="0"/>
        <v>2.2600959999999999</v>
      </c>
      <c r="I22" s="13">
        <f t="shared" ref="I22:I25" si="1">F22*G22</f>
        <v>2260.096</v>
      </c>
    </row>
    <row r="23" spans="1:9" hidden="1">
      <c r="A23" s="30">
        <v>8</v>
      </c>
      <c r="B23" s="63" t="s">
        <v>97</v>
      </c>
      <c r="C23" s="64" t="s">
        <v>51</v>
      </c>
      <c r="D23" s="120" t="s">
        <v>93</v>
      </c>
      <c r="E23" s="68">
        <v>49</v>
      </c>
      <c r="F23" s="66">
        <f>SUM(E23/100)</f>
        <v>0.49</v>
      </c>
      <c r="G23" s="123">
        <v>58.08</v>
      </c>
      <c r="H23" s="67">
        <f t="shared" si="0"/>
        <v>2.84592E-2</v>
      </c>
      <c r="I23" s="13">
        <f t="shared" si="1"/>
        <v>28.459199999999999</v>
      </c>
    </row>
    <row r="24" spans="1:9" hidden="1">
      <c r="A24" s="30">
        <v>9</v>
      </c>
      <c r="B24" s="63" t="s">
        <v>98</v>
      </c>
      <c r="C24" s="64" t="s">
        <v>51</v>
      </c>
      <c r="D24" s="120" t="s">
        <v>52</v>
      </c>
      <c r="E24" s="65">
        <v>19</v>
      </c>
      <c r="F24" s="66">
        <f>SUM(E24/100)</f>
        <v>0.19</v>
      </c>
      <c r="G24" s="132">
        <v>683.05</v>
      </c>
      <c r="H24" s="67">
        <f t="shared" si="0"/>
        <v>0.12977949999999999</v>
      </c>
      <c r="I24" s="13">
        <f>0.085*G24</f>
        <v>58.059249999999999</v>
      </c>
    </row>
    <row r="25" spans="1:9" ht="30" hidden="1">
      <c r="A25" s="30">
        <v>10</v>
      </c>
      <c r="B25" s="63" t="s">
        <v>113</v>
      </c>
      <c r="C25" s="64" t="s">
        <v>51</v>
      </c>
      <c r="D25" s="120" t="s">
        <v>52</v>
      </c>
      <c r="E25" s="65">
        <v>19</v>
      </c>
      <c r="F25" s="66">
        <f>E25/100</f>
        <v>0.19</v>
      </c>
      <c r="G25" s="123">
        <v>283.44</v>
      </c>
      <c r="H25" s="67">
        <f>G25*F25/1000</f>
        <v>5.3853600000000001E-2</v>
      </c>
      <c r="I25" s="13">
        <f t="shared" si="1"/>
        <v>53.8536</v>
      </c>
    </row>
    <row r="26" spans="1:9" ht="18.75" customHeight="1">
      <c r="A26" s="30">
        <v>4</v>
      </c>
      <c r="B26" s="63" t="s">
        <v>62</v>
      </c>
      <c r="C26" s="64" t="s">
        <v>33</v>
      </c>
      <c r="D26" s="63" t="s">
        <v>160</v>
      </c>
      <c r="E26" s="65">
        <v>0.1</v>
      </c>
      <c r="F26" s="66">
        <f>SUM(E26*182)</f>
        <v>18.2</v>
      </c>
      <c r="G26" s="66">
        <v>264.85000000000002</v>
      </c>
      <c r="H26" s="67">
        <f>SUM(F26*G26/1000)</f>
        <v>4.8202700000000007</v>
      </c>
      <c r="I26" s="13">
        <f>F26/12*G26</f>
        <v>401.68916666666667</v>
      </c>
    </row>
    <row r="27" spans="1:9">
      <c r="A27" s="30">
        <v>5</v>
      </c>
      <c r="B27" s="71" t="s">
        <v>23</v>
      </c>
      <c r="C27" s="64" t="s">
        <v>24</v>
      </c>
      <c r="D27" s="63"/>
      <c r="E27" s="65">
        <v>4731.7</v>
      </c>
      <c r="F27" s="66">
        <f>SUM(E27*12)</f>
        <v>56780.399999999994</v>
      </c>
      <c r="G27" s="66">
        <v>4.5199999999999996</v>
      </c>
      <c r="H27" s="67">
        <f>SUM(F27*G27/1000)</f>
        <v>256.64740799999993</v>
      </c>
      <c r="I27" s="13">
        <f>F27/12*G27</f>
        <v>21387.283999999996</v>
      </c>
    </row>
    <row r="28" spans="1:9">
      <c r="A28" s="184" t="s">
        <v>81</v>
      </c>
      <c r="B28" s="184"/>
      <c r="C28" s="184"/>
      <c r="D28" s="184"/>
      <c r="E28" s="184"/>
      <c r="F28" s="184"/>
      <c r="G28" s="184"/>
      <c r="H28" s="184"/>
      <c r="I28" s="184"/>
    </row>
    <row r="29" spans="1:9" ht="15.75" customHeight="1">
      <c r="A29" s="30"/>
      <c r="B29" s="83" t="s">
        <v>28</v>
      </c>
      <c r="C29" s="64"/>
      <c r="D29" s="63"/>
      <c r="E29" s="65"/>
      <c r="F29" s="66"/>
      <c r="G29" s="66"/>
      <c r="H29" s="67"/>
      <c r="I29" s="13"/>
    </row>
    <row r="30" spans="1:9" ht="18" customHeight="1">
      <c r="A30" s="30">
        <v>6</v>
      </c>
      <c r="B30" s="63" t="s">
        <v>100</v>
      </c>
      <c r="C30" s="64" t="s">
        <v>86</v>
      </c>
      <c r="D30" s="63" t="s">
        <v>141</v>
      </c>
      <c r="E30" s="66">
        <v>436.6</v>
      </c>
      <c r="F30" s="66">
        <f>SUM(E30*52/1000)</f>
        <v>22.703200000000002</v>
      </c>
      <c r="G30" s="123">
        <v>204.44</v>
      </c>
      <c r="H30" s="67">
        <f t="shared" ref="H30:H36" si="2">SUM(F30*G30/1000)</f>
        <v>4.641442208</v>
      </c>
      <c r="I30" s="13">
        <f>F30/6*G30</f>
        <v>773.57370133333336</v>
      </c>
    </row>
    <row r="31" spans="1:9" ht="33" customHeight="1">
      <c r="A31" s="30">
        <v>7</v>
      </c>
      <c r="B31" s="63" t="s">
        <v>111</v>
      </c>
      <c r="C31" s="64" t="s">
        <v>86</v>
      </c>
      <c r="D31" s="63" t="s">
        <v>142</v>
      </c>
      <c r="E31" s="66">
        <v>54.4</v>
      </c>
      <c r="F31" s="66">
        <f>SUM(E31*78/1000)</f>
        <v>4.2431999999999999</v>
      </c>
      <c r="G31" s="123">
        <v>339.21</v>
      </c>
      <c r="H31" s="67">
        <f t="shared" si="2"/>
        <v>1.4393358719999998</v>
      </c>
      <c r="I31" s="13">
        <f t="shared" ref="I31:I34" si="3">F31/6*G31</f>
        <v>239.88931199999996</v>
      </c>
    </row>
    <row r="32" spans="1:9" hidden="1">
      <c r="A32" s="30">
        <v>15</v>
      </c>
      <c r="B32" s="63" t="s">
        <v>27</v>
      </c>
      <c r="C32" s="64" t="s">
        <v>86</v>
      </c>
      <c r="D32" s="63" t="s">
        <v>52</v>
      </c>
      <c r="E32" s="66">
        <v>436.6</v>
      </c>
      <c r="F32" s="66">
        <f>SUM(E32/1000)</f>
        <v>0.43660000000000004</v>
      </c>
      <c r="G32" s="123">
        <v>3961.23</v>
      </c>
      <c r="H32" s="67">
        <f t="shared" si="2"/>
        <v>1.7294730180000002</v>
      </c>
      <c r="I32" s="13">
        <f>F32*G32</f>
        <v>1729.4730180000001</v>
      </c>
    </row>
    <row r="33" spans="1:9" ht="23.25" customHeight="1">
      <c r="A33" s="30">
        <v>8</v>
      </c>
      <c r="B33" s="63" t="s">
        <v>123</v>
      </c>
      <c r="C33" s="64" t="s">
        <v>39</v>
      </c>
      <c r="D33" s="63" t="s">
        <v>61</v>
      </c>
      <c r="E33" s="66">
        <v>4</v>
      </c>
      <c r="F33" s="66">
        <f>E33*155/100</f>
        <v>6.2</v>
      </c>
      <c r="G33" s="123">
        <v>1707.63</v>
      </c>
      <c r="H33" s="67">
        <f>G33*F33/1000</f>
        <v>10.587306</v>
      </c>
      <c r="I33" s="13">
        <f t="shared" si="3"/>
        <v>1764.5510000000004</v>
      </c>
    </row>
    <row r="34" spans="1:9" ht="21" customHeight="1">
      <c r="A34" s="30">
        <v>9</v>
      </c>
      <c r="B34" s="63" t="s">
        <v>99</v>
      </c>
      <c r="C34" s="64" t="s">
        <v>31</v>
      </c>
      <c r="D34" s="63" t="s">
        <v>61</v>
      </c>
      <c r="E34" s="70">
        <f>1/3</f>
        <v>0.33333333333333331</v>
      </c>
      <c r="F34" s="66">
        <f>155/3</f>
        <v>51.666666666666664</v>
      </c>
      <c r="G34" s="123">
        <v>74.349999999999994</v>
      </c>
      <c r="H34" s="67">
        <f>SUM(G34*155/3/1000)</f>
        <v>3.8414166666666665</v>
      </c>
      <c r="I34" s="13">
        <f t="shared" si="3"/>
        <v>640.23611111111109</v>
      </c>
    </row>
    <row r="35" spans="1:9" ht="30" hidden="1">
      <c r="A35" s="30"/>
      <c r="B35" s="63" t="s">
        <v>63</v>
      </c>
      <c r="C35" s="64" t="s">
        <v>33</v>
      </c>
      <c r="D35" s="63" t="s">
        <v>65</v>
      </c>
      <c r="E35" s="65"/>
      <c r="F35" s="66">
        <v>2</v>
      </c>
      <c r="G35" s="66">
        <v>250.92</v>
      </c>
      <c r="H35" s="67">
        <f t="shared" si="2"/>
        <v>0.50183999999999995</v>
      </c>
      <c r="I35" s="13">
        <v>0</v>
      </c>
    </row>
    <row r="36" spans="1:9" ht="30" hidden="1">
      <c r="A36" s="30"/>
      <c r="B36" s="63" t="s">
        <v>64</v>
      </c>
      <c r="C36" s="64" t="s">
        <v>32</v>
      </c>
      <c r="D36" s="63" t="s">
        <v>65</v>
      </c>
      <c r="E36" s="65"/>
      <c r="F36" s="66">
        <v>1</v>
      </c>
      <c r="G36" s="66">
        <v>1490.31</v>
      </c>
      <c r="H36" s="67">
        <f t="shared" si="2"/>
        <v>1.49031</v>
      </c>
      <c r="I36" s="13">
        <v>0</v>
      </c>
    </row>
    <row r="37" spans="1:9" hidden="1">
      <c r="A37" s="30"/>
      <c r="B37" s="83" t="s">
        <v>5</v>
      </c>
      <c r="C37" s="64"/>
      <c r="D37" s="63"/>
      <c r="E37" s="65"/>
      <c r="F37" s="66"/>
      <c r="G37" s="66"/>
      <c r="H37" s="67" t="s">
        <v>122</v>
      </c>
      <c r="I37" s="13"/>
    </row>
    <row r="38" spans="1:9" hidden="1">
      <c r="A38" s="30">
        <v>6</v>
      </c>
      <c r="B38" s="63" t="s">
        <v>26</v>
      </c>
      <c r="C38" s="64" t="s">
        <v>32</v>
      </c>
      <c r="D38" s="63"/>
      <c r="E38" s="65"/>
      <c r="F38" s="66">
        <v>5</v>
      </c>
      <c r="G38" s="66">
        <v>2003</v>
      </c>
      <c r="H38" s="67">
        <f t="shared" ref="H38:H44" si="4">SUM(F38*G38/1000)</f>
        <v>10.015000000000001</v>
      </c>
      <c r="I38" s="13">
        <f t="shared" ref="I38:I44" si="5">F38/6*G38</f>
        <v>1669.1666666666667</v>
      </c>
    </row>
    <row r="39" spans="1:9" hidden="1">
      <c r="A39" s="30">
        <v>7</v>
      </c>
      <c r="B39" s="63" t="s">
        <v>146</v>
      </c>
      <c r="C39" s="64" t="s">
        <v>29</v>
      </c>
      <c r="D39" s="63" t="s">
        <v>115</v>
      </c>
      <c r="E39" s="65">
        <v>54.4</v>
      </c>
      <c r="F39" s="66">
        <f>E39*30/1000</f>
        <v>1.6319999999999999</v>
      </c>
      <c r="G39" s="66">
        <v>2757.78</v>
      </c>
      <c r="H39" s="67">
        <f t="shared" si="4"/>
        <v>4.50069696</v>
      </c>
      <c r="I39" s="13">
        <f t="shared" si="5"/>
        <v>750.11615999999992</v>
      </c>
    </row>
    <row r="40" spans="1:9" ht="30" hidden="1">
      <c r="A40" s="30">
        <v>8</v>
      </c>
      <c r="B40" s="63" t="s">
        <v>66</v>
      </c>
      <c r="C40" s="64" t="s">
        <v>29</v>
      </c>
      <c r="D40" s="63" t="s">
        <v>85</v>
      </c>
      <c r="E40" s="66">
        <v>54.4</v>
      </c>
      <c r="F40" s="66">
        <f>SUM(E40*155/1000)</f>
        <v>8.4320000000000004</v>
      </c>
      <c r="G40" s="66">
        <v>460.02</v>
      </c>
      <c r="H40" s="67">
        <f t="shared" si="4"/>
        <v>3.87888864</v>
      </c>
      <c r="I40" s="13">
        <f t="shared" si="5"/>
        <v>646.48144000000002</v>
      </c>
    </row>
    <row r="41" spans="1:9" ht="60" hidden="1">
      <c r="A41" s="30">
        <v>9</v>
      </c>
      <c r="B41" s="63" t="s">
        <v>78</v>
      </c>
      <c r="C41" s="64" t="s">
        <v>86</v>
      </c>
      <c r="D41" s="63" t="s">
        <v>116</v>
      </c>
      <c r="E41" s="66">
        <v>31.2</v>
      </c>
      <c r="F41" s="66">
        <f>SUM(E41*35/1000)</f>
        <v>1.0920000000000001</v>
      </c>
      <c r="G41" s="66">
        <v>7611.16</v>
      </c>
      <c r="H41" s="67">
        <f t="shared" si="4"/>
        <v>8.3113867199999998</v>
      </c>
      <c r="I41" s="13">
        <f t="shared" si="5"/>
        <v>1385.2311200000001</v>
      </c>
    </row>
    <row r="42" spans="1:9" hidden="1">
      <c r="A42" s="30">
        <v>10</v>
      </c>
      <c r="B42" s="63" t="s">
        <v>87</v>
      </c>
      <c r="C42" s="64" t="s">
        <v>86</v>
      </c>
      <c r="D42" s="63" t="s">
        <v>67</v>
      </c>
      <c r="E42" s="66">
        <v>54.4</v>
      </c>
      <c r="F42" s="66">
        <f>SUM(E42*45/1000)</f>
        <v>2.448</v>
      </c>
      <c r="G42" s="66">
        <v>562.25</v>
      </c>
      <c r="H42" s="67">
        <f t="shared" si="4"/>
        <v>1.3763879999999999</v>
      </c>
      <c r="I42" s="13">
        <f>(F42/7.5*1.5)*G42</f>
        <v>275.27759999999995</v>
      </c>
    </row>
    <row r="43" spans="1:9" hidden="1">
      <c r="A43" s="30">
        <v>11</v>
      </c>
      <c r="B43" s="63" t="s">
        <v>68</v>
      </c>
      <c r="C43" s="64" t="s">
        <v>33</v>
      </c>
      <c r="D43" s="63"/>
      <c r="E43" s="65"/>
      <c r="F43" s="66">
        <v>0.9</v>
      </c>
      <c r="G43" s="66">
        <v>974.83</v>
      </c>
      <c r="H43" s="67">
        <f t="shared" si="4"/>
        <v>0.8773470000000001</v>
      </c>
      <c r="I43" s="13">
        <f>(F43/7.5*1.5)*G43</f>
        <v>175.46940000000004</v>
      </c>
    </row>
    <row r="44" spans="1:9" ht="30" hidden="1">
      <c r="A44" s="30">
        <v>12</v>
      </c>
      <c r="B44" s="47" t="s">
        <v>147</v>
      </c>
      <c r="C44" s="49" t="s">
        <v>29</v>
      </c>
      <c r="D44" s="63" t="s">
        <v>148</v>
      </c>
      <c r="E44" s="65">
        <v>3</v>
      </c>
      <c r="F44" s="66">
        <f>SUM(E44*12/1000)</f>
        <v>3.5999999999999997E-2</v>
      </c>
      <c r="G44" s="66">
        <v>260.2</v>
      </c>
      <c r="H44" s="67">
        <f t="shared" si="4"/>
        <v>9.3671999999999991E-3</v>
      </c>
      <c r="I44" s="13">
        <f t="shared" si="5"/>
        <v>1.5611999999999997</v>
      </c>
    </row>
    <row r="45" spans="1:9" hidden="1">
      <c r="A45" s="185" t="s">
        <v>128</v>
      </c>
      <c r="B45" s="186"/>
      <c r="C45" s="186"/>
      <c r="D45" s="186"/>
      <c r="E45" s="186"/>
      <c r="F45" s="186"/>
      <c r="G45" s="186"/>
      <c r="H45" s="186"/>
      <c r="I45" s="187"/>
    </row>
    <row r="46" spans="1:9" hidden="1">
      <c r="A46" s="30">
        <v>18</v>
      </c>
      <c r="B46" s="63" t="s">
        <v>117</v>
      </c>
      <c r="C46" s="64" t="s">
        <v>86</v>
      </c>
      <c r="D46" s="63" t="s">
        <v>41</v>
      </c>
      <c r="E46" s="65">
        <v>1320.9</v>
      </c>
      <c r="F46" s="66">
        <f>SUM(E46*2/1000)</f>
        <v>2.6418000000000004</v>
      </c>
      <c r="G46" s="35">
        <v>1114.1300000000001</v>
      </c>
      <c r="H46" s="67">
        <f t="shared" ref="H46:H54" si="6">SUM(F46*G46/1000)</f>
        <v>2.943308634000001</v>
      </c>
      <c r="I46" s="13">
        <f>2.6418/2*G46</f>
        <v>1471.654317</v>
      </c>
    </row>
    <row r="47" spans="1:9" hidden="1">
      <c r="A47" s="30">
        <v>19</v>
      </c>
      <c r="B47" s="63" t="s">
        <v>34</v>
      </c>
      <c r="C47" s="64" t="s">
        <v>86</v>
      </c>
      <c r="D47" s="63" t="s">
        <v>41</v>
      </c>
      <c r="E47" s="65">
        <v>52</v>
      </c>
      <c r="F47" s="66">
        <f>E47*2/1000</f>
        <v>0.104</v>
      </c>
      <c r="G47" s="35">
        <v>4419.05</v>
      </c>
      <c r="H47" s="67">
        <f t="shared" si="6"/>
        <v>0.45958120000000002</v>
      </c>
      <c r="I47" s="13">
        <f>0.104/2*G47</f>
        <v>229.79060000000001</v>
      </c>
    </row>
    <row r="48" spans="1:9" hidden="1">
      <c r="A48" s="30">
        <v>20</v>
      </c>
      <c r="B48" s="63" t="s">
        <v>35</v>
      </c>
      <c r="C48" s="64" t="s">
        <v>86</v>
      </c>
      <c r="D48" s="63" t="s">
        <v>41</v>
      </c>
      <c r="E48" s="65">
        <v>1520.8</v>
      </c>
      <c r="F48" s="66">
        <f>SUM(E48*2/1000)</f>
        <v>3.0415999999999999</v>
      </c>
      <c r="G48" s="35">
        <v>1803.69</v>
      </c>
      <c r="H48" s="67">
        <f t="shared" si="6"/>
        <v>5.4861035039999999</v>
      </c>
      <c r="I48" s="13">
        <f>3.0416/2*G48</f>
        <v>2743.0517519999999</v>
      </c>
    </row>
    <row r="49" spans="1:9" hidden="1">
      <c r="A49" s="30">
        <v>21</v>
      </c>
      <c r="B49" s="63" t="s">
        <v>36</v>
      </c>
      <c r="C49" s="64" t="s">
        <v>86</v>
      </c>
      <c r="D49" s="63" t="s">
        <v>41</v>
      </c>
      <c r="E49" s="65">
        <v>3433.81</v>
      </c>
      <c r="F49" s="66">
        <f>SUM(E49*2/1000)</f>
        <v>6.8676199999999996</v>
      </c>
      <c r="G49" s="35">
        <v>1243.43</v>
      </c>
      <c r="H49" s="67">
        <f t="shared" si="6"/>
        <v>8.5394047365999999</v>
      </c>
      <c r="I49" s="13">
        <f>6.86762/2*G49</f>
        <v>4269.7023682999998</v>
      </c>
    </row>
    <row r="50" spans="1:9" hidden="1">
      <c r="A50" s="30">
        <v>13</v>
      </c>
      <c r="B50" s="63" t="s">
        <v>54</v>
      </c>
      <c r="C50" s="64" t="s">
        <v>86</v>
      </c>
      <c r="D50" s="63" t="s">
        <v>133</v>
      </c>
      <c r="E50" s="65">
        <v>4731.7</v>
      </c>
      <c r="F50" s="66">
        <f>SUM(E50*5/1000)</f>
        <v>23.6585</v>
      </c>
      <c r="G50" s="35">
        <v>1803.69</v>
      </c>
      <c r="H50" s="67">
        <f t="shared" si="6"/>
        <v>42.672599865000002</v>
      </c>
      <c r="I50" s="13">
        <f>F50/5*G50</f>
        <v>8534.5199730000004</v>
      </c>
    </row>
    <row r="51" spans="1:9" ht="45" hidden="1">
      <c r="A51" s="30">
        <v>22</v>
      </c>
      <c r="B51" s="63" t="s">
        <v>88</v>
      </c>
      <c r="C51" s="64" t="s">
        <v>86</v>
      </c>
      <c r="D51" s="63" t="s">
        <v>41</v>
      </c>
      <c r="E51" s="65">
        <v>4731.7</v>
      </c>
      <c r="F51" s="66">
        <f>SUM(E51*2/1000)</f>
        <v>9.4634</v>
      </c>
      <c r="G51" s="35">
        <v>1591.6</v>
      </c>
      <c r="H51" s="67">
        <f t="shared" si="6"/>
        <v>15.061947439999999</v>
      </c>
      <c r="I51" s="13">
        <f>9.4634/2*G51</f>
        <v>7530.97372</v>
      </c>
    </row>
    <row r="52" spans="1:9" ht="30" hidden="1">
      <c r="A52" s="30">
        <v>23</v>
      </c>
      <c r="B52" s="63" t="s">
        <v>89</v>
      </c>
      <c r="C52" s="64" t="s">
        <v>37</v>
      </c>
      <c r="D52" s="63" t="s">
        <v>41</v>
      </c>
      <c r="E52" s="65">
        <v>20</v>
      </c>
      <c r="F52" s="66">
        <f>SUM(E52*2/100)</f>
        <v>0.4</v>
      </c>
      <c r="G52" s="35">
        <v>4058.32</v>
      </c>
      <c r="H52" s="67">
        <f>SUM(F52*G52/1000)</f>
        <v>1.6233280000000001</v>
      </c>
      <c r="I52" s="13">
        <f>0.4/2*G52</f>
        <v>811.6640000000001</v>
      </c>
    </row>
    <row r="53" spans="1:9" hidden="1">
      <c r="A53" s="30">
        <v>24</v>
      </c>
      <c r="B53" s="63" t="s">
        <v>38</v>
      </c>
      <c r="C53" s="64" t="s">
        <v>39</v>
      </c>
      <c r="D53" s="63" t="s">
        <v>41</v>
      </c>
      <c r="E53" s="65">
        <v>1</v>
      </c>
      <c r="F53" s="66">
        <v>0.02</v>
      </c>
      <c r="G53" s="35">
        <v>7412.92</v>
      </c>
      <c r="H53" s="67">
        <f t="shared" si="6"/>
        <v>0.14825839999999998</v>
      </c>
      <c r="I53" s="13">
        <f>0.02/2*G53</f>
        <v>74.129199999999997</v>
      </c>
    </row>
    <row r="54" spans="1:9" hidden="1">
      <c r="A54" s="30">
        <v>13</v>
      </c>
      <c r="B54" s="63" t="s">
        <v>40</v>
      </c>
      <c r="C54" s="64" t="s">
        <v>101</v>
      </c>
      <c r="D54" s="63" t="s">
        <v>52</v>
      </c>
      <c r="E54" s="65">
        <v>160</v>
      </c>
      <c r="F54" s="66">
        <f>SUM(E54)</f>
        <v>160</v>
      </c>
      <c r="G54" s="124">
        <v>86.15</v>
      </c>
      <c r="H54" s="67">
        <f t="shared" si="6"/>
        <v>13.784000000000001</v>
      </c>
      <c r="I54" s="13">
        <f>G54*160</f>
        <v>13784</v>
      </c>
    </row>
    <row r="55" spans="1:9">
      <c r="A55" s="185" t="s">
        <v>168</v>
      </c>
      <c r="B55" s="186"/>
      <c r="C55" s="186"/>
      <c r="D55" s="186"/>
      <c r="E55" s="186"/>
      <c r="F55" s="186"/>
      <c r="G55" s="186"/>
      <c r="H55" s="186"/>
      <c r="I55" s="187"/>
    </row>
    <row r="56" spans="1:9" hidden="1">
      <c r="A56" s="30"/>
      <c r="B56" s="83" t="s">
        <v>42</v>
      </c>
      <c r="C56" s="64"/>
      <c r="D56" s="63"/>
      <c r="E56" s="65"/>
      <c r="F56" s="66"/>
      <c r="G56" s="66"/>
      <c r="H56" s="67"/>
      <c r="I56" s="13"/>
    </row>
    <row r="57" spans="1:9" ht="30" hidden="1">
      <c r="A57" s="30">
        <v>14</v>
      </c>
      <c r="B57" s="63" t="s">
        <v>118</v>
      </c>
      <c r="C57" s="64" t="s">
        <v>84</v>
      </c>
      <c r="D57" s="63" t="s">
        <v>102</v>
      </c>
      <c r="E57" s="65">
        <v>107.21</v>
      </c>
      <c r="F57" s="66">
        <f>SUM(E57*6/100)</f>
        <v>6.4325999999999999</v>
      </c>
      <c r="G57" s="13">
        <v>2029.3</v>
      </c>
      <c r="H57" s="67">
        <f>SUM(F57*G57/1000)</f>
        <v>13.053675180000001</v>
      </c>
      <c r="I57" s="13">
        <f>F57/6*G57</f>
        <v>2175.6125299999999</v>
      </c>
    </row>
    <row r="58" spans="1:9" hidden="1">
      <c r="A58" s="30">
        <v>14</v>
      </c>
      <c r="B58" s="72" t="s">
        <v>120</v>
      </c>
      <c r="C58" s="73" t="s">
        <v>121</v>
      </c>
      <c r="D58" s="72" t="s">
        <v>41</v>
      </c>
      <c r="E58" s="74">
        <v>4</v>
      </c>
      <c r="F58" s="75">
        <v>0.8</v>
      </c>
      <c r="G58" s="13">
        <v>237.1</v>
      </c>
      <c r="H58" s="67">
        <f t="shared" ref="H58:H59" si="7">SUM(F58*G58/1000)</f>
        <v>0.18968000000000002</v>
      </c>
      <c r="I58" s="13">
        <f>F58/2*G58</f>
        <v>94.84</v>
      </c>
    </row>
    <row r="59" spans="1:9" hidden="1">
      <c r="A59" s="30">
        <v>15</v>
      </c>
      <c r="B59" s="63" t="s">
        <v>119</v>
      </c>
      <c r="C59" s="64" t="s">
        <v>84</v>
      </c>
      <c r="D59" s="63" t="s">
        <v>102</v>
      </c>
      <c r="E59" s="65">
        <v>3.8</v>
      </c>
      <c r="F59" s="66">
        <f>SUM(E59*6/100)</f>
        <v>0.22799999999999998</v>
      </c>
      <c r="G59" s="13">
        <v>2029.3</v>
      </c>
      <c r="H59" s="67">
        <f t="shared" si="7"/>
        <v>0.46268039999999994</v>
      </c>
      <c r="I59" s="13">
        <f>F59/6*G59</f>
        <v>77.113399999999999</v>
      </c>
    </row>
    <row r="60" spans="1:9" ht="30" hidden="1">
      <c r="A60" s="30">
        <v>10</v>
      </c>
      <c r="B60" s="63" t="s">
        <v>149</v>
      </c>
      <c r="C60" s="64" t="s">
        <v>150</v>
      </c>
      <c r="D60" s="63" t="s">
        <v>65</v>
      </c>
      <c r="E60" s="65"/>
      <c r="F60" s="66">
        <v>3</v>
      </c>
      <c r="G60" s="13">
        <v>1582.05</v>
      </c>
      <c r="H60" s="67">
        <f>SUM(F60*G60/1000)</f>
        <v>4.7461499999999992</v>
      </c>
      <c r="I60" s="13">
        <f>G60*2</f>
        <v>3164.1</v>
      </c>
    </row>
    <row r="61" spans="1:9" ht="18.75" customHeight="1">
      <c r="A61" s="30"/>
      <c r="B61" s="84" t="s">
        <v>43</v>
      </c>
      <c r="C61" s="73"/>
      <c r="D61" s="72"/>
      <c r="E61" s="74"/>
      <c r="F61" s="75"/>
      <c r="G61" s="13"/>
      <c r="H61" s="76"/>
      <c r="I61" s="13"/>
    </row>
    <row r="62" spans="1:9" hidden="1">
      <c r="A62" s="30">
        <v>18</v>
      </c>
      <c r="B62" s="72" t="s">
        <v>151</v>
      </c>
      <c r="C62" s="73" t="s">
        <v>51</v>
      </c>
      <c r="D62" s="72" t="s">
        <v>52</v>
      </c>
      <c r="E62" s="74">
        <v>660.45</v>
      </c>
      <c r="F62" s="75">
        <f>E62/100</f>
        <v>6.6045000000000007</v>
      </c>
      <c r="G62" s="13">
        <v>1040.8399999999999</v>
      </c>
      <c r="H62" s="76">
        <f>F62*G62/1000</f>
        <v>6.87422778</v>
      </c>
      <c r="I62" s="13">
        <f>G62*(1.2/100)</f>
        <v>12.490079999999999</v>
      </c>
    </row>
    <row r="63" spans="1:9" ht="19.5" customHeight="1">
      <c r="A63" s="30">
        <v>10</v>
      </c>
      <c r="B63" s="72" t="s">
        <v>112</v>
      </c>
      <c r="C63" s="73" t="s">
        <v>25</v>
      </c>
      <c r="D63" s="72" t="s">
        <v>30</v>
      </c>
      <c r="E63" s="74">
        <v>200</v>
      </c>
      <c r="F63" s="77">
        <f>E63*12</f>
        <v>2400</v>
      </c>
      <c r="G63" s="57">
        <v>2.8</v>
      </c>
      <c r="H63" s="75">
        <f>F63*G63/1000</f>
        <v>6.72</v>
      </c>
      <c r="I63" s="13">
        <f>2856/12*G63</f>
        <v>666.4</v>
      </c>
    </row>
    <row r="64" spans="1:9" ht="16.5" customHeight="1">
      <c r="A64" s="30"/>
      <c r="B64" s="84" t="s">
        <v>44</v>
      </c>
      <c r="C64" s="73"/>
      <c r="D64" s="72"/>
      <c r="E64" s="74"/>
      <c r="F64" s="77"/>
      <c r="G64" s="77"/>
      <c r="H64" s="75" t="s">
        <v>122</v>
      </c>
      <c r="I64" s="13"/>
    </row>
    <row r="65" spans="1:9" ht="21.75" customHeight="1">
      <c r="A65" s="30">
        <v>11</v>
      </c>
      <c r="B65" s="14" t="s">
        <v>45</v>
      </c>
      <c r="C65" s="16" t="s">
        <v>101</v>
      </c>
      <c r="D65" s="44" t="s">
        <v>65</v>
      </c>
      <c r="E65" s="18">
        <v>10</v>
      </c>
      <c r="F65" s="66">
        <f>SUM(E65)</f>
        <v>10</v>
      </c>
      <c r="G65" s="13">
        <v>291.68</v>
      </c>
      <c r="H65" s="78">
        <f t="shared" ref="H65:H83" si="8">SUM(F65*G65/1000)</f>
        <v>2.9168000000000003</v>
      </c>
      <c r="I65" s="13">
        <f>G65*3</f>
        <v>875.04</v>
      </c>
    </row>
    <row r="66" spans="1:9" ht="30" hidden="1">
      <c r="A66" s="30"/>
      <c r="B66" s="14" t="s">
        <v>46</v>
      </c>
      <c r="C66" s="16" t="s">
        <v>101</v>
      </c>
      <c r="D66" s="14" t="s">
        <v>65</v>
      </c>
      <c r="E66" s="18">
        <v>9</v>
      </c>
      <c r="F66" s="66">
        <f>SUM(E66)</f>
        <v>9</v>
      </c>
      <c r="G66" s="13">
        <v>100.01</v>
      </c>
      <c r="H66" s="78">
        <f t="shared" si="8"/>
        <v>0.90009000000000006</v>
      </c>
      <c r="I66" s="13">
        <v>0</v>
      </c>
    </row>
    <row r="67" spans="1:9" hidden="1">
      <c r="A67" s="30">
        <v>26</v>
      </c>
      <c r="B67" s="14" t="s">
        <v>47</v>
      </c>
      <c r="C67" s="16" t="s">
        <v>103</v>
      </c>
      <c r="D67" s="14" t="s">
        <v>52</v>
      </c>
      <c r="E67" s="65">
        <v>19836</v>
      </c>
      <c r="F67" s="13">
        <f>SUM(E67/100)</f>
        <v>198.36</v>
      </c>
      <c r="G67" s="13">
        <v>278.24</v>
      </c>
      <c r="H67" s="78">
        <f t="shared" si="8"/>
        <v>55.191686400000009</v>
      </c>
      <c r="I67" s="13">
        <f>F67*G67</f>
        <v>55191.686400000006</v>
      </c>
    </row>
    <row r="68" spans="1:9" hidden="1">
      <c r="A68" s="30">
        <v>27</v>
      </c>
      <c r="B68" s="14" t="s">
        <v>48</v>
      </c>
      <c r="C68" s="16" t="s">
        <v>104</v>
      </c>
      <c r="D68" s="14"/>
      <c r="E68" s="65">
        <v>19836</v>
      </c>
      <c r="F68" s="13">
        <f>SUM(E68/1000)</f>
        <v>19.835999999999999</v>
      </c>
      <c r="G68" s="13">
        <v>216.68</v>
      </c>
      <c r="H68" s="78">
        <f t="shared" si="8"/>
        <v>4.2980644799999999</v>
      </c>
      <c r="I68" s="13">
        <f t="shared" ref="I68:I72" si="9">F68*G68</f>
        <v>4298.06448</v>
      </c>
    </row>
    <row r="69" spans="1:9" hidden="1">
      <c r="A69" s="30">
        <v>28</v>
      </c>
      <c r="B69" s="14" t="s">
        <v>49</v>
      </c>
      <c r="C69" s="16" t="s">
        <v>73</v>
      </c>
      <c r="D69" s="14" t="s">
        <v>52</v>
      </c>
      <c r="E69" s="65">
        <v>3155</v>
      </c>
      <c r="F69" s="13">
        <f>SUM(E69/100)</f>
        <v>31.55</v>
      </c>
      <c r="G69" s="13">
        <v>2720.94</v>
      </c>
      <c r="H69" s="78">
        <f t="shared" si="8"/>
        <v>85.845657000000003</v>
      </c>
      <c r="I69" s="13">
        <f t="shared" si="9"/>
        <v>85845.657000000007</v>
      </c>
    </row>
    <row r="70" spans="1:9" hidden="1">
      <c r="A70" s="30">
        <v>29</v>
      </c>
      <c r="B70" s="79" t="s">
        <v>105</v>
      </c>
      <c r="C70" s="16" t="s">
        <v>33</v>
      </c>
      <c r="D70" s="14"/>
      <c r="E70" s="65">
        <v>34.5</v>
      </c>
      <c r="F70" s="13">
        <f>SUM(E70)</f>
        <v>34.5</v>
      </c>
      <c r="G70" s="13">
        <v>44.31</v>
      </c>
      <c r="H70" s="78">
        <f t="shared" si="8"/>
        <v>1.5286950000000001</v>
      </c>
      <c r="I70" s="13">
        <f t="shared" si="9"/>
        <v>1528.6950000000002</v>
      </c>
    </row>
    <row r="71" spans="1:9" hidden="1">
      <c r="A71" s="30">
        <v>30</v>
      </c>
      <c r="B71" s="79" t="s">
        <v>106</v>
      </c>
      <c r="C71" s="16" t="s">
        <v>33</v>
      </c>
      <c r="D71" s="14"/>
      <c r="E71" s="65">
        <v>34.5</v>
      </c>
      <c r="F71" s="13">
        <f t="shared" ref="F71:F72" si="10">SUM(E71)</f>
        <v>34.5</v>
      </c>
      <c r="G71" s="13">
        <v>47.79</v>
      </c>
      <c r="H71" s="78">
        <f t="shared" si="8"/>
        <v>1.648755</v>
      </c>
      <c r="I71" s="13">
        <f t="shared" si="9"/>
        <v>1648.7549999999999</v>
      </c>
    </row>
    <row r="72" spans="1:9" hidden="1">
      <c r="A72" s="30">
        <v>12</v>
      </c>
      <c r="B72" s="14" t="s">
        <v>55</v>
      </c>
      <c r="C72" s="16" t="s">
        <v>56</v>
      </c>
      <c r="D72" s="14" t="s">
        <v>52</v>
      </c>
      <c r="E72" s="18">
        <v>5</v>
      </c>
      <c r="F72" s="13">
        <f t="shared" si="10"/>
        <v>5</v>
      </c>
      <c r="G72" s="13">
        <v>65.42</v>
      </c>
      <c r="H72" s="78">
        <f t="shared" si="8"/>
        <v>0.3271</v>
      </c>
      <c r="I72" s="13">
        <f t="shared" si="9"/>
        <v>327.10000000000002</v>
      </c>
    </row>
    <row r="73" spans="1:9">
      <c r="A73" s="30"/>
      <c r="B73" s="102" t="s">
        <v>152</v>
      </c>
      <c r="C73" s="49"/>
      <c r="D73" s="14"/>
      <c r="E73" s="18"/>
      <c r="F73" s="13"/>
      <c r="G73" s="13"/>
      <c r="H73" s="78"/>
      <c r="I73" s="13"/>
    </row>
    <row r="74" spans="1:9" ht="18.75" customHeight="1">
      <c r="A74" s="30">
        <v>12</v>
      </c>
      <c r="B74" s="14" t="s">
        <v>153</v>
      </c>
      <c r="C74" s="30" t="s">
        <v>154</v>
      </c>
      <c r="D74" s="44" t="s">
        <v>65</v>
      </c>
      <c r="E74" s="18">
        <v>4731.7</v>
      </c>
      <c r="F74" s="13">
        <f>SUM(E74*12)</f>
        <v>56780.399999999994</v>
      </c>
      <c r="G74" s="13">
        <v>2.2799999999999998</v>
      </c>
      <c r="H74" s="78">
        <f t="shared" ref="H74" si="11">SUM(F74*G74/1000)</f>
        <v>129.45931199999998</v>
      </c>
      <c r="I74" s="13">
        <f>F74/12*G74</f>
        <v>10788.275999999998</v>
      </c>
    </row>
    <row r="75" spans="1:9">
      <c r="A75" s="30"/>
      <c r="B75" s="138" t="s">
        <v>69</v>
      </c>
      <c r="C75" s="16"/>
      <c r="D75" s="14"/>
      <c r="E75" s="18"/>
      <c r="F75" s="13"/>
      <c r="G75" s="13"/>
      <c r="H75" s="78" t="s">
        <v>122</v>
      </c>
      <c r="I75" s="13"/>
    </row>
    <row r="76" spans="1:9" ht="30" hidden="1">
      <c r="A76" s="30"/>
      <c r="B76" s="14" t="s">
        <v>155</v>
      </c>
      <c r="C76" s="16" t="s">
        <v>101</v>
      </c>
      <c r="D76" s="14" t="s">
        <v>65</v>
      </c>
      <c r="E76" s="18">
        <v>1</v>
      </c>
      <c r="F76" s="13">
        <v>1</v>
      </c>
      <c r="G76" s="13">
        <v>1543.4</v>
      </c>
      <c r="H76" s="78">
        <f t="shared" ref="H76:H79" si="12">SUM(F76*G76/1000)</f>
        <v>1.5434000000000001</v>
      </c>
      <c r="I76" s="13">
        <v>0</v>
      </c>
    </row>
    <row r="77" spans="1:9" ht="30" hidden="1">
      <c r="A77" s="30">
        <v>19</v>
      </c>
      <c r="B77" s="47" t="s">
        <v>156</v>
      </c>
      <c r="C77" s="49" t="s">
        <v>101</v>
      </c>
      <c r="D77" s="14" t="s">
        <v>65</v>
      </c>
      <c r="E77" s="18">
        <v>4</v>
      </c>
      <c r="F77" s="13">
        <v>1</v>
      </c>
      <c r="G77" s="13">
        <v>130.96</v>
      </c>
      <c r="H77" s="78">
        <f>SUM(F77*G77/1000)</f>
        <v>0.13096000000000002</v>
      </c>
      <c r="I77" s="13">
        <v>0</v>
      </c>
    </row>
    <row r="78" spans="1:9" ht="18.75" customHeight="1">
      <c r="A78" s="30">
        <v>13</v>
      </c>
      <c r="B78" s="14" t="s">
        <v>70</v>
      </c>
      <c r="C78" s="16" t="s">
        <v>71</v>
      </c>
      <c r="D78" s="44" t="s">
        <v>65</v>
      </c>
      <c r="E78" s="18">
        <v>8</v>
      </c>
      <c r="F78" s="13">
        <f>E78/10</f>
        <v>0.8</v>
      </c>
      <c r="G78" s="13">
        <v>657.87</v>
      </c>
      <c r="H78" s="78">
        <f t="shared" si="12"/>
        <v>0.5262960000000001</v>
      </c>
      <c r="I78" s="13">
        <f>G78*0.2</f>
        <v>131.57400000000001</v>
      </c>
    </row>
    <row r="79" spans="1:9" ht="30" hidden="1">
      <c r="A79" s="30"/>
      <c r="B79" s="14" t="s">
        <v>157</v>
      </c>
      <c r="C79" s="16" t="s">
        <v>101</v>
      </c>
      <c r="D79" s="14" t="s">
        <v>65</v>
      </c>
      <c r="E79" s="18">
        <v>1</v>
      </c>
      <c r="F79" s="66">
        <f>SUM(E79)</f>
        <v>1</v>
      </c>
      <c r="G79" s="13">
        <v>1118.72</v>
      </c>
      <c r="H79" s="78">
        <f t="shared" si="12"/>
        <v>1.1187199999999999</v>
      </c>
      <c r="I79" s="13">
        <v>0</v>
      </c>
    </row>
    <row r="80" spans="1:9" ht="30" hidden="1">
      <c r="A80" s="30"/>
      <c r="B80" s="47" t="s">
        <v>158</v>
      </c>
      <c r="C80" s="49" t="s">
        <v>101</v>
      </c>
      <c r="D80" s="14" t="s">
        <v>65</v>
      </c>
      <c r="E80" s="18">
        <v>1</v>
      </c>
      <c r="F80" s="57">
        <v>1</v>
      </c>
      <c r="G80" s="13">
        <v>3757.02</v>
      </c>
      <c r="H80" s="78">
        <f>SUM(F80*G80/1000)</f>
        <v>3.7570199999999998</v>
      </c>
      <c r="I80" s="13">
        <v>0</v>
      </c>
    </row>
    <row r="81" spans="1:9">
      <c r="A81" s="30">
        <v>14</v>
      </c>
      <c r="B81" s="47" t="s">
        <v>159</v>
      </c>
      <c r="C81" s="49" t="s">
        <v>101</v>
      </c>
      <c r="D81" s="14" t="s">
        <v>30</v>
      </c>
      <c r="E81" s="99">
        <v>2</v>
      </c>
      <c r="F81" s="77">
        <f>E81*12</f>
        <v>24</v>
      </c>
      <c r="G81" s="100">
        <v>53.42</v>
      </c>
      <c r="H81" s="78">
        <f t="shared" ref="H81" si="13">SUM(F81*G81/1000)</f>
        <v>1.2820799999999999</v>
      </c>
      <c r="I81" s="13">
        <f>G81*2</f>
        <v>106.84</v>
      </c>
    </row>
    <row r="82" spans="1:9" hidden="1">
      <c r="A82" s="30"/>
      <c r="B82" s="81" t="s">
        <v>72</v>
      </c>
      <c r="C82" s="16"/>
      <c r="D82" s="14"/>
      <c r="E82" s="18"/>
      <c r="F82" s="13"/>
      <c r="G82" s="13" t="s">
        <v>122</v>
      </c>
      <c r="H82" s="78" t="s">
        <v>122</v>
      </c>
      <c r="I82" s="13"/>
    </row>
    <row r="83" spans="1:9" hidden="1">
      <c r="A83" s="30"/>
      <c r="B83" s="44" t="s">
        <v>114</v>
      </c>
      <c r="C83" s="16" t="s">
        <v>73</v>
      </c>
      <c r="D83" s="14"/>
      <c r="E83" s="18"/>
      <c r="F83" s="13">
        <v>0.3</v>
      </c>
      <c r="G83" s="13">
        <v>3619.09</v>
      </c>
      <c r="H83" s="78">
        <f t="shared" si="8"/>
        <v>1.0857270000000001</v>
      </c>
      <c r="I83" s="13">
        <v>0</v>
      </c>
    </row>
    <row r="84" spans="1:9" ht="28.5" hidden="1">
      <c r="A84" s="30"/>
      <c r="B84" s="103" t="s">
        <v>90</v>
      </c>
      <c r="C84" s="81"/>
      <c r="D84" s="32"/>
      <c r="E84" s="33"/>
      <c r="F84" s="69"/>
      <c r="G84" s="69"/>
      <c r="H84" s="82">
        <f>SUM(H57:H83)</f>
        <v>323.6067762400001</v>
      </c>
      <c r="I84" s="69"/>
    </row>
    <row r="85" spans="1:9" hidden="1">
      <c r="A85" s="30"/>
      <c r="B85" s="63" t="s">
        <v>107</v>
      </c>
      <c r="C85" s="16"/>
      <c r="D85" s="14"/>
      <c r="E85" s="58"/>
      <c r="F85" s="13">
        <v>1</v>
      </c>
      <c r="G85" s="13">
        <v>20512</v>
      </c>
      <c r="H85" s="78">
        <f>G85*F85/1000</f>
        <v>20.512</v>
      </c>
      <c r="I85" s="13">
        <v>0</v>
      </c>
    </row>
    <row r="86" spans="1:9">
      <c r="A86" s="194" t="s">
        <v>169</v>
      </c>
      <c r="B86" s="195"/>
      <c r="C86" s="195"/>
      <c r="D86" s="195"/>
      <c r="E86" s="195"/>
      <c r="F86" s="195"/>
      <c r="G86" s="195"/>
      <c r="H86" s="195"/>
      <c r="I86" s="196"/>
    </row>
    <row r="87" spans="1:9" ht="18" customHeight="1">
      <c r="A87" s="30">
        <v>15</v>
      </c>
      <c r="B87" s="63" t="s">
        <v>108</v>
      </c>
      <c r="C87" s="16" t="s">
        <v>53</v>
      </c>
      <c r="D87" s="101"/>
      <c r="E87" s="13">
        <v>4731.7</v>
      </c>
      <c r="F87" s="13">
        <f>SUM(E87*12)</f>
        <v>56780.399999999994</v>
      </c>
      <c r="G87" s="13">
        <v>3.1</v>
      </c>
      <c r="H87" s="78">
        <f>SUM(F87*G87/1000)</f>
        <v>176.01924</v>
      </c>
      <c r="I87" s="13">
        <f>F87/12*G87</f>
        <v>14668.27</v>
      </c>
    </row>
    <row r="88" spans="1:9" ht="32.25" customHeight="1">
      <c r="A88" s="30">
        <v>16</v>
      </c>
      <c r="B88" s="14" t="s">
        <v>74</v>
      </c>
      <c r="C88" s="16"/>
      <c r="D88" s="44"/>
      <c r="E88" s="65">
        <f>E87</f>
        <v>4731.7</v>
      </c>
      <c r="F88" s="13">
        <f>E88*12</f>
        <v>56780.399999999994</v>
      </c>
      <c r="G88" s="13">
        <v>3.5</v>
      </c>
      <c r="H88" s="78">
        <f>F88*G88/1000</f>
        <v>198.73139999999995</v>
      </c>
      <c r="I88" s="13">
        <f>F88/12*G88</f>
        <v>16560.95</v>
      </c>
    </row>
    <row r="89" spans="1:9">
      <c r="A89" s="30"/>
      <c r="B89" s="37" t="s">
        <v>76</v>
      </c>
      <c r="C89" s="81"/>
      <c r="D89" s="80"/>
      <c r="E89" s="69"/>
      <c r="F89" s="69"/>
      <c r="G89" s="69"/>
      <c r="H89" s="82">
        <f>H88</f>
        <v>198.73139999999995</v>
      </c>
      <c r="I89" s="69">
        <f>I88+I87+I81+I78+I74+I65+I63+I34+I33+I31+I30+I27+I26+I18+I17+I16</f>
        <v>82359.351421111118</v>
      </c>
    </row>
    <row r="90" spans="1:9">
      <c r="A90" s="191" t="s">
        <v>58</v>
      </c>
      <c r="B90" s="192"/>
      <c r="C90" s="192"/>
      <c r="D90" s="192"/>
      <c r="E90" s="192"/>
      <c r="F90" s="192"/>
      <c r="G90" s="192"/>
      <c r="H90" s="192"/>
      <c r="I90" s="193"/>
    </row>
    <row r="91" spans="1:9">
      <c r="A91" s="30">
        <v>17</v>
      </c>
      <c r="B91" s="104" t="s">
        <v>182</v>
      </c>
      <c r="C91" s="85" t="s">
        <v>71</v>
      </c>
      <c r="D91" s="14"/>
      <c r="E91" s="18"/>
      <c r="F91" s="13">
        <v>160</v>
      </c>
      <c r="G91" s="35">
        <v>4165.3999999999996</v>
      </c>
      <c r="H91" s="78">
        <f>G91*F91/1000</f>
        <v>666.46400000000006</v>
      </c>
      <c r="I91" s="13">
        <f>G91*0.2</f>
        <v>833.07999999999993</v>
      </c>
    </row>
    <row r="92" spans="1:9">
      <c r="A92" s="30">
        <v>18</v>
      </c>
      <c r="B92" s="112" t="s">
        <v>208</v>
      </c>
      <c r="C92" s="113" t="s">
        <v>79</v>
      </c>
      <c r="D92" s="36"/>
      <c r="E92" s="17"/>
      <c r="F92" s="35">
        <v>15</v>
      </c>
      <c r="G92" s="35">
        <v>203.68</v>
      </c>
      <c r="H92" s="86">
        <f t="shared" ref="H92:H93" si="14">G92*F92/1000</f>
        <v>3.0552000000000001</v>
      </c>
      <c r="I92" s="13">
        <f>G92*1</f>
        <v>203.68</v>
      </c>
    </row>
    <row r="93" spans="1:9">
      <c r="A93" s="30">
        <v>19</v>
      </c>
      <c r="B93" s="112" t="s">
        <v>226</v>
      </c>
      <c r="C93" s="113" t="s">
        <v>29</v>
      </c>
      <c r="D93" s="44"/>
      <c r="E93" s="35"/>
      <c r="F93" s="35">
        <v>1</v>
      </c>
      <c r="G93" s="35">
        <v>1158.7</v>
      </c>
      <c r="H93" s="86">
        <f t="shared" si="14"/>
        <v>1.1587000000000001</v>
      </c>
      <c r="I93" s="13">
        <f>G93*0.6605</f>
        <v>765.32135000000005</v>
      </c>
    </row>
    <row r="94" spans="1:9" ht="30">
      <c r="A94" s="30">
        <v>20</v>
      </c>
      <c r="B94" s="112" t="s">
        <v>227</v>
      </c>
      <c r="C94" s="113" t="s">
        <v>37</v>
      </c>
      <c r="D94" s="44"/>
      <c r="E94" s="35"/>
      <c r="F94" s="35"/>
      <c r="G94" s="35">
        <v>3724.37</v>
      </c>
      <c r="H94" s="35"/>
      <c r="I94" s="13">
        <f>G94*0.01</f>
        <v>37.243699999999997</v>
      </c>
    </row>
    <row r="95" spans="1:9" ht="30">
      <c r="A95" s="30" t="s">
        <v>210</v>
      </c>
      <c r="B95" s="47" t="s">
        <v>124</v>
      </c>
      <c r="C95" s="49" t="s">
        <v>101</v>
      </c>
      <c r="D95" s="44"/>
      <c r="E95" s="35"/>
      <c r="F95" s="35"/>
      <c r="G95" s="35">
        <v>55.55</v>
      </c>
      <c r="H95" s="35"/>
      <c r="I95" s="13">
        <f>G95*80</f>
        <v>4444</v>
      </c>
    </row>
    <row r="96" spans="1:9">
      <c r="A96" s="30">
        <v>22</v>
      </c>
      <c r="B96" s="47" t="s">
        <v>77</v>
      </c>
      <c r="C96" s="49" t="s">
        <v>101</v>
      </c>
      <c r="D96" s="44"/>
      <c r="E96" s="35"/>
      <c r="F96" s="35"/>
      <c r="G96" s="35">
        <v>197.48</v>
      </c>
      <c r="H96" s="35"/>
      <c r="I96" s="13">
        <f>G96*2</f>
        <v>394.96</v>
      </c>
    </row>
    <row r="97" spans="1:9">
      <c r="A97" s="30">
        <v>23</v>
      </c>
      <c r="B97" s="112" t="s">
        <v>228</v>
      </c>
      <c r="C97" s="113" t="s">
        <v>101</v>
      </c>
      <c r="D97" s="44"/>
      <c r="E97" s="35"/>
      <c r="F97" s="35"/>
      <c r="G97" s="35">
        <v>10691</v>
      </c>
      <c r="H97" s="35"/>
      <c r="I97" s="13">
        <f>G97*1</f>
        <v>10691</v>
      </c>
    </row>
    <row r="98" spans="1:9" ht="18" customHeight="1">
      <c r="A98" s="30"/>
      <c r="B98" s="32" t="s">
        <v>50</v>
      </c>
      <c r="C98" s="38"/>
      <c r="D98" s="45"/>
      <c r="E98" s="38">
        <v>1</v>
      </c>
      <c r="F98" s="38"/>
      <c r="G98" s="38"/>
      <c r="H98" s="38"/>
      <c r="I98" s="33">
        <f>I97+I96+I94+I93+I92+I91</f>
        <v>12925.28505</v>
      </c>
    </row>
    <row r="99" spans="1:9">
      <c r="A99" s="30"/>
      <c r="B99" s="44" t="s">
        <v>75</v>
      </c>
      <c r="C99" s="15"/>
      <c r="D99" s="15"/>
      <c r="E99" s="39"/>
      <c r="F99" s="39"/>
      <c r="G99" s="40"/>
      <c r="H99" s="40"/>
      <c r="I99" s="17">
        <v>0</v>
      </c>
    </row>
    <row r="100" spans="1:9">
      <c r="A100" s="46"/>
      <c r="B100" s="43" t="s">
        <v>143</v>
      </c>
      <c r="C100" s="34"/>
      <c r="D100" s="34"/>
      <c r="E100" s="34"/>
      <c r="F100" s="34"/>
      <c r="G100" s="34"/>
      <c r="H100" s="34"/>
      <c r="I100" s="41">
        <f>I89+I98</f>
        <v>95284.636471111124</v>
      </c>
    </row>
    <row r="101" spans="1:9">
      <c r="A101" s="197" t="s">
        <v>211</v>
      </c>
      <c r="B101" s="198"/>
      <c r="C101" s="198"/>
      <c r="D101" s="198"/>
      <c r="E101" s="198"/>
      <c r="F101" s="198"/>
      <c r="G101" s="198"/>
      <c r="H101" s="198"/>
      <c r="I101" s="198"/>
    </row>
    <row r="102" spans="1:9" ht="15.75">
      <c r="A102" s="188" t="s">
        <v>229</v>
      </c>
      <c r="B102" s="188"/>
      <c r="C102" s="188"/>
      <c r="D102" s="188"/>
      <c r="E102" s="188"/>
      <c r="F102" s="188"/>
      <c r="G102" s="188"/>
      <c r="H102" s="188"/>
      <c r="I102" s="188"/>
    </row>
    <row r="103" spans="1:9" ht="15.75">
      <c r="A103" s="56"/>
      <c r="B103" s="189" t="s">
        <v>230</v>
      </c>
      <c r="C103" s="189"/>
      <c r="D103" s="189"/>
      <c r="E103" s="189"/>
      <c r="F103" s="189"/>
      <c r="G103" s="189"/>
      <c r="H103" s="61"/>
      <c r="I103" s="3"/>
    </row>
    <row r="104" spans="1:9">
      <c r="A104" s="135"/>
      <c r="B104" s="179" t="s">
        <v>6</v>
      </c>
      <c r="C104" s="179"/>
      <c r="D104" s="179"/>
      <c r="E104" s="179"/>
      <c r="F104" s="179"/>
      <c r="G104" s="179"/>
      <c r="H104" s="25"/>
      <c r="I104" s="5"/>
    </row>
    <row r="105" spans="1:9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>
      <c r="A106" s="190" t="s">
        <v>7</v>
      </c>
      <c r="B106" s="190"/>
      <c r="C106" s="190"/>
      <c r="D106" s="190"/>
      <c r="E106" s="190"/>
      <c r="F106" s="190"/>
      <c r="G106" s="190"/>
      <c r="H106" s="190"/>
      <c r="I106" s="190"/>
    </row>
    <row r="107" spans="1:9" ht="15.75">
      <c r="A107" s="190" t="s">
        <v>8</v>
      </c>
      <c r="B107" s="190"/>
      <c r="C107" s="190"/>
      <c r="D107" s="190"/>
      <c r="E107" s="190"/>
      <c r="F107" s="190"/>
      <c r="G107" s="190"/>
      <c r="H107" s="190"/>
      <c r="I107" s="190"/>
    </row>
    <row r="108" spans="1:9" ht="15.75">
      <c r="A108" s="183" t="s">
        <v>59</v>
      </c>
      <c r="B108" s="183"/>
      <c r="C108" s="183"/>
      <c r="D108" s="183"/>
      <c r="E108" s="183"/>
      <c r="F108" s="183"/>
      <c r="G108" s="183"/>
      <c r="H108" s="183"/>
      <c r="I108" s="183"/>
    </row>
    <row r="109" spans="1:9" ht="15.75">
      <c r="A109" s="11"/>
    </row>
    <row r="110" spans="1:9" ht="15.75">
      <c r="A110" s="177" t="s">
        <v>9</v>
      </c>
      <c r="B110" s="177"/>
      <c r="C110" s="177"/>
      <c r="D110" s="177"/>
      <c r="E110" s="177"/>
      <c r="F110" s="177"/>
      <c r="G110" s="177"/>
      <c r="H110" s="177"/>
      <c r="I110" s="177"/>
    </row>
    <row r="111" spans="1:9" ht="15.75">
      <c r="A111" s="4"/>
    </row>
    <row r="112" spans="1:9" ht="15.75">
      <c r="B112" s="136" t="s">
        <v>10</v>
      </c>
      <c r="C112" s="178" t="s">
        <v>131</v>
      </c>
      <c r="D112" s="178"/>
      <c r="E112" s="178"/>
      <c r="F112" s="59"/>
      <c r="I112" s="134"/>
    </row>
    <row r="113" spans="1:9">
      <c r="A113" s="135"/>
      <c r="C113" s="179" t="s">
        <v>11</v>
      </c>
      <c r="D113" s="179"/>
      <c r="E113" s="179"/>
      <c r="F113" s="25"/>
      <c r="I113" s="133" t="s">
        <v>12</v>
      </c>
    </row>
    <row r="114" spans="1:9" ht="15.75">
      <c r="A114" s="26"/>
      <c r="C114" s="12"/>
      <c r="D114" s="12"/>
      <c r="G114" s="12"/>
      <c r="H114" s="12"/>
    </row>
    <row r="115" spans="1:9" ht="15.75">
      <c r="B115" s="136" t="s">
        <v>13</v>
      </c>
      <c r="C115" s="180"/>
      <c r="D115" s="180"/>
      <c r="E115" s="180"/>
      <c r="F115" s="60"/>
      <c r="I115" s="134"/>
    </row>
    <row r="116" spans="1:9">
      <c r="A116" s="135"/>
      <c r="C116" s="181" t="s">
        <v>11</v>
      </c>
      <c r="D116" s="181"/>
      <c r="E116" s="181"/>
      <c r="F116" s="135"/>
      <c r="I116" s="133" t="s">
        <v>12</v>
      </c>
    </row>
    <row r="117" spans="1:9" ht="15.75">
      <c r="A117" s="4" t="s">
        <v>14</v>
      </c>
    </row>
    <row r="118" spans="1:9">
      <c r="A118" s="182" t="s">
        <v>15</v>
      </c>
      <c r="B118" s="182"/>
      <c r="C118" s="182"/>
      <c r="D118" s="182"/>
      <c r="E118" s="182"/>
      <c r="F118" s="182"/>
      <c r="G118" s="182"/>
      <c r="H118" s="182"/>
      <c r="I118" s="182"/>
    </row>
    <row r="119" spans="1:9" ht="40.5" customHeight="1">
      <c r="A119" s="176" t="s">
        <v>16</v>
      </c>
      <c r="B119" s="176"/>
      <c r="C119" s="176"/>
      <c r="D119" s="176"/>
      <c r="E119" s="176"/>
      <c r="F119" s="176"/>
      <c r="G119" s="176"/>
      <c r="H119" s="176"/>
      <c r="I119" s="176"/>
    </row>
    <row r="120" spans="1:9" ht="36" customHeight="1">
      <c r="A120" s="176" t="s">
        <v>17</v>
      </c>
      <c r="B120" s="176"/>
      <c r="C120" s="176"/>
      <c r="D120" s="176"/>
      <c r="E120" s="176"/>
      <c r="F120" s="176"/>
      <c r="G120" s="176"/>
      <c r="H120" s="176"/>
      <c r="I120" s="176"/>
    </row>
    <row r="121" spans="1:9" ht="36" customHeight="1">
      <c r="A121" s="176" t="s">
        <v>21</v>
      </c>
      <c r="B121" s="176"/>
      <c r="C121" s="176"/>
      <c r="D121" s="176"/>
      <c r="E121" s="176"/>
      <c r="F121" s="176"/>
      <c r="G121" s="176"/>
      <c r="H121" s="176"/>
      <c r="I121" s="176"/>
    </row>
    <row r="122" spans="1:9" ht="15.75">
      <c r="A122" s="176" t="s">
        <v>20</v>
      </c>
      <c r="B122" s="176"/>
      <c r="C122" s="176"/>
      <c r="D122" s="176"/>
      <c r="E122" s="176"/>
      <c r="F122" s="176"/>
      <c r="G122" s="176"/>
      <c r="H122" s="176"/>
      <c r="I122" s="176"/>
    </row>
  </sheetData>
  <mergeCells count="29">
    <mergeCell ref="A90:I90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5:I55"/>
    <mergeCell ref="A86:I86"/>
    <mergeCell ref="C116:E116"/>
    <mergeCell ref="A101:I101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118:I118"/>
    <mergeCell ref="A119:I119"/>
    <mergeCell ref="A120:I120"/>
    <mergeCell ref="A121:I121"/>
    <mergeCell ref="A122:I122"/>
  </mergeCells>
  <pageMargins left="0.7" right="0.7" top="0.75" bottom="0.75" header="0.3" footer="0.3"/>
  <pageSetup paperSize="9" scale="66" orientation="portrait" horizontalDpi="0" verticalDpi="0" r:id="rId1"/>
  <rowBreaks count="1" manualBreakCount="1">
    <brk id="10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I131"/>
  <sheetViews>
    <sheetView topLeftCell="A92" workbookViewId="0">
      <selection activeCell="C12" sqref="C12"/>
    </sheetView>
  </sheetViews>
  <sheetFormatPr defaultRowHeight="15"/>
  <cols>
    <col min="1" max="1" width="12.85546875" customWidth="1"/>
    <col min="2" max="2" width="44.85546875" customWidth="1"/>
    <col min="3" max="3" width="18" customWidth="1"/>
    <col min="4" max="4" width="18.140625" customWidth="1"/>
    <col min="5" max="6" width="0" hidden="1" customWidth="1"/>
    <col min="7" max="7" width="18" customWidth="1"/>
    <col min="8" max="8" width="0" hidden="1" customWidth="1"/>
    <col min="9" max="9" width="17" customWidth="1"/>
  </cols>
  <sheetData>
    <row r="1" spans="1:9" ht="15.75">
      <c r="A1" s="28" t="s">
        <v>224</v>
      </c>
      <c r="I1" s="27"/>
    </row>
    <row r="2" spans="1:9" ht="15.75">
      <c r="A2" s="29" t="s">
        <v>60</v>
      </c>
    </row>
    <row r="3" spans="1:9" ht="15.75">
      <c r="A3" s="199" t="s">
        <v>232</v>
      </c>
      <c r="B3" s="199"/>
      <c r="C3" s="199"/>
      <c r="D3" s="199"/>
      <c r="E3" s="199"/>
      <c r="F3" s="199"/>
      <c r="G3" s="199"/>
      <c r="H3" s="199"/>
      <c r="I3" s="199"/>
    </row>
    <row r="4" spans="1:9" ht="32.25" customHeight="1">
      <c r="A4" s="200" t="s">
        <v>245</v>
      </c>
      <c r="B4" s="200"/>
      <c r="C4" s="200"/>
      <c r="D4" s="200"/>
      <c r="E4" s="200"/>
      <c r="F4" s="200"/>
      <c r="G4" s="200"/>
      <c r="H4" s="200"/>
      <c r="I4" s="200"/>
    </row>
    <row r="5" spans="1:9" ht="15.75">
      <c r="A5" s="199" t="s">
        <v>231</v>
      </c>
      <c r="B5" s="201"/>
      <c r="C5" s="201"/>
      <c r="D5" s="201"/>
      <c r="E5" s="201"/>
      <c r="F5" s="201"/>
      <c r="G5" s="201"/>
      <c r="H5" s="201"/>
      <c r="I5" s="201"/>
    </row>
    <row r="6" spans="1:9" ht="15.75">
      <c r="A6" s="2"/>
      <c r="B6" s="140"/>
      <c r="C6" s="140"/>
      <c r="D6" s="140"/>
      <c r="E6" s="140"/>
      <c r="F6" s="140"/>
      <c r="G6" s="140"/>
      <c r="H6" s="140"/>
      <c r="I6" s="31">
        <v>43343</v>
      </c>
    </row>
    <row r="7" spans="1:9" ht="15.75">
      <c r="B7" s="142"/>
      <c r="C7" s="142"/>
      <c r="D7" s="142"/>
      <c r="E7" s="3"/>
      <c r="F7" s="3"/>
      <c r="G7" s="3"/>
      <c r="H7" s="3"/>
    </row>
    <row r="8" spans="1:9" ht="84.75" customHeight="1">
      <c r="A8" s="202" t="s">
        <v>301</v>
      </c>
      <c r="B8" s="202"/>
      <c r="C8" s="202"/>
      <c r="D8" s="202"/>
      <c r="E8" s="202"/>
      <c r="F8" s="202"/>
      <c r="G8" s="202"/>
      <c r="H8" s="202"/>
      <c r="I8" s="202"/>
    </row>
    <row r="9" spans="1:9" ht="15.75">
      <c r="A9" s="4"/>
    </row>
    <row r="10" spans="1:9" ht="58.5" customHeight="1">
      <c r="A10" s="203" t="s">
        <v>144</v>
      </c>
      <c r="B10" s="203"/>
      <c r="C10" s="203"/>
      <c r="D10" s="203"/>
      <c r="E10" s="203"/>
      <c r="F10" s="203"/>
      <c r="G10" s="203"/>
      <c r="H10" s="203"/>
      <c r="I10" s="203"/>
    </row>
    <row r="11" spans="1:9" ht="15.75">
      <c r="A11" s="4"/>
    </row>
    <row r="12" spans="1:9" ht="81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4" t="s">
        <v>57</v>
      </c>
      <c r="B14" s="204"/>
      <c r="C14" s="204"/>
      <c r="D14" s="204"/>
      <c r="E14" s="204"/>
      <c r="F14" s="204"/>
      <c r="G14" s="204"/>
      <c r="H14" s="204"/>
      <c r="I14" s="204"/>
    </row>
    <row r="15" spans="1:9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</row>
    <row r="16" spans="1:9" ht="17.25" customHeight="1">
      <c r="A16" s="30">
        <v>1</v>
      </c>
      <c r="B16" s="63" t="s">
        <v>83</v>
      </c>
      <c r="C16" s="64" t="s">
        <v>84</v>
      </c>
      <c r="D16" s="120" t="s">
        <v>186</v>
      </c>
      <c r="E16" s="65">
        <v>143.78</v>
      </c>
      <c r="F16" s="66">
        <f>SUM(E16*156/100)</f>
        <v>224.29679999999999</v>
      </c>
      <c r="G16" s="123">
        <v>230</v>
      </c>
      <c r="H16" s="67">
        <f t="shared" ref="H16:H24" si="0">SUM(F16*G16/1000)</f>
        <v>51.588263999999995</v>
      </c>
      <c r="I16" s="13">
        <f>149.531/12*G16</f>
        <v>2866.0108333333337</v>
      </c>
    </row>
    <row r="17" spans="1:9" ht="29.25" customHeight="1">
      <c r="A17" s="30">
        <v>2</v>
      </c>
      <c r="B17" s="63" t="s">
        <v>109</v>
      </c>
      <c r="C17" s="64" t="s">
        <v>84</v>
      </c>
      <c r="D17" s="120" t="s">
        <v>187</v>
      </c>
      <c r="E17" s="65">
        <v>575.12</v>
      </c>
      <c r="F17" s="66">
        <f>SUM(E17*104/100)</f>
        <v>598.12480000000005</v>
      </c>
      <c r="G17" s="123">
        <v>230</v>
      </c>
      <c r="H17" s="67">
        <f t="shared" si="0"/>
        <v>137.568704</v>
      </c>
      <c r="I17" s="13">
        <f>299.062/12*G17</f>
        <v>5732.0216666666674</v>
      </c>
    </row>
    <row r="18" spans="1:9" ht="30" customHeight="1">
      <c r="A18" s="30">
        <v>3</v>
      </c>
      <c r="B18" s="63" t="s">
        <v>110</v>
      </c>
      <c r="C18" s="64" t="s">
        <v>84</v>
      </c>
      <c r="D18" s="120" t="s">
        <v>188</v>
      </c>
      <c r="E18" s="65">
        <v>718.9</v>
      </c>
      <c r="F18" s="66">
        <f>SUM(E18*24/100)</f>
        <v>172.53599999999997</v>
      </c>
      <c r="G18" s="123">
        <v>661.67</v>
      </c>
      <c r="H18" s="67">
        <f t="shared" si="0"/>
        <v>114.16189511999997</v>
      </c>
      <c r="I18" s="13">
        <f>86.268/12*G18</f>
        <v>4756.7456299999994</v>
      </c>
    </row>
    <row r="19" spans="1:9" hidden="1">
      <c r="A19" s="30">
        <v>4</v>
      </c>
      <c r="B19" s="63" t="s">
        <v>91</v>
      </c>
      <c r="C19" s="64" t="s">
        <v>92</v>
      </c>
      <c r="D19" s="120" t="s">
        <v>93</v>
      </c>
      <c r="E19" s="65">
        <v>42.2</v>
      </c>
      <c r="F19" s="66">
        <f>SUM(E19/10)</f>
        <v>4.2200000000000006</v>
      </c>
      <c r="G19" s="123">
        <v>223.17</v>
      </c>
      <c r="H19" s="67">
        <f t="shared" si="0"/>
        <v>0.9417774000000001</v>
      </c>
      <c r="I19" s="13">
        <f>G19*4.22</f>
        <v>941.77739999999994</v>
      </c>
    </row>
    <row r="20" spans="1:9" ht="16.5" hidden="1" customHeight="1">
      <c r="A20" s="30">
        <v>4</v>
      </c>
      <c r="B20" s="63" t="s">
        <v>94</v>
      </c>
      <c r="C20" s="64" t="s">
        <v>84</v>
      </c>
      <c r="D20" s="120" t="s">
        <v>41</v>
      </c>
      <c r="E20" s="65">
        <v>14</v>
      </c>
      <c r="F20" s="66">
        <f>SUM(E20*2/100)</f>
        <v>0.28000000000000003</v>
      </c>
      <c r="G20" s="123">
        <v>285.76</v>
      </c>
      <c r="H20" s="67">
        <f t="shared" si="0"/>
        <v>8.0012799999999995E-2</v>
      </c>
      <c r="I20" s="13">
        <f>0.28/2*G20</f>
        <v>40.006399999999999</v>
      </c>
    </row>
    <row r="21" spans="1:9" ht="15" hidden="1" customHeight="1">
      <c r="A21" s="30">
        <v>5</v>
      </c>
      <c r="B21" s="63" t="s">
        <v>95</v>
      </c>
      <c r="C21" s="64" t="s">
        <v>84</v>
      </c>
      <c r="D21" s="120" t="s">
        <v>41</v>
      </c>
      <c r="E21" s="65">
        <v>6</v>
      </c>
      <c r="F21" s="66">
        <f>SUM(E21*2/100)</f>
        <v>0.12</v>
      </c>
      <c r="G21" s="123">
        <v>283.44</v>
      </c>
      <c r="H21" s="67">
        <f>SUM(F21*G21/1000)</f>
        <v>3.4012799999999996E-2</v>
      </c>
      <c r="I21" s="13">
        <f>F21/2*G21</f>
        <v>17.006399999999999</v>
      </c>
    </row>
    <row r="22" spans="1:9" hidden="1">
      <c r="A22" s="30">
        <v>7</v>
      </c>
      <c r="B22" s="63" t="s">
        <v>96</v>
      </c>
      <c r="C22" s="64" t="s">
        <v>51</v>
      </c>
      <c r="D22" s="120" t="s">
        <v>93</v>
      </c>
      <c r="E22" s="65">
        <v>640</v>
      </c>
      <c r="F22" s="66">
        <f>SUM(E22/100)</f>
        <v>6.4</v>
      </c>
      <c r="G22" s="123">
        <v>353.14</v>
      </c>
      <c r="H22" s="67">
        <f t="shared" si="0"/>
        <v>2.2600959999999999</v>
      </c>
      <c r="I22" s="13">
        <f t="shared" ref="I22:I25" si="1">F22*G22</f>
        <v>2260.096</v>
      </c>
    </row>
    <row r="23" spans="1:9" hidden="1">
      <c r="A23" s="30">
        <v>8</v>
      </c>
      <c r="B23" s="63" t="s">
        <v>97</v>
      </c>
      <c r="C23" s="64" t="s">
        <v>51</v>
      </c>
      <c r="D23" s="120" t="s">
        <v>93</v>
      </c>
      <c r="E23" s="68">
        <v>49</v>
      </c>
      <c r="F23" s="66">
        <f>SUM(E23/100)</f>
        <v>0.49</v>
      </c>
      <c r="G23" s="123">
        <v>58.08</v>
      </c>
      <c r="H23" s="67">
        <f t="shared" si="0"/>
        <v>2.84592E-2</v>
      </c>
      <c r="I23" s="13">
        <f t="shared" si="1"/>
        <v>28.459199999999999</v>
      </c>
    </row>
    <row r="24" spans="1:9" hidden="1">
      <c r="A24" s="30">
        <v>9</v>
      </c>
      <c r="B24" s="63" t="s">
        <v>98</v>
      </c>
      <c r="C24" s="64" t="s">
        <v>51</v>
      </c>
      <c r="D24" s="120" t="s">
        <v>52</v>
      </c>
      <c r="E24" s="65">
        <v>19</v>
      </c>
      <c r="F24" s="66">
        <f>SUM(E24/100)</f>
        <v>0.19</v>
      </c>
      <c r="G24" s="132">
        <v>683.05</v>
      </c>
      <c r="H24" s="67">
        <f t="shared" si="0"/>
        <v>0.12977949999999999</v>
      </c>
      <c r="I24" s="13">
        <f>0.085*G24</f>
        <v>58.059249999999999</v>
      </c>
    </row>
    <row r="25" spans="1:9" ht="30" hidden="1">
      <c r="A25" s="30">
        <v>10</v>
      </c>
      <c r="B25" s="63" t="s">
        <v>113</v>
      </c>
      <c r="C25" s="64" t="s">
        <v>51</v>
      </c>
      <c r="D25" s="120" t="s">
        <v>52</v>
      </c>
      <c r="E25" s="65">
        <v>19</v>
      </c>
      <c r="F25" s="66">
        <f>E25/100</f>
        <v>0.19</v>
      </c>
      <c r="G25" s="123">
        <v>283.44</v>
      </c>
      <c r="H25" s="67">
        <f>G25*F25/1000</f>
        <v>5.3853600000000001E-2</v>
      </c>
      <c r="I25" s="13">
        <f t="shared" si="1"/>
        <v>53.8536</v>
      </c>
    </row>
    <row r="26" spans="1:9" ht="15.75" customHeight="1">
      <c r="A26" s="30">
        <v>4</v>
      </c>
      <c r="B26" s="63" t="s">
        <v>62</v>
      </c>
      <c r="C26" s="64" t="s">
        <v>33</v>
      </c>
      <c r="D26" s="63" t="s">
        <v>160</v>
      </c>
      <c r="E26" s="65">
        <v>0.1</v>
      </c>
      <c r="F26" s="66">
        <f>SUM(E26*182)</f>
        <v>18.2</v>
      </c>
      <c r="G26" s="66">
        <v>264.85000000000002</v>
      </c>
      <c r="H26" s="67">
        <f>SUM(F26*G26/1000)</f>
        <v>4.8202700000000007</v>
      </c>
      <c r="I26" s="13">
        <f>F26/12*G26</f>
        <v>401.68916666666667</v>
      </c>
    </row>
    <row r="27" spans="1:9">
      <c r="A27" s="30">
        <v>5</v>
      </c>
      <c r="B27" s="71" t="s">
        <v>23</v>
      </c>
      <c r="C27" s="64" t="s">
        <v>24</v>
      </c>
      <c r="D27" s="63"/>
      <c r="E27" s="65">
        <v>4731.7</v>
      </c>
      <c r="F27" s="66">
        <f>SUM(E27*12)</f>
        <v>56780.399999999994</v>
      </c>
      <c r="G27" s="66">
        <v>4.5199999999999996</v>
      </c>
      <c r="H27" s="67">
        <f>SUM(F27*G27/1000)</f>
        <v>256.64740799999993</v>
      </c>
      <c r="I27" s="13">
        <f>F27/12*G27</f>
        <v>21387.283999999996</v>
      </c>
    </row>
    <row r="28" spans="1:9">
      <c r="A28" s="184" t="s">
        <v>81</v>
      </c>
      <c r="B28" s="184"/>
      <c r="C28" s="184"/>
      <c r="D28" s="184"/>
      <c r="E28" s="184"/>
      <c r="F28" s="184"/>
      <c r="G28" s="184"/>
      <c r="H28" s="184"/>
      <c r="I28" s="184"/>
    </row>
    <row r="29" spans="1:9" ht="18.75" customHeight="1">
      <c r="A29" s="30"/>
      <c r="B29" s="83" t="s">
        <v>28</v>
      </c>
      <c r="C29" s="64"/>
      <c r="D29" s="63"/>
      <c r="E29" s="65"/>
      <c r="F29" s="66"/>
      <c r="G29" s="66"/>
      <c r="H29" s="67"/>
      <c r="I29" s="13"/>
    </row>
    <row r="30" spans="1:9" ht="16.5" customHeight="1">
      <c r="A30" s="30">
        <v>6</v>
      </c>
      <c r="B30" s="63" t="s">
        <v>100</v>
      </c>
      <c r="C30" s="64" t="s">
        <v>86</v>
      </c>
      <c r="D30" s="63" t="s">
        <v>141</v>
      </c>
      <c r="E30" s="66">
        <v>436.6</v>
      </c>
      <c r="F30" s="66">
        <f>SUM(E30*52/1000)</f>
        <v>22.703200000000002</v>
      </c>
      <c r="G30" s="123">
        <v>204.44</v>
      </c>
      <c r="H30" s="67">
        <f t="shared" ref="H30:H36" si="2">SUM(F30*G30/1000)</f>
        <v>4.641442208</v>
      </c>
      <c r="I30" s="13">
        <f>F30/6*G30</f>
        <v>773.57370133333336</v>
      </c>
    </row>
    <row r="31" spans="1:9" ht="44.25" customHeight="1">
      <c r="A31" s="30">
        <v>7</v>
      </c>
      <c r="B31" s="63" t="s">
        <v>111</v>
      </c>
      <c r="C31" s="64" t="s">
        <v>86</v>
      </c>
      <c r="D31" s="63" t="s">
        <v>142</v>
      </c>
      <c r="E31" s="66">
        <v>54.4</v>
      </c>
      <c r="F31" s="66">
        <f>SUM(E31*78/1000)</f>
        <v>4.2431999999999999</v>
      </c>
      <c r="G31" s="123">
        <v>339.21</v>
      </c>
      <c r="H31" s="67">
        <f t="shared" si="2"/>
        <v>1.4393358719999998</v>
      </c>
      <c r="I31" s="13">
        <f t="shared" ref="I31:I34" si="3">F31/6*G31</f>
        <v>239.88931199999996</v>
      </c>
    </row>
    <row r="32" spans="1:9" hidden="1">
      <c r="A32" s="30">
        <v>15</v>
      </c>
      <c r="B32" s="63" t="s">
        <v>27</v>
      </c>
      <c r="C32" s="64" t="s">
        <v>86</v>
      </c>
      <c r="D32" s="63" t="s">
        <v>52</v>
      </c>
      <c r="E32" s="66">
        <v>436.6</v>
      </c>
      <c r="F32" s="66">
        <f>SUM(E32/1000)</f>
        <v>0.43660000000000004</v>
      </c>
      <c r="G32" s="123">
        <v>3961.23</v>
      </c>
      <c r="H32" s="67">
        <f t="shared" si="2"/>
        <v>1.7294730180000002</v>
      </c>
      <c r="I32" s="13">
        <f>F32*G32</f>
        <v>1729.4730180000001</v>
      </c>
    </row>
    <row r="33" spans="1:9" ht="15" customHeight="1">
      <c r="A33" s="30">
        <v>8</v>
      </c>
      <c r="B33" s="63" t="s">
        <v>123</v>
      </c>
      <c r="C33" s="64" t="s">
        <v>39</v>
      </c>
      <c r="D33" s="63" t="s">
        <v>61</v>
      </c>
      <c r="E33" s="66">
        <v>4</v>
      </c>
      <c r="F33" s="66">
        <f>E33*155/100</f>
        <v>6.2</v>
      </c>
      <c r="G33" s="123">
        <v>1707.63</v>
      </c>
      <c r="H33" s="67">
        <f>G33*F33/1000</f>
        <v>10.587306</v>
      </c>
      <c r="I33" s="13">
        <f t="shared" si="3"/>
        <v>1764.5510000000004</v>
      </c>
    </row>
    <row r="34" spans="1:9" ht="15" customHeight="1">
      <c r="A34" s="30">
        <v>9</v>
      </c>
      <c r="B34" s="63" t="s">
        <v>99</v>
      </c>
      <c r="C34" s="64" t="s">
        <v>31</v>
      </c>
      <c r="D34" s="63" t="s">
        <v>61</v>
      </c>
      <c r="E34" s="70">
        <f>1/3</f>
        <v>0.33333333333333331</v>
      </c>
      <c r="F34" s="66">
        <f>155/3</f>
        <v>51.666666666666664</v>
      </c>
      <c r="G34" s="123">
        <v>74.349999999999994</v>
      </c>
      <c r="H34" s="67">
        <f>SUM(G34*155/3/1000)</f>
        <v>3.8414166666666665</v>
      </c>
      <c r="I34" s="13">
        <f t="shared" si="3"/>
        <v>640.23611111111109</v>
      </c>
    </row>
    <row r="35" spans="1:9" hidden="1">
      <c r="A35" s="30"/>
      <c r="B35" s="63" t="s">
        <v>63</v>
      </c>
      <c r="C35" s="64" t="s">
        <v>33</v>
      </c>
      <c r="D35" s="63" t="s">
        <v>65</v>
      </c>
      <c r="E35" s="65"/>
      <c r="F35" s="66">
        <v>2</v>
      </c>
      <c r="G35" s="66">
        <v>250.92</v>
      </c>
      <c r="H35" s="67">
        <f t="shared" si="2"/>
        <v>0.50183999999999995</v>
      </c>
      <c r="I35" s="13">
        <v>0</v>
      </c>
    </row>
    <row r="36" spans="1:9" hidden="1">
      <c r="A36" s="30"/>
      <c r="B36" s="63" t="s">
        <v>64</v>
      </c>
      <c r="C36" s="64" t="s">
        <v>32</v>
      </c>
      <c r="D36" s="63" t="s">
        <v>65</v>
      </c>
      <c r="E36" s="65"/>
      <c r="F36" s="66">
        <v>1</v>
      </c>
      <c r="G36" s="66">
        <v>1490.31</v>
      </c>
      <c r="H36" s="67">
        <f t="shared" si="2"/>
        <v>1.49031</v>
      </c>
      <c r="I36" s="13">
        <v>0</v>
      </c>
    </row>
    <row r="37" spans="1:9" hidden="1">
      <c r="A37" s="30"/>
      <c r="B37" s="83" t="s">
        <v>5</v>
      </c>
      <c r="C37" s="64"/>
      <c r="D37" s="63"/>
      <c r="E37" s="65"/>
      <c r="F37" s="66"/>
      <c r="G37" s="66"/>
      <c r="H37" s="67" t="s">
        <v>122</v>
      </c>
      <c r="I37" s="13"/>
    </row>
    <row r="38" spans="1:9" hidden="1">
      <c r="A38" s="30">
        <v>6</v>
      </c>
      <c r="B38" s="63" t="s">
        <v>26</v>
      </c>
      <c r="C38" s="64" t="s">
        <v>32</v>
      </c>
      <c r="D38" s="63"/>
      <c r="E38" s="65"/>
      <c r="F38" s="66">
        <v>5</v>
      </c>
      <c r="G38" s="66">
        <v>2003</v>
      </c>
      <c r="H38" s="67">
        <f t="shared" ref="H38:H44" si="4">SUM(F38*G38/1000)</f>
        <v>10.015000000000001</v>
      </c>
      <c r="I38" s="13">
        <f t="shared" ref="I38:I44" si="5">F38/6*G38</f>
        <v>1669.1666666666667</v>
      </c>
    </row>
    <row r="39" spans="1:9" hidden="1">
      <c r="A39" s="30">
        <v>7</v>
      </c>
      <c r="B39" s="63" t="s">
        <v>146</v>
      </c>
      <c r="C39" s="64" t="s">
        <v>29</v>
      </c>
      <c r="D39" s="63" t="s">
        <v>115</v>
      </c>
      <c r="E39" s="65">
        <v>54.4</v>
      </c>
      <c r="F39" s="66">
        <f>E39*30/1000</f>
        <v>1.6319999999999999</v>
      </c>
      <c r="G39" s="66">
        <v>2757.78</v>
      </c>
      <c r="H39" s="67">
        <f t="shared" si="4"/>
        <v>4.50069696</v>
      </c>
      <c r="I39" s="13">
        <f t="shared" si="5"/>
        <v>750.11615999999992</v>
      </c>
    </row>
    <row r="40" spans="1:9" ht="30" hidden="1">
      <c r="A40" s="30">
        <v>8</v>
      </c>
      <c r="B40" s="63" t="s">
        <v>66</v>
      </c>
      <c r="C40" s="64" t="s">
        <v>29</v>
      </c>
      <c r="D40" s="63" t="s">
        <v>85</v>
      </c>
      <c r="E40" s="66">
        <v>54.4</v>
      </c>
      <c r="F40" s="66">
        <f>SUM(E40*155/1000)</f>
        <v>8.4320000000000004</v>
      </c>
      <c r="G40" s="66">
        <v>460.02</v>
      </c>
      <c r="H40" s="67">
        <f t="shared" si="4"/>
        <v>3.87888864</v>
      </c>
      <c r="I40" s="13">
        <f t="shared" si="5"/>
        <v>646.48144000000002</v>
      </c>
    </row>
    <row r="41" spans="1:9" ht="60" hidden="1">
      <c r="A41" s="30">
        <v>9</v>
      </c>
      <c r="B41" s="63" t="s">
        <v>78</v>
      </c>
      <c r="C41" s="64" t="s">
        <v>86</v>
      </c>
      <c r="D41" s="63" t="s">
        <v>116</v>
      </c>
      <c r="E41" s="66">
        <v>31.2</v>
      </c>
      <c r="F41" s="66">
        <f>SUM(E41*35/1000)</f>
        <v>1.0920000000000001</v>
      </c>
      <c r="G41" s="66">
        <v>7611.16</v>
      </c>
      <c r="H41" s="67">
        <f t="shared" si="4"/>
        <v>8.3113867199999998</v>
      </c>
      <c r="I41" s="13">
        <f t="shared" si="5"/>
        <v>1385.2311200000001</v>
      </c>
    </row>
    <row r="42" spans="1:9" hidden="1">
      <c r="A42" s="30">
        <v>10</v>
      </c>
      <c r="B42" s="63" t="s">
        <v>87</v>
      </c>
      <c r="C42" s="64" t="s">
        <v>86</v>
      </c>
      <c r="D42" s="63" t="s">
        <v>67</v>
      </c>
      <c r="E42" s="66">
        <v>54.4</v>
      </c>
      <c r="F42" s="66">
        <f>SUM(E42*45/1000)</f>
        <v>2.448</v>
      </c>
      <c r="G42" s="66">
        <v>562.25</v>
      </c>
      <c r="H42" s="67">
        <f t="shared" si="4"/>
        <v>1.3763879999999999</v>
      </c>
      <c r="I42" s="13">
        <f>(F42/7.5*1.5)*G42</f>
        <v>275.27759999999995</v>
      </c>
    </row>
    <row r="43" spans="1:9" hidden="1">
      <c r="A43" s="30">
        <v>11</v>
      </c>
      <c r="B43" s="63" t="s">
        <v>68</v>
      </c>
      <c r="C43" s="64" t="s">
        <v>33</v>
      </c>
      <c r="D43" s="63"/>
      <c r="E43" s="65"/>
      <c r="F43" s="66">
        <v>0.9</v>
      </c>
      <c r="G43" s="66">
        <v>974.83</v>
      </c>
      <c r="H43" s="67">
        <f t="shared" si="4"/>
        <v>0.8773470000000001</v>
      </c>
      <c r="I43" s="13">
        <f>(F43/7.5*1.5)*G43</f>
        <v>175.46940000000004</v>
      </c>
    </row>
    <row r="44" spans="1:9" ht="30" hidden="1">
      <c r="A44" s="30">
        <v>12</v>
      </c>
      <c r="B44" s="47" t="s">
        <v>147</v>
      </c>
      <c r="C44" s="49" t="s">
        <v>29</v>
      </c>
      <c r="D44" s="63" t="s">
        <v>148</v>
      </c>
      <c r="E44" s="65">
        <v>3</v>
      </c>
      <c r="F44" s="66">
        <f>SUM(E44*12/1000)</f>
        <v>3.5999999999999997E-2</v>
      </c>
      <c r="G44" s="66">
        <v>260.2</v>
      </c>
      <c r="H44" s="67">
        <f t="shared" si="4"/>
        <v>9.3671999999999991E-3</v>
      </c>
      <c r="I44" s="13">
        <f t="shared" si="5"/>
        <v>1.5611999999999997</v>
      </c>
    </row>
    <row r="45" spans="1:9">
      <c r="A45" s="185" t="s">
        <v>128</v>
      </c>
      <c r="B45" s="186"/>
      <c r="C45" s="186"/>
      <c r="D45" s="186"/>
      <c r="E45" s="186"/>
      <c r="F45" s="186"/>
      <c r="G45" s="186"/>
      <c r="H45" s="186"/>
      <c r="I45" s="187"/>
    </row>
    <row r="46" spans="1:9" hidden="1">
      <c r="A46" s="30">
        <v>18</v>
      </c>
      <c r="B46" s="63" t="s">
        <v>117</v>
      </c>
      <c r="C46" s="64" t="s">
        <v>86</v>
      </c>
      <c r="D46" s="63" t="s">
        <v>41</v>
      </c>
      <c r="E46" s="65">
        <v>1320.9</v>
      </c>
      <c r="F46" s="66">
        <f>SUM(E46*2/1000)</f>
        <v>2.6418000000000004</v>
      </c>
      <c r="G46" s="35">
        <v>1114.1300000000001</v>
      </c>
      <c r="H46" s="67">
        <f t="shared" ref="H46:H54" si="6">SUM(F46*G46/1000)</f>
        <v>2.943308634000001</v>
      </c>
      <c r="I46" s="13">
        <f>2.6418/2*G46</f>
        <v>1471.654317</v>
      </c>
    </row>
    <row r="47" spans="1:9" hidden="1">
      <c r="A47" s="30">
        <v>19</v>
      </c>
      <c r="B47" s="63" t="s">
        <v>34</v>
      </c>
      <c r="C47" s="64" t="s">
        <v>86</v>
      </c>
      <c r="D47" s="63" t="s">
        <v>41</v>
      </c>
      <c r="E47" s="65">
        <v>52</v>
      </c>
      <c r="F47" s="66">
        <f>E47*2/1000</f>
        <v>0.104</v>
      </c>
      <c r="G47" s="35">
        <v>4419.05</v>
      </c>
      <c r="H47" s="67">
        <f t="shared" si="6"/>
        <v>0.45958120000000002</v>
      </c>
      <c r="I47" s="13">
        <f>0.104/2*G47</f>
        <v>229.79060000000001</v>
      </c>
    </row>
    <row r="48" spans="1:9" hidden="1">
      <c r="A48" s="30">
        <v>20</v>
      </c>
      <c r="B48" s="63" t="s">
        <v>35</v>
      </c>
      <c r="C48" s="64" t="s">
        <v>86</v>
      </c>
      <c r="D48" s="63" t="s">
        <v>41</v>
      </c>
      <c r="E48" s="65">
        <v>1520.8</v>
      </c>
      <c r="F48" s="66">
        <f>SUM(E48*2/1000)</f>
        <v>3.0415999999999999</v>
      </c>
      <c r="G48" s="35">
        <v>1803.69</v>
      </c>
      <c r="H48" s="67">
        <f t="shared" si="6"/>
        <v>5.4861035039999999</v>
      </c>
      <c r="I48" s="13">
        <f>3.0416/2*G48</f>
        <v>2743.0517519999999</v>
      </c>
    </row>
    <row r="49" spans="1:9" hidden="1">
      <c r="A49" s="30">
        <v>21</v>
      </c>
      <c r="B49" s="63" t="s">
        <v>36</v>
      </c>
      <c r="C49" s="64" t="s">
        <v>86</v>
      </c>
      <c r="D49" s="63" t="s">
        <v>41</v>
      </c>
      <c r="E49" s="65">
        <v>3433.81</v>
      </c>
      <c r="F49" s="66">
        <f>SUM(E49*2/1000)</f>
        <v>6.8676199999999996</v>
      </c>
      <c r="G49" s="35">
        <v>1243.43</v>
      </c>
      <c r="H49" s="67">
        <f t="shared" si="6"/>
        <v>8.5394047365999999</v>
      </c>
      <c r="I49" s="13">
        <f>6.86762/2*G49</f>
        <v>4269.7023682999998</v>
      </c>
    </row>
    <row r="50" spans="1:9" hidden="1">
      <c r="A50" s="30">
        <v>13</v>
      </c>
      <c r="B50" s="63" t="s">
        <v>54</v>
      </c>
      <c r="C50" s="64" t="s">
        <v>86</v>
      </c>
      <c r="D50" s="63" t="s">
        <v>133</v>
      </c>
      <c r="E50" s="65">
        <v>4731.7</v>
      </c>
      <c r="F50" s="66">
        <f>SUM(E50*5/1000)</f>
        <v>23.6585</v>
      </c>
      <c r="G50" s="35">
        <v>1803.69</v>
      </c>
      <c r="H50" s="67">
        <f t="shared" si="6"/>
        <v>42.672599865000002</v>
      </c>
      <c r="I50" s="13">
        <f>F50/5*G50</f>
        <v>8534.5199730000004</v>
      </c>
    </row>
    <row r="51" spans="1:9" ht="45" hidden="1">
      <c r="A51" s="30">
        <v>22</v>
      </c>
      <c r="B51" s="63" t="s">
        <v>88</v>
      </c>
      <c r="C51" s="64" t="s">
        <v>86</v>
      </c>
      <c r="D51" s="63" t="s">
        <v>41</v>
      </c>
      <c r="E51" s="65">
        <v>4731.7</v>
      </c>
      <c r="F51" s="66">
        <f>SUM(E51*2/1000)</f>
        <v>9.4634</v>
      </c>
      <c r="G51" s="35">
        <v>1591.6</v>
      </c>
      <c r="H51" s="67">
        <f t="shared" si="6"/>
        <v>15.061947439999999</v>
      </c>
      <c r="I51" s="13">
        <f>9.4634/2*G51</f>
        <v>7530.97372</v>
      </c>
    </row>
    <row r="52" spans="1:9" ht="30" hidden="1">
      <c r="A52" s="30">
        <v>23</v>
      </c>
      <c r="B52" s="63" t="s">
        <v>89</v>
      </c>
      <c r="C52" s="64" t="s">
        <v>37</v>
      </c>
      <c r="D52" s="63" t="s">
        <v>41</v>
      </c>
      <c r="E52" s="65">
        <v>20</v>
      </c>
      <c r="F52" s="66">
        <f>SUM(E52*2/100)</f>
        <v>0.4</v>
      </c>
      <c r="G52" s="35">
        <v>4058.32</v>
      </c>
      <c r="H52" s="67">
        <f>SUM(F52*G52/1000)</f>
        <v>1.6233280000000001</v>
      </c>
      <c r="I52" s="13">
        <f>0.4/2*G52</f>
        <v>811.6640000000001</v>
      </c>
    </row>
    <row r="53" spans="1:9" hidden="1">
      <c r="A53" s="30">
        <v>24</v>
      </c>
      <c r="B53" s="63" t="s">
        <v>38</v>
      </c>
      <c r="C53" s="64" t="s">
        <v>39</v>
      </c>
      <c r="D53" s="63" t="s">
        <v>41</v>
      </c>
      <c r="E53" s="65">
        <v>1</v>
      </c>
      <c r="F53" s="66">
        <v>0.02</v>
      </c>
      <c r="G53" s="35">
        <v>7412.92</v>
      </c>
      <c r="H53" s="67">
        <f t="shared" si="6"/>
        <v>0.14825839999999998</v>
      </c>
      <c r="I53" s="13">
        <f>0.02/2*G53</f>
        <v>74.129199999999997</v>
      </c>
    </row>
    <row r="54" spans="1:9" ht="19.5" customHeight="1">
      <c r="A54" s="30">
        <v>10</v>
      </c>
      <c r="B54" s="63" t="s">
        <v>40</v>
      </c>
      <c r="C54" s="64" t="s">
        <v>101</v>
      </c>
      <c r="D54" s="63" t="s">
        <v>52</v>
      </c>
      <c r="E54" s="65">
        <v>160</v>
      </c>
      <c r="F54" s="66">
        <f>SUM(E54)</f>
        <v>160</v>
      </c>
      <c r="G54" s="124">
        <v>86.15</v>
      </c>
      <c r="H54" s="67">
        <f t="shared" si="6"/>
        <v>13.784000000000001</v>
      </c>
      <c r="I54" s="13">
        <f>G54*160</f>
        <v>13784</v>
      </c>
    </row>
    <row r="55" spans="1:9">
      <c r="A55" s="185" t="s">
        <v>129</v>
      </c>
      <c r="B55" s="186"/>
      <c r="C55" s="186"/>
      <c r="D55" s="186"/>
      <c r="E55" s="186"/>
      <c r="F55" s="186"/>
      <c r="G55" s="186"/>
      <c r="H55" s="186"/>
      <c r="I55" s="187"/>
    </row>
    <row r="56" spans="1:9">
      <c r="A56" s="30"/>
      <c r="B56" s="83" t="s">
        <v>42</v>
      </c>
      <c r="C56" s="64"/>
      <c r="D56" s="63"/>
      <c r="E56" s="65"/>
      <c r="F56" s="66"/>
      <c r="G56" s="66"/>
      <c r="H56" s="67"/>
      <c r="I56" s="13"/>
    </row>
    <row r="57" spans="1:9" ht="45" hidden="1">
      <c r="A57" s="30">
        <v>14</v>
      </c>
      <c r="B57" s="63" t="s">
        <v>118</v>
      </c>
      <c r="C57" s="64" t="s">
        <v>84</v>
      </c>
      <c r="D57" s="63" t="s">
        <v>102</v>
      </c>
      <c r="E57" s="65">
        <v>107.21</v>
      </c>
      <c r="F57" s="66">
        <f>SUM(E57*6/100)</f>
        <v>6.4325999999999999</v>
      </c>
      <c r="G57" s="13">
        <v>2029.3</v>
      </c>
      <c r="H57" s="67">
        <f>SUM(F57*G57/1000)</f>
        <v>13.053675180000001</v>
      </c>
      <c r="I57" s="13">
        <f>F57/6*G57</f>
        <v>2175.6125299999999</v>
      </c>
    </row>
    <row r="58" spans="1:9" hidden="1">
      <c r="A58" s="30">
        <v>14</v>
      </c>
      <c r="B58" s="72" t="s">
        <v>120</v>
      </c>
      <c r="C58" s="73" t="s">
        <v>121</v>
      </c>
      <c r="D58" s="72" t="s">
        <v>41</v>
      </c>
      <c r="E58" s="74">
        <v>4</v>
      </c>
      <c r="F58" s="75">
        <v>0.8</v>
      </c>
      <c r="G58" s="13">
        <v>237.1</v>
      </c>
      <c r="H58" s="67">
        <f t="shared" ref="H58:H59" si="7">SUM(F58*G58/1000)</f>
        <v>0.18968000000000002</v>
      </c>
      <c r="I58" s="13">
        <f>F58/2*G58</f>
        <v>94.84</v>
      </c>
    </row>
    <row r="59" spans="1:9" hidden="1">
      <c r="A59" s="30">
        <v>15</v>
      </c>
      <c r="B59" s="63" t="s">
        <v>119</v>
      </c>
      <c r="C59" s="64" t="s">
        <v>84</v>
      </c>
      <c r="D59" s="63" t="s">
        <v>102</v>
      </c>
      <c r="E59" s="65">
        <v>3.8</v>
      </c>
      <c r="F59" s="66">
        <f>SUM(E59*6/100)</f>
        <v>0.22799999999999998</v>
      </c>
      <c r="G59" s="13">
        <v>2029.3</v>
      </c>
      <c r="H59" s="67">
        <f t="shared" si="7"/>
        <v>0.46268039999999994</v>
      </c>
      <c r="I59" s="13">
        <f>F59/6*G59</f>
        <v>77.113399999999999</v>
      </c>
    </row>
    <row r="60" spans="1:9" ht="17.25" customHeight="1">
      <c r="A60" s="30">
        <v>11</v>
      </c>
      <c r="B60" s="63" t="s">
        <v>149</v>
      </c>
      <c r="C60" s="64" t="s">
        <v>150</v>
      </c>
      <c r="D60" s="63" t="s">
        <v>65</v>
      </c>
      <c r="E60" s="65"/>
      <c r="F60" s="66">
        <v>3</v>
      </c>
      <c r="G60" s="13">
        <v>1582.05</v>
      </c>
      <c r="H60" s="67">
        <f>SUM(F60*G60/1000)</f>
        <v>4.7461499999999992</v>
      </c>
      <c r="I60" s="13">
        <f>G60*10</f>
        <v>15820.5</v>
      </c>
    </row>
    <row r="61" spans="1:9" ht="18" customHeight="1">
      <c r="A61" s="30"/>
      <c r="B61" s="84" t="s">
        <v>43</v>
      </c>
      <c r="C61" s="73"/>
      <c r="D61" s="72"/>
      <c r="E61" s="74"/>
      <c r="F61" s="75"/>
      <c r="G61" s="13"/>
      <c r="H61" s="76"/>
      <c r="I61" s="13"/>
    </row>
    <row r="62" spans="1:9" hidden="1">
      <c r="A62" s="30">
        <v>18</v>
      </c>
      <c r="B62" s="72" t="s">
        <v>151</v>
      </c>
      <c r="C62" s="73" t="s">
        <v>51</v>
      </c>
      <c r="D62" s="72" t="s">
        <v>52</v>
      </c>
      <c r="E62" s="74">
        <v>660.45</v>
      </c>
      <c r="F62" s="75">
        <f>E62/100</f>
        <v>6.6045000000000007</v>
      </c>
      <c r="G62" s="13">
        <v>1040.8399999999999</v>
      </c>
      <c r="H62" s="76">
        <f>F62*G62/1000</f>
        <v>6.87422778</v>
      </c>
      <c r="I62" s="13">
        <f>G62*(1.2/100)</f>
        <v>12.490079999999999</v>
      </c>
    </row>
    <row r="63" spans="1:9" ht="18" customHeight="1">
      <c r="A63" s="30">
        <v>12</v>
      </c>
      <c r="B63" s="72" t="s">
        <v>112</v>
      </c>
      <c r="C63" s="73" t="s">
        <v>25</v>
      </c>
      <c r="D63" s="72" t="s">
        <v>30</v>
      </c>
      <c r="E63" s="74">
        <v>200</v>
      </c>
      <c r="F63" s="77">
        <f>E63*12</f>
        <v>2400</v>
      </c>
      <c r="G63" s="57">
        <v>2.8</v>
      </c>
      <c r="H63" s="75">
        <f>F63*G63/1000</f>
        <v>6.72</v>
      </c>
      <c r="I63" s="13">
        <f>2856/12*G63</f>
        <v>666.4</v>
      </c>
    </row>
    <row r="64" spans="1:9" ht="15.75" customHeight="1">
      <c r="A64" s="30"/>
      <c r="B64" s="84" t="s">
        <v>44</v>
      </c>
      <c r="C64" s="73"/>
      <c r="D64" s="72"/>
      <c r="E64" s="74"/>
      <c r="F64" s="77"/>
      <c r="G64" s="77"/>
      <c r="H64" s="75" t="s">
        <v>122</v>
      </c>
      <c r="I64" s="13"/>
    </row>
    <row r="65" spans="1:9" ht="13.5" customHeight="1">
      <c r="A65" s="30">
        <v>13</v>
      </c>
      <c r="B65" s="14" t="s">
        <v>45</v>
      </c>
      <c r="C65" s="16" t="s">
        <v>101</v>
      </c>
      <c r="D65" s="44" t="s">
        <v>65</v>
      </c>
      <c r="E65" s="18">
        <v>10</v>
      </c>
      <c r="F65" s="66">
        <f>SUM(E65)</f>
        <v>10</v>
      </c>
      <c r="G65" s="13">
        <v>291.68</v>
      </c>
      <c r="H65" s="78">
        <f t="shared" ref="H65:H83" si="8">SUM(F65*G65/1000)</f>
        <v>2.9168000000000003</v>
      </c>
      <c r="I65" s="13">
        <f>G65*3</f>
        <v>875.04</v>
      </c>
    </row>
    <row r="66" spans="1:9" hidden="1">
      <c r="A66" s="30"/>
      <c r="B66" s="14" t="s">
        <v>46</v>
      </c>
      <c r="C66" s="16" t="s">
        <v>101</v>
      </c>
      <c r="D66" s="14" t="s">
        <v>65</v>
      </c>
      <c r="E66" s="18">
        <v>9</v>
      </c>
      <c r="F66" s="66">
        <f>SUM(E66)</f>
        <v>9</v>
      </c>
      <c r="G66" s="13">
        <v>100.01</v>
      </c>
      <c r="H66" s="78">
        <f t="shared" si="8"/>
        <v>0.90009000000000006</v>
      </c>
      <c r="I66" s="13">
        <v>0</v>
      </c>
    </row>
    <row r="67" spans="1:9" hidden="1">
      <c r="A67" s="30">
        <v>16</v>
      </c>
      <c r="B67" s="14" t="s">
        <v>47</v>
      </c>
      <c r="C67" s="16" t="s">
        <v>103</v>
      </c>
      <c r="D67" s="14" t="s">
        <v>52</v>
      </c>
      <c r="E67" s="65">
        <v>19836</v>
      </c>
      <c r="F67" s="13">
        <f>SUM(E67/100)</f>
        <v>198.36</v>
      </c>
      <c r="G67" s="13">
        <v>278.24</v>
      </c>
      <c r="H67" s="78">
        <f t="shared" si="8"/>
        <v>55.191686400000009</v>
      </c>
      <c r="I67" s="13">
        <f>F67*G67</f>
        <v>55191.686400000006</v>
      </c>
    </row>
    <row r="68" spans="1:9" hidden="1">
      <c r="A68" s="30">
        <v>27</v>
      </c>
      <c r="B68" s="14" t="s">
        <v>48</v>
      </c>
      <c r="C68" s="16" t="s">
        <v>104</v>
      </c>
      <c r="D68" s="14"/>
      <c r="E68" s="65">
        <v>19836</v>
      </c>
      <c r="F68" s="13">
        <f>SUM(E68/1000)</f>
        <v>19.835999999999999</v>
      </c>
      <c r="G68" s="13">
        <v>216.68</v>
      </c>
      <c r="H68" s="78">
        <f t="shared" si="8"/>
        <v>4.2980644799999999</v>
      </c>
      <c r="I68" s="13">
        <f t="shared" ref="I68:I72" si="9">F68*G68</f>
        <v>4298.06448</v>
      </c>
    </row>
    <row r="69" spans="1:9" hidden="1">
      <c r="A69" s="30">
        <v>28</v>
      </c>
      <c r="B69" s="14" t="s">
        <v>49</v>
      </c>
      <c r="C69" s="16" t="s">
        <v>73</v>
      </c>
      <c r="D69" s="14" t="s">
        <v>52</v>
      </c>
      <c r="E69" s="65">
        <v>3155</v>
      </c>
      <c r="F69" s="13">
        <f>SUM(E69/100)</f>
        <v>31.55</v>
      </c>
      <c r="G69" s="13">
        <v>2720.94</v>
      </c>
      <c r="H69" s="78">
        <f t="shared" si="8"/>
        <v>85.845657000000003</v>
      </c>
      <c r="I69" s="13">
        <f t="shared" si="9"/>
        <v>85845.657000000007</v>
      </c>
    </row>
    <row r="70" spans="1:9" hidden="1">
      <c r="A70" s="30">
        <v>29</v>
      </c>
      <c r="B70" s="79" t="s">
        <v>105</v>
      </c>
      <c r="C70" s="16" t="s">
        <v>33</v>
      </c>
      <c r="D70" s="14"/>
      <c r="E70" s="65">
        <v>34.5</v>
      </c>
      <c r="F70" s="13">
        <f>SUM(E70)</f>
        <v>34.5</v>
      </c>
      <c r="G70" s="13">
        <v>44.31</v>
      </c>
      <c r="H70" s="78">
        <f t="shared" si="8"/>
        <v>1.5286950000000001</v>
      </c>
      <c r="I70" s="13">
        <f t="shared" si="9"/>
        <v>1528.6950000000002</v>
      </c>
    </row>
    <row r="71" spans="1:9" ht="30" hidden="1">
      <c r="A71" s="30">
        <v>30</v>
      </c>
      <c r="B71" s="79" t="s">
        <v>106</v>
      </c>
      <c r="C71" s="16" t="s">
        <v>33</v>
      </c>
      <c r="D71" s="14"/>
      <c r="E71" s="65">
        <v>34.5</v>
      </c>
      <c r="F71" s="13">
        <f t="shared" ref="F71:F72" si="10">SUM(E71)</f>
        <v>34.5</v>
      </c>
      <c r="G71" s="13">
        <v>47.79</v>
      </c>
      <c r="H71" s="78">
        <f t="shared" si="8"/>
        <v>1.648755</v>
      </c>
      <c r="I71" s="13">
        <f t="shared" si="9"/>
        <v>1648.7549999999999</v>
      </c>
    </row>
    <row r="72" spans="1:9" hidden="1">
      <c r="A72" s="30">
        <v>12</v>
      </c>
      <c r="B72" s="14" t="s">
        <v>55</v>
      </c>
      <c r="C72" s="16" t="s">
        <v>56</v>
      </c>
      <c r="D72" s="14" t="s">
        <v>52</v>
      </c>
      <c r="E72" s="18">
        <v>5</v>
      </c>
      <c r="F72" s="13">
        <f t="shared" si="10"/>
        <v>5</v>
      </c>
      <c r="G72" s="13">
        <v>65.42</v>
      </c>
      <c r="H72" s="78">
        <f t="shared" si="8"/>
        <v>0.3271</v>
      </c>
      <c r="I72" s="13">
        <f t="shared" si="9"/>
        <v>327.10000000000002</v>
      </c>
    </row>
    <row r="73" spans="1:9" ht="18" customHeight="1">
      <c r="A73" s="30"/>
      <c r="B73" s="102" t="s">
        <v>152</v>
      </c>
      <c r="C73" s="49"/>
      <c r="D73" s="14"/>
      <c r="E73" s="18"/>
      <c r="F73" s="13"/>
      <c r="G73" s="13"/>
      <c r="H73" s="78"/>
      <c r="I73" s="13"/>
    </row>
    <row r="74" spans="1:9" ht="16.5" customHeight="1">
      <c r="A74" s="30">
        <v>14</v>
      </c>
      <c r="B74" s="14" t="s">
        <v>153</v>
      </c>
      <c r="C74" s="30" t="s">
        <v>154</v>
      </c>
      <c r="D74" s="44" t="s">
        <v>65</v>
      </c>
      <c r="E74" s="18">
        <v>4731.7</v>
      </c>
      <c r="F74" s="13">
        <f>SUM(E74*12)</f>
        <v>56780.399999999994</v>
      </c>
      <c r="G74" s="13">
        <v>2.2799999999999998</v>
      </c>
      <c r="H74" s="78">
        <f t="shared" ref="H74" si="11">SUM(F74*G74/1000)</f>
        <v>129.45931199999998</v>
      </c>
      <c r="I74" s="13">
        <f>F74/12*G74</f>
        <v>10788.275999999998</v>
      </c>
    </row>
    <row r="75" spans="1:9" ht="14.25" customHeight="1">
      <c r="A75" s="30"/>
      <c r="B75" s="141" t="s">
        <v>69</v>
      </c>
      <c r="C75" s="16"/>
      <c r="D75" s="14"/>
      <c r="E75" s="18"/>
      <c r="F75" s="13"/>
      <c r="G75" s="13"/>
      <c r="H75" s="78" t="s">
        <v>122</v>
      </c>
      <c r="I75" s="13"/>
    </row>
    <row r="76" spans="1:9" ht="30" hidden="1">
      <c r="A76" s="30"/>
      <c r="B76" s="14" t="s">
        <v>155</v>
      </c>
      <c r="C76" s="16" t="s">
        <v>101</v>
      </c>
      <c r="D76" s="14" t="s">
        <v>65</v>
      </c>
      <c r="E76" s="18">
        <v>1</v>
      </c>
      <c r="F76" s="13">
        <v>1</v>
      </c>
      <c r="G76" s="13">
        <v>1543.4</v>
      </c>
      <c r="H76" s="78">
        <f t="shared" ref="H76:H79" si="12">SUM(F76*G76/1000)</f>
        <v>1.5434000000000001</v>
      </c>
      <c r="I76" s="13">
        <v>0</v>
      </c>
    </row>
    <row r="77" spans="1:9" hidden="1">
      <c r="A77" s="30">
        <v>19</v>
      </c>
      <c r="B77" s="47" t="s">
        <v>156</v>
      </c>
      <c r="C77" s="49" t="s">
        <v>101</v>
      </c>
      <c r="D77" s="14" t="s">
        <v>65</v>
      </c>
      <c r="E77" s="18">
        <v>4</v>
      </c>
      <c r="F77" s="13">
        <v>1</v>
      </c>
      <c r="G77" s="13">
        <v>130.96</v>
      </c>
      <c r="H77" s="78">
        <f>SUM(F77*G77/1000)</f>
        <v>0.13096000000000002</v>
      </c>
      <c r="I77" s="13">
        <v>0</v>
      </c>
    </row>
    <row r="78" spans="1:9" hidden="1">
      <c r="A78" s="30">
        <v>13</v>
      </c>
      <c r="B78" s="14" t="s">
        <v>70</v>
      </c>
      <c r="C78" s="16" t="s">
        <v>71</v>
      </c>
      <c r="D78" s="44" t="s">
        <v>65</v>
      </c>
      <c r="E78" s="18">
        <v>8</v>
      </c>
      <c r="F78" s="13">
        <f>E78/10</f>
        <v>0.8</v>
      </c>
      <c r="G78" s="13">
        <v>657.87</v>
      </c>
      <c r="H78" s="78">
        <f t="shared" si="12"/>
        <v>0.5262960000000001</v>
      </c>
      <c r="I78" s="13">
        <f>G78*0.2</f>
        <v>131.57400000000001</v>
      </c>
    </row>
    <row r="79" spans="1:9" hidden="1">
      <c r="A79" s="30"/>
      <c r="B79" s="14" t="s">
        <v>157</v>
      </c>
      <c r="C79" s="16" t="s">
        <v>101</v>
      </c>
      <c r="D79" s="14" t="s">
        <v>65</v>
      </c>
      <c r="E79" s="18">
        <v>1</v>
      </c>
      <c r="F79" s="66">
        <f>SUM(E79)</f>
        <v>1</v>
      </c>
      <c r="G79" s="13">
        <v>1118.72</v>
      </c>
      <c r="H79" s="78">
        <f t="shared" si="12"/>
        <v>1.1187199999999999</v>
      </c>
      <c r="I79" s="13">
        <v>0</v>
      </c>
    </row>
    <row r="80" spans="1:9" hidden="1">
      <c r="A80" s="30"/>
      <c r="B80" s="47" t="s">
        <v>158</v>
      </c>
      <c r="C80" s="49" t="s">
        <v>101</v>
      </c>
      <c r="D80" s="14" t="s">
        <v>65</v>
      </c>
      <c r="E80" s="18">
        <v>1</v>
      </c>
      <c r="F80" s="57">
        <v>1</v>
      </c>
      <c r="G80" s="13">
        <v>3757.02</v>
      </c>
      <c r="H80" s="78">
        <f>SUM(F80*G80/1000)</f>
        <v>3.7570199999999998</v>
      </c>
      <c r="I80" s="13">
        <v>0</v>
      </c>
    </row>
    <row r="81" spans="1:9" ht="30.75" customHeight="1">
      <c r="A81" s="30">
        <v>15</v>
      </c>
      <c r="B81" s="47" t="s">
        <v>159</v>
      </c>
      <c r="C81" s="49" t="s">
        <v>101</v>
      </c>
      <c r="D81" s="14" t="s">
        <v>30</v>
      </c>
      <c r="E81" s="99">
        <v>2</v>
      </c>
      <c r="F81" s="77">
        <f>E81*12</f>
        <v>24</v>
      </c>
      <c r="G81" s="100">
        <v>53.42</v>
      </c>
      <c r="H81" s="78">
        <f t="shared" ref="H81" si="13">SUM(F81*G81/1000)</f>
        <v>1.2820799999999999</v>
      </c>
      <c r="I81" s="13">
        <f>G81*2</f>
        <v>106.84</v>
      </c>
    </row>
    <row r="82" spans="1:9" hidden="1">
      <c r="A82" s="30"/>
      <c r="B82" s="81" t="s">
        <v>72</v>
      </c>
      <c r="C82" s="16"/>
      <c r="D82" s="14"/>
      <c r="E82" s="18"/>
      <c r="F82" s="13"/>
      <c r="G82" s="13" t="s">
        <v>122</v>
      </c>
      <c r="H82" s="78" t="s">
        <v>122</v>
      </c>
      <c r="I82" s="13"/>
    </row>
    <row r="83" spans="1:9" hidden="1">
      <c r="A83" s="30"/>
      <c r="B83" s="44" t="s">
        <v>114</v>
      </c>
      <c r="C83" s="16" t="s">
        <v>73</v>
      </c>
      <c r="D83" s="14"/>
      <c r="E83" s="18"/>
      <c r="F83" s="13">
        <v>0.3</v>
      </c>
      <c r="G83" s="13">
        <v>3619.09</v>
      </c>
      <c r="H83" s="78">
        <f t="shared" si="8"/>
        <v>1.0857270000000001</v>
      </c>
      <c r="I83" s="13">
        <v>0</v>
      </c>
    </row>
    <row r="84" spans="1:9" ht="28.5" hidden="1">
      <c r="A84" s="30"/>
      <c r="B84" s="103" t="s">
        <v>90</v>
      </c>
      <c r="C84" s="81"/>
      <c r="D84" s="32"/>
      <c r="E84" s="33"/>
      <c r="F84" s="69"/>
      <c r="G84" s="69"/>
      <c r="H84" s="82">
        <f>SUM(H57:H83)</f>
        <v>323.6067762400001</v>
      </c>
      <c r="I84" s="69"/>
    </row>
    <row r="85" spans="1:9" hidden="1">
      <c r="A85" s="30"/>
      <c r="B85" s="63" t="s">
        <v>107</v>
      </c>
      <c r="C85" s="16"/>
      <c r="D85" s="14"/>
      <c r="E85" s="58"/>
      <c r="F85" s="13">
        <v>1</v>
      </c>
      <c r="G85" s="13">
        <v>20512</v>
      </c>
      <c r="H85" s="78">
        <f>G85*F85/1000</f>
        <v>20.512</v>
      </c>
      <c r="I85" s="13">
        <v>0</v>
      </c>
    </row>
    <row r="86" spans="1:9">
      <c r="A86" s="194" t="s">
        <v>169</v>
      </c>
      <c r="B86" s="195"/>
      <c r="C86" s="195"/>
      <c r="D86" s="195"/>
      <c r="E86" s="195"/>
      <c r="F86" s="195"/>
      <c r="G86" s="195"/>
      <c r="H86" s="195"/>
      <c r="I86" s="196"/>
    </row>
    <row r="87" spans="1:9" ht="18" customHeight="1">
      <c r="A87" s="30">
        <v>16</v>
      </c>
      <c r="B87" s="63" t="s">
        <v>108</v>
      </c>
      <c r="C87" s="16" t="s">
        <v>53</v>
      </c>
      <c r="D87" s="101"/>
      <c r="E87" s="13">
        <v>4731.7</v>
      </c>
      <c r="F87" s="13">
        <f>SUM(E87*12)</f>
        <v>56780.399999999994</v>
      </c>
      <c r="G87" s="13">
        <v>3.1</v>
      </c>
      <c r="H87" s="78">
        <f>SUM(F87*G87/1000)</f>
        <v>176.01924</v>
      </c>
      <c r="I87" s="13">
        <f>F87/12*G87</f>
        <v>14668.27</v>
      </c>
    </row>
    <row r="88" spans="1:9" ht="28.5" customHeight="1">
      <c r="A88" s="30">
        <v>17</v>
      </c>
      <c r="B88" s="14" t="s">
        <v>74</v>
      </c>
      <c r="C88" s="16"/>
      <c r="D88" s="44"/>
      <c r="E88" s="65">
        <f>E87</f>
        <v>4731.7</v>
      </c>
      <c r="F88" s="13">
        <f>E88*12</f>
        <v>56780.399999999994</v>
      </c>
      <c r="G88" s="13">
        <v>3.5</v>
      </c>
      <c r="H88" s="78">
        <f>F88*G88/1000</f>
        <v>198.73139999999995</v>
      </c>
      <c r="I88" s="13">
        <f>F88/12*G88</f>
        <v>16560.95</v>
      </c>
    </row>
    <row r="89" spans="1:9">
      <c r="A89" s="30"/>
      <c r="B89" s="37" t="s">
        <v>76</v>
      </c>
      <c r="C89" s="81"/>
      <c r="D89" s="80"/>
      <c r="E89" s="69"/>
      <c r="F89" s="69"/>
      <c r="G89" s="69"/>
      <c r="H89" s="82">
        <f>H88</f>
        <v>198.73139999999995</v>
      </c>
      <c r="I89" s="69">
        <f>I88+I87+I81+I74+I65+I63+I60+I54+I34+I33+I31+I30+I27+I26+I18+I17+I16</f>
        <v>111832.27742111111</v>
      </c>
    </row>
    <row r="90" spans="1:9">
      <c r="A90" s="191" t="s">
        <v>58</v>
      </c>
      <c r="B90" s="192"/>
      <c r="C90" s="192"/>
      <c r="D90" s="192"/>
      <c r="E90" s="192"/>
      <c r="F90" s="192"/>
      <c r="G90" s="192"/>
      <c r="H90" s="192"/>
      <c r="I90" s="193"/>
    </row>
    <row r="91" spans="1:9" ht="28.5" customHeight="1">
      <c r="A91" s="30" t="s">
        <v>243</v>
      </c>
      <c r="B91" s="47" t="s">
        <v>124</v>
      </c>
      <c r="C91" s="49" t="s">
        <v>101</v>
      </c>
      <c r="D91" s="44"/>
      <c r="E91" s="35"/>
      <c r="F91" s="35"/>
      <c r="G91" s="35">
        <v>55.55</v>
      </c>
      <c r="H91" s="35"/>
      <c r="I91" s="13">
        <f>G91*80</f>
        <v>4444</v>
      </c>
    </row>
    <row r="92" spans="1:9" ht="30">
      <c r="A92" s="30">
        <v>19</v>
      </c>
      <c r="B92" s="47" t="s">
        <v>77</v>
      </c>
      <c r="C92" s="49" t="s">
        <v>101</v>
      </c>
      <c r="D92" s="44"/>
      <c r="E92" s="35"/>
      <c r="F92" s="35"/>
      <c r="G92" s="35">
        <v>197.48</v>
      </c>
      <c r="H92" s="35"/>
      <c r="I92" s="13">
        <f>G92*1</f>
        <v>197.48</v>
      </c>
    </row>
    <row r="93" spans="1:9">
      <c r="A93" s="30">
        <v>20</v>
      </c>
      <c r="B93" s="112" t="s">
        <v>234</v>
      </c>
      <c r="C93" s="113" t="s">
        <v>235</v>
      </c>
      <c r="D93" s="44"/>
      <c r="E93" s="35"/>
      <c r="F93" s="35"/>
      <c r="G93" s="35">
        <v>608.21</v>
      </c>
      <c r="H93" s="35"/>
      <c r="I93" s="13">
        <f>G93*1</f>
        <v>608.21</v>
      </c>
    </row>
    <row r="94" spans="1:9">
      <c r="A94" s="30">
        <v>21</v>
      </c>
      <c r="B94" s="104" t="s">
        <v>236</v>
      </c>
      <c r="C94" s="85" t="s">
        <v>237</v>
      </c>
      <c r="D94" s="44"/>
      <c r="E94" s="35"/>
      <c r="F94" s="35"/>
      <c r="G94" s="35">
        <v>13785.45</v>
      </c>
      <c r="H94" s="35"/>
      <c r="I94" s="13">
        <f>G94*0.1</f>
        <v>1378.5450000000001</v>
      </c>
    </row>
    <row r="95" spans="1:9">
      <c r="A95" s="30">
        <v>22</v>
      </c>
      <c r="B95" s="104" t="s">
        <v>238</v>
      </c>
      <c r="C95" s="85" t="s">
        <v>101</v>
      </c>
      <c r="D95" s="44"/>
      <c r="E95" s="35"/>
      <c r="F95" s="35"/>
      <c r="G95" s="35">
        <v>192</v>
      </c>
      <c r="H95" s="35"/>
      <c r="I95" s="13">
        <f>G95*3</f>
        <v>576</v>
      </c>
    </row>
    <row r="96" spans="1:9" s="151" customFormat="1">
      <c r="A96" s="30">
        <v>23</v>
      </c>
      <c r="B96" s="112" t="s">
        <v>246</v>
      </c>
      <c r="C96" s="113" t="s">
        <v>51</v>
      </c>
      <c r="D96" s="16" t="s">
        <v>239</v>
      </c>
      <c r="E96" s="35"/>
      <c r="F96" s="35"/>
      <c r="G96" s="35">
        <v>565.26666599999999</v>
      </c>
      <c r="H96" s="35"/>
      <c r="I96" s="13">
        <f>G96*450</f>
        <v>254369.99969999999</v>
      </c>
    </row>
    <row r="97" spans="1:9" ht="30">
      <c r="A97" s="30">
        <v>24</v>
      </c>
      <c r="B97" s="112" t="s">
        <v>227</v>
      </c>
      <c r="C97" s="113" t="s">
        <v>37</v>
      </c>
      <c r="D97" s="44"/>
      <c r="E97" s="35"/>
      <c r="F97" s="35"/>
      <c r="G97" s="35">
        <v>3724.37</v>
      </c>
      <c r="H97" s="35"/>
      <c r="I97" s="13">
        <f>G97*0.01</f>
        <v>37.243699999999997</v>
      </c>
    </row>
    <row r="98" spans="1:9" ht="30">
      <c r="A98" s="30">
        <v>25</v>
      </c>
      <c r="B98" s="112" t="s">
        <v>175</v>
      </c>
      <c r="C98" s="113" t="s">
        <v>101</v>
      </c>
      <c r="D98" s="44"/>
      <c r="E98" s="35"/>
      <c r="F98" s="35"/>
      <c r="G98" s="35">
        <v>86.69</v>
      </c>
      <c r="H98" s="35"/>
      <c r="I98" s="13">
        <f>G98*1</f>
        <v>86.69</v>
      </c>
    </row>
    <row r="99" spans="1:9">
      <c r="A99" s="30">
        <v>26</v>
      </c>
      <c r="B99" s="112" t="s">
        <v>240</v>
      </c>
      <c r="C99" s="113" t="s">
        <v>101</v>
      </c>
      <c r="D99" s="44"/>
      <c r="E99" s="35"/>
      <c r="F99" s="35"/>
      <c r="G99" s="35">
        <v>390.56</v>
      </c>
      <c r="H99" s="35"/>
      <c r="I99" s="13">
        <f>G99*1</f>
        <v>390.56</v>
      </c>
    </row>
    <row r="100" spans="1:9">
      <c r="A100" s="30">
        <v>27</v>
      </c>
      <c r="B100" s="112" t="s">
        <v>241</v>
      </c>
      <c r="C100" s="113" t="s">
        <v>242</v>
      </c>
      <c r="D100" s="44"/>
      <c r="E100" s="35"/>
      <c r="F100" s="35"/>
      <c r="G100" s="35">
        <v>144.84</v>
      </c>
      <c r="H100" s="35"/>
      <c r="I100" s="13">
        <f>G100*0.2</f>
        <v>28.968000000000004</v>
      </c>
    </row>
    <row r="101" spans="1:9" hidden="1">
      <c r="A101" s="30"/>
      <c r="B101" s="47"/>
      <c r="C101" s="49"/>
      <c r="D101" s="44"/>
      <c r="E101" s="35"/>
      <c r="F101" s="35"/>
      <c r="G101" s="35"/>
      <c r="H101" s="35"/>
      <c r="I101" s="13"/>
    </row>
    <row r="102" spans="1:9" hidden="1">
      <c r="A102" s="30">
        <v>23</v>
      </c>
      <c r="B102" s="112"/>
      <c r="C102" s="113"/>
      <c r="D102" s="44"/>
      <c r="E102" s="35"/>
      <c r="F102" s="35"/>
      <c r="G102" s="35"/>
      <c r="H102" s="35"/>
      <c r="I102" s="13"/>
    </row>
    <row r="103" spans="1:9">
      <c r="A103" s="30">
        <v>28</v>
      </c>
      <c r="B103" s="112" t="s">
        <v>208</v>
      </c>
      <c r="C103" s="113" t="s">
        <v>79</v>
      </c>
      <c r="D103" s="44"/>
      <c r="E103" s="35"/>
      <c r="F103" s="35"/>
      <c r="G103" s="122">
        <v>203.68</v>
      </c>
      <c r="H103" s="35"/>
      <c r="I103" s="13">
        <f>G103*1</f>
        <v>203.68</v>
      </c>
    </row>
    <row r="104" spans="1:9" ht="45">
      <c r="A104" s="30">
        <v>29</v>
      </c>
      <c r="B104" s="112" t="s">
        <v>206</v>
      </c>
      <c r="C104" s="113" t="s">
        <v>207</v>
      </c>
      <c r="D104" s="44"/>
      <c r="E104" s="35"/>
      <c r="F104" s="35"/>
      <c r="G104" s="35">
        <v>56.34</v>
      </c>
      <c r="H104" s="35"/>
      <c r="I104" s="13">
        <f>G104*2</f>
        <v>112.68</v>
      </c>
    </row>
    <row r="105" spans="1:9">
      <c r="A105" s="30">
        <v>30</v>
      </c>
      <c r="B105" s="112" t="s">
        <v>255</v>
      </c>
      <c r="C105" s="113" t="s">
        <v>101</v>
      </c>
      <c r="D105" s="44"/>
      <c r="E105" s="35"/>
      <c r="F105" s="35"/>
      <c r="G105" s="35">
        <v>20.350000000000001</v>
      </c>
      <c r="H105" s="35"/>
      <c r="I105" s="13">
        <f>G105*1</f>
        <v>20.350000000000001</v>
      </c>
    </row>
    <row r="106" spans="1:9" ht="30">
      <c r="A106" s="30">
        <v>31</v>
      </c>
      <c r="B106" s="112" t="s">
        <v>176</v>
      </c>
      <c r="C106" s="113" t="s">
        <v>177</v>
      </c>
      <c r="D106" s="44"/>
      <c r="E106" s="35"/>
      <c r="F106" s="35"/>
      <c r="G106" s="13">
        <v>613.44000000000005</v>
      </c>
      <c r="H106" s="35"/>
      <c r="I106" s="13">
        <f>G106*1</f>
        <v>613.44000000000005</v>
      </c>
    </row>
    <row r="107" spans="1:9" ht="15" customHeight="1">
      <c r="A107" s="30"/>
      <c r="B107" s="32" t="s">
        <v>50</v>
      </c>
      <c r="C107" s="38"/>
      <c r="D107" s="45"/>
      <c r="E107" s="38">
        <v>1</v>
      </c>
      <c r="F107" s="38"/>
      <c r="G107" s="38"/>
      <c r="H107" s="38"/>
      <c r="I107" s="33">
        <f>SUM(I92:I106)</f>
        <v>258623.84639999995</v>
      </c>
    </row>
    <row r="108" spans="1:9">
      <c r="A108" s="30"/>
      <c r="B108" s="44" t="s">
        <v>75</v>
      </c>
      <c r="C108" s="15"/>
      <c r="D108" s="15"/>
      <c r="E108" s="39"/>
      <c r="F108" s="39"/>
      <c r="G108" s="40"/>
      <c r="H108" s="40"/>
      <c r="I108" s="17">
        <v>0</v>
      </c>
    </row>
    <row r="109" spans="1:9">
      <c r="A109" s="46"/>
      <c r="B109" s="43" t="s">
        <v>143</v>
      </c>
      <c r="C109" s="34"/>
      <c r="D109" s="34"/>
      <c r="E109" s="34"/>
      <c r="F109" s="34"/>
      <c r="G109" s="34"/>
      <c r="H109" s="34"/>
      <c r="I109" s="41">
        <f>I89+I107</f>
        <v>370456.12382111105</v>
      </c>
    </row>
    <row r="110" spans="1:9">
      <c r="A110" s="197" t="s">
        <v>244</v>
      </c>
      <c r="B110" s="198"/>
      <c r="C110" s="198"/>
      <c r="D110" s="198"/>
      <c r="E110" s="198"/>
      <c r="F110" s="198"/>
      <c r="G110" s="198"/>
      <c r="H110" s="198"/>
      <c r="I110" s="198"/>
    </row>
    <row r="111" spans="1:9" ht="15.75">
      <c r="A111" s="188" t="s">
        <v>256</v>
      </c>
      <c r="B111" s="188"/>
      <c r="C111" s="188"/>
      <c r="D111" s="188"/>
      <c r="E111" s="188"/>
      <c r="F111" s="188"/>
      <c r="G111" s="188"/>
      <c r="H111" s="188"/>
      <c r="I111" s="188"/>
    </row>
    <row r="112" spans="1:9" ht="15.75">
      <c r="A112" s="56"/>
      <c r="B112" s="189" t="s">
        <v>257</v>
      </c>
      <c r="C112" s="189"/>
      <c r="D112" s="189"/>
      <c r="E112" s="189"/>
      <c r="F112" s="189"/>
      <c r="G112" s="189"/>
      <c r="H112" s="61"/>
      <c r="I112" s="3"/>
    </row>
    <row r="113" spans="1:9">
      <c r="A113" s="139"/>
      <c r="B113" s="179" t="s">
        <v>6</v>
      </c>
      <c r="C113" s="179"/>
      <c r="D113" s="179"/>
      <c r="E113" s="179"/>
      <c r="F113" s="179"/>
      <c r="G113" s="179"/>
      <c r="H113" s="25"/>
      <c r="I113" s="5"/>
    </row>
    <row r="114" spans="1:9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ht="15.75">
      <c r="A115" s="190" t="s">
        <v>7</v>
      </c>
      <c r="B115" s="190"/>
      <c r="C115" s="190"/>
      <c r="D115" s="190"/>
      <c r="E115" s="190"/>
      <c r="F115" s="190"/>
      <c r="G115" s="190"/>
      <c r="H115" s="190"/>
      <c r="I115" s="190"/>
    </row>
    <row r="116" spans="1:9" ht="15.75">
      <c r="A116" s="190" t="s">
        <v>8</v>
      </c>
      <c r="B116" s="190"/>
      <c r="C116" s="190"/>
      <c r="D116" s="190"/>
      <c r="E116" s="190"/>
      <c r="F116" s="190"/>
      <c r="G116" s="190"/>
      <c r="H116" s="190"/>
      <c r="I116" s="190"/>
    </row>
    <row r="117" spans="1:9" ht="15.75">
      <c r="A117" s="183" t="s">
        <v>59</v>
      </c>
      <c r="B117" s="183"/>
      <c r="C117" s="183"/>
      <c r="D117" s="183"/>
      <c r="E117" s="183"/>
      <c r="F117" s="183"/>
      <c r="G117" s="183"/>
      <c r="H117" s="183"/>
      <c r="I117" s="183"/>
    </row>
    <row r="118" spans="1:9" ht="15.75">
      <c r="A118" s="11"/>
    </row>
    <row r="119" spans="1:9" ht="15.75">
      <c r="A119" s="177" t="s">
        <v>9</v>
      </c>
      <c r="B119" s="177"/>
      <c r="C119" s="177"/>
      <c r="D119" s="177"/>
      <c r="E119" s="177"/>
      <c r="F119" s="177"/>
      <c r="G119" s="177"/>
      <c r="H119" s="177"/>
      <c r="I119" s="177"/>
    </row>
    <row r="120" spans="1:9" ht="15.75">
      <c r="A120" s="4"/>
    </row>
    <row r="121" spans="1:9" ht="15.75">
      <c r="B121" s="142" t="s">
        <v>10</v>
      </c>
      <c r="C121" s="178" t="s">
        <v>131</v>
      </c>
      <c r="D121" s="178"/>
      <c r="E121" s="178"/>
      <c r="F121" s="59"/>
      <c r="I121" s="144"/>
    </row>
    <row r="122" spans="1:9">
      <c r="A122" s="139"/>
      <c r="C122" s="179" t="s">
        <v>11</v>
      </c>
      <c r="D122" s="179"/>
      <c r="E122" s="179"/>
      <c r="F122" s="25"/>
      <c r="I122" s="143" t="s">
        <v>12</v>
      </c>
    </row>
    <row r="123" spans="1:9" ht="15.75">
      <c r="A123" s="26"/>
      <c r="C123" s="12"/>
      <c r="D123" s="12"/>
      <c r="G123" s="12"/>
      <c r="H123" s="12"/>
    </row>
    <row r="124" spans="1:9" ht="15.75">
      <c r="B124" s="142" t="s">
        <v>13</v>
      </c>
      <c r="C124" s="180"/>
      <c r="D124" s="180"/>
      <c r="E124" s="180"/>
      <c r="F124" s="60"/>
      <c r="I124" s="144"/>
    </row>
    <row r="125" spans="1:9">
      <c r="A125" s="139"/>
      <c r="C125" s="181" t="s">
        <v>11</v>
      </c>
      <c r="D125" s="181"/>
      <c r="E125" s="181"/>
      <c r="F125" s="139"/>
      <c r="I125" s="143" t="s">
        <v>12</v>
      </c>
    </row>
    <row r="126" spans="1:9" ht="15.75">
      <c r="A126" s="4" t="s">
        <v>14</v>
      </c>
    </row>
    <row r="127" spans="1:9">
      <c r="A127" s="182" t="s">
        <v>15</v>
      </c>
      <c r="B127" s="182"/>
      <c r="C127" s="182"/>
      <c r="D127" s="182"/>
      <c r="E127" s="182"/>
      <c r="F127" s="182"/>
      <c r="G127" s="182"/>
      <c r="H127" s="182"/>
      <c r="I127" s="182"/>
    </row>
    <row r="128" spans="1:9" ht="56.25" customHeight="1">
      <c r="A128" s="176" t="s">
        <v>16</v>
      </c>
      <c r="B128" s="176"/>
      <c r="C128" s="176"/>
      <c r="D128" s="176"/>
      <c r="E128" s="176"/>
      <c r="F128" s="176"/>
      <c r="G128" s="176"/>
      <c r="H128" s="176"/>
      <c r="I128" s="176"/>
    </row>
    <row r="129" spans="1:9" ht="40.5" customHeight="1">
      <c r="A129" s="176" t="s">
        <v>17</v>
      </c>
      <c r="B129" s="176"/>
      <c r="C129" s="176"/>
      <c r="D129" s="176"/>
      <c r="E129" s="176"/>
      <c r="F129" s="176"/>
      <c r="G129" s="176"/>
      <c r="H129" s="176"/>
      <c r="I129" s="176"/>
    </row>
    <row r="130" spans="1:9" ht="37.5" customHeight="1">
      <c r="A130" s="176" t="s">
        <v>21</v>
      </c>
      <c r="B130" s="176"/>
      <c r="C130" s="176"/>
      <c r="D130" s="176"/>
      <c r="E130" s="176"/>
      <c r="F130" s="176"/>
      <c r="G130" s="176"/>
      <c r="H130" s="176"/>
      <c r="I130" s="176"/>
    </row>
    <row r="131" spans="1:9" ht="15.75">
      <c r="A131" s="176" t="s">
        <v>20</v>
      </c>
      <c r="B131" s="176"/>
      <c r="C131" s="176"/>
      <c r="D131" s="176"/>
      <c r="E131" s="176"/>
      <c r="F131" s="176"/>
      <c r="G131" s="176"/>
      <c r="H131" s="176"/>
      <c r="I131" s="176"/>
    </row>
  </sheetData>
  <mergeCells count="29">
    <mergeCell ref="A127:I127"/>
    <mergeCell ref="A128:I128"/>
    <mergeCell ref="A129:I129"/>
    <mergeCell ref="A130:I130"/>
    <mergeCell ref="A131:I131"/>
    <mergeCell ref="C125:E125"/>
    <mergeCell ref="A110:I110"/>
    <mergeCell ref="A111:I111"/>
    <mergeCell ref="B112:G112"/>
    <mergeCell ref="B113:G113"/>
    <mergeCell ref="A115:I115"/>
    <mergeCell ref="A116:I116"/>
    <mergeCell ref="A117:I117"/>
    <mergeCell ref="A119:I119"/>
    <mergeCell ref="C121:E121"/>
    <mergeCell ref="C122:E122"/>
    <mergeCell ref="C124:E124"/>
    <mergeCell ref="A90:I90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5:I55"/>
    <mergeCell ref="A86:I86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28"/>
  <sheetViews>
    <sheetView topLeftCell="A89" workbookViewId="0">
      <selection activeCell="A8" sqref="A8:I8"/>
    </sheetView>
  </sheetViews>
  <sheetFormatPr defaultRowHeight="15"/>
  <cols>
    <col min="1" max="1" width="14.28515625" customWidth="1"/>
    <col min="2" max="2" width="45.7109375" customWidth="1"/>
    <col min="3" max="3" width="18" customWidth="1"/>
    <col min="4" max="4" width="17" customWidth="1"/>
    <col min="5" max="6" width="0" hidden="1" customWidth="1"/>
    <col min="7" max="7" width="17.28515625" customWidth="1"/>
    <col min="8" max="8" width="0" hidden="1" customWidth="1"/>
    <col min="9" max="9" width="14.85546875" customWidth="1"/>
  </cols>
  <sheetData>
    <row r="1" spans="1:9" ht="15.75">
      <c r="A1" s="28" t="s">
        <v>224</v>
      </c>
      <c r="I1" s="27"/>
    </row>
    <row r="2" spans="1:9" ht="15.75">
      <c r="A2" s="29" t="s">
        <v>60</v>
      </c>
    </row>
    <row r="3" spans="1:9" ht="15.75">
      <c r="A3" s="199" t="s">
        <v>247</v>
      </c>
      <c r="B3" s="199"/>
      <c r="C3" s="199"/>
      <c r="D3" s="199"/>
      <c r="E3" s="199"/>
      <c r="F3" s="199"/>
      <c r="G3" s="199"/>
      <c r="H3" s="199"/>
      <c r="I3" s="199"/>
    </row>
    <row r="4" spans="1:9" ht="31.5" customHeight="1">
      <c r="A4" s="200" t="s">
        <v>245</v>
      </c>
      <c r="B4" s="200"/>
      <c r="C4" s="200"/>
      <c r="D4" s="200"/>
      <c r="E4" s="200"/>
      <c r="F4" s="200"/>
      <c r="G4" s="200"/>
      <c r="H4" s="200"/>
      <c r="I4" s="200"/>
    </row>
    <row r="5" spans="1:9" ht="15.75">
      <c r="A5" s="199" t="s">
        <v>248</v>
      </c>
      <c r="B5" s="201"/>
      <c r="C5" s="201"/>
      <c r="D5" s="201"/>
      <c r="E5" s="201"/>
      <c r="F5" s="201"/>
      <c r="G5" s="201"/>
      <c r="H5" s="201"/>
      <c r="I5" s="201"/>
    </row>
    <row r="6" spans="1:9" ht="15.75">
      <c r="A6" s="2"/>
      <c r="B6" s="146"/>
      <c r="C6" s="146"/>
      <c r="D6" s="146"/>
      <c r="E6" s="146"/>
      <c r="F6" s="146"/>
      <c r="G6" s="146"/>
      <c r="H6" s="146"/>
      <c r="I6" s="31">
        <v>43373</v>
      </c>
    </row>
    <row r="7" spans="1:9" ht="15.75">
      <c r="B7" s="148"/>
      <c r="C7" s="148"/>
      <c r="D7" s="148"/>
      <c r="E7" s="3"/>
      <c r="F7" s="3"/>
      <c r="G7" s="3"/>
      <c r="H7" s="3"/>
    </row>
    <row r="8" spans="1:9" ht="93" customHeight="1">
      <c r="A8" s="202" t="s">
        <v>301</v>
      </c>
      <c r="B8" s="202"/>
      <c r="C8" s="202"/>
      <c r="D8" s="202"/>
      <c r="E8" s="202"/>
      <c r="F8" s="202"/>
      <c r="G8" s="202"/>
      <c r="H8" s="202"/>
      <c r="I8" s="202"/>
    </row>
    <row r="9" spans="1:9" ht="15.75">
      <c r="A9" s="4"/>
    </row>
    <row r="10" spans="1:9" ht="64.5" customHeight="1">
      <c r="A10" s="203" t="s">
        <v>144</v>
      </c>
      <c r="B10" s="203"/>
      <c r="C10" s="203"/>
      <c r="D10" s="203"/>
      <c r="E10" s="203"/>
      <c r="F10" s="203"/>
      <c r="G10" s="203"/>
      <c r="H10" s="203"/>
      <c r="I10" s="203"/>
    </row>
    <row r="11" spans="1:9" ht="15.75">
      <c r="A11" s="4"/>
    </row>
    <row r="12" spans="1:9" ht="85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4" t="s">
        <v>57</v>
      </c>
      <c r="B14" s="204"/>
      <c r="C14" s="204"/>
      <c r="D14" s="204"/>
      <c r="E14" s="204"/>
      <c r="F14" s="204"/>
      <c r="G14" s="204"/>
      <c r="H14" s="204"/>
      <c r="I14" s="204"/>
    </row>
    <row r="15" spans="1:9">
      <c r="A15" s="184" t="s">
        <v>4</v>
      </c>
      <c r="B15" s="184"/>
      <c r="C15" s="184"/>
      <c r="D15" s="184"/>
      <c r="E15" s="184"/>
      <c r="F15" s="184"/>
      <c r="G15" s="184"/>
      <c r="H15" s="184"/>
      <c r="I15" s="184"/>
    </row>
    <row r="16" spans="1:9" ht="16.5" customHeight="1">
      <c r="A16" s="30">
        <v>1</v>
      </c>
      <c r="B16" s="63" t="s">
        <v>83</v>
      </c>
      <c r="C16" s="64" t="s">
        <v>84</v>
      </c>
      <c r="D16" s="120" t="s">
        <v>186</v>
      </c>
      <c r="E16" s="65">
        <v>143.78</v>
      </c>
      <c r="F16" s="66">
        <f>SUM(E16*156/100)</f>
        <v>224.29679999999999</v>
      </c>
      <c r="G16" s="123">
        <v>230</v>
      </c>
      <c r="H16" s="67">
        <f t="shared" ref="H16:H24" si="0">SUM(F16*G16/1000)</f>
        <v>51.588263999999995</v>
      </c>
      <c r="I16" s="13">
        <f>149.531/12*G16</f>
        <v>2866.0108333333337</v>
      </c>
    </row>
    <row r="17" spans="1:9" ht="33.75" customHeight="1">
      <c r="A17" s="30">
        <v>2</v>
      </c>
      <c r="B17" s="63" t="s">
        <v>109</v>
      </c>
      <c r="C17" s="64" t="s">
        <v>84</v>
      </c>
      <c r="D17" s="120" t="s">
        <v>187</v>
      </c>
      <c r="E17" s="65">
        <v>575.12</v>
      </c>
      <c r="F17" s="66">
        <f>SUM(E17*104/100)</f>
        <v>598.12480000000005</v>
      </c>
      <c r="G17" s="123">
        <v>230</v>
      </c>
      <c r="H17" s="67">
        <f t="shared" si="0"/>
        <v>137.568704</v>
      </c>
      <c r="I17" s="13">
        <f>299.062/12*G17</f>
        <v>5732.0216666666674</v>
      </c>
    </row>
    <row r="18" spans="1:9" ht="30" customHeight="1">
      <c r="A18" s="30">
        <v>3</v>
      </c>
      <c r="B18" s="63" t="s">
        <v>110</v>
      </c>
      <c r="C18" s="64" t="s">
        <v>84</v>
      </c>
      <c r="D18" s="120" t="s">
        <v>188</v>
      </c>
      <c r="E18" s="65">
        <v>718.9</v>
      </c>
      <c r="F18" s="66">
        <f>SUM(E18*24/100)</f>
        <v>172.53599999999997</v>
      </c>
      <c r="G18" s="123">
        <v>661.67</v>
      </c>
      <c r="H18" s="67">
        <f t="shared" si="0"/>
        <v>114.16189511999997</v>
      </c>
      <c r="I18" s="13">
        <f>86.268/12*G18</f>
        <v>4756.7456299999994</v>
      </c>
    </row>
    <row r="19" spans="1:9" hidden="1">
      <c r="A19" s="30">
        <v>4</v>
      </c>
      <c r="B19" s="63" t="s">
        <v>91</v>
      </c>
      <c r="C19" s="64" t="s">
        <v>92</v>
      </c>
      <c r="D19" s="120" t="s">
        <v>93</v>
      </c>
      <c r="E19" s="65">
        <v>42.2</v>
      </c>
      <c r="F19" s="66">
        <f>SUM(E19/10)</f>
        <v>4.2200000000000006</v>
      </c>
      <c r="G19" s="123">
        <v>223.17</v>
      </c>
      <c r="H19" s="67">
        <f t="shared" si="0"/>
        <v>0.9417774000000001</v>
      </c>
      <c r="I19" s="13">
        <f>G19*4.22</f>
        <v>941.77739999999994</v>
      </c>
    </row>
    <row r="20" spans="1:9" ht="18.75" customHeight="1">
      <c r="A20" s="30">
        <v>4</v>
      </c>
      <c r="B20" s="63" t="s">
        <v>94</v>
      </c>
      <c r="C20" s="64" t="s">
        <v>84</v>
      </c>
      <c r="D20" s="120" t="s">
        <v>41</v>
      </c>
      <c r="E20" s="65">
        <v>14</v>
      </c>
      <c r="F20" s="66">
        <f>SUM(E20*2/100)</f>
        <v>0.28000000000000003</v>
      </c>
      <c r="G20" s="123">
        <v>285.76</v>
      </c>
      <c r="H20" s="67">
        <f t="shared" si="0"/>
        <v>8.0012799999999995E-2</v>
      </c>
      <c r="I20" s="13">
        <f>0.28/2*G20</f>
        <v>40.006399999999999</v>
      </c>
    </row>
    <row r="21" spans="1:9" ht="16.5" customHeight="1">
      <c r="A21" s="30">
        <v>5</v>
      </c>
      <c r="B21" s="63" t="s">
        <v>95</v>
      </c>
      <c r="C21" s="64" t="s">
        <v>84</v>
      </c>
      <c r="D21" s="120" t="s">
        <v>41</v>
      </c>
      <c r="E21" s="65">
        <v>6</v>
      </c>
      <c r="F21" s="66">
        <f>SUM(E21*2/100)</f>
        <v>0.12</v>
      </c>
      <c r="G21" s="123">
        <v>283.44</v>
      </c>
      <c r="H21" s="67">
        <f>SUM(F21*G21/1000)</f>
        <v>3.4012799999999996E-2</v>
      </c>
      <c r="I21" s="13">
        <f>F21/2*G21</f>
        <v>17.006399999999999</v>
      </c>
    </row>
    <row r="22" spans="1:9" hidden="1">
      <c r="A22" s="30">
        <v>7</v>
      </c>
      <c r="B22" s="63" t="s">
        <v>96</v>
      </c>
      <c r="C22" s="64" t="s">
        <v>51</v>
      </c>
      <c r="D22" s="120" t="s">
        <v>93</v>
      </c>
      <c r="E22" s="65">
        <v>640</v>
      </c>
      <c r="F22" s="66">
        <f>SUM(E22/100)</f>
        <v>6.4</v>
      </c>
      <c r="G22" s="123">
        <v>353.14</v>
      </c>
      <c r="H22" s="67">
        <f t="shared" si="0"/>
        <v>2.2600959999999999</v>
      </c>
      <c r="I22" s="13">
        <f t="shared" ref="I22:I25" si="1">F22*G22</f>
        <v>2260.096</v>
      </c>
    </row>
    <row r="23" spans="1:9" hidden="1">
      <c r="A23" s="30">
        <v>8</v>
      </c>
      <c r="B23" s="63" t="s">
        <v>97</v>
      </c>
      <c r="C23" s="64" t="s">
        <v>51</v>
      </c>
      <c r="D23" s="120" t="s">
        <v>93</v>
      </c>
      <c r="E23" s="68">
        <v>49</v>
      </c>
      <c r="F23" s="66">
        <f>SUM(E23/100)</f>
        <v>0.49</v>
      </c>
      <c r="G23" s="123">
        <v>58.08</v>
      </c>
      <c r="H23" s="67">
        <f t="shared" si="0"/>
        <v>2.84592E-2</v>
      </c>
      <c r="I23" s="13">
        <f t="shared" si="1"/>
        <v>28.459199999999999</v>
      </c>
    </row>
    <row r="24" spans="1:9" hidden="1">
      <c r="A24" s="30">
        <v>9</v>
      </c>
      <c r="B24" s="63" t="s">
        <v>98</v>
      </c>
      <c r="C24" s="64" t="s">
        <v>51</v>
      </c>
      <c r="D24" s="120" t="s">
        <v>52</v>
      </c>
      <c r="E24" s="65">
        <v>19</v>
      </c>
      <c r="F24" s="66">
        <f>SUM(E24/100)</f>
        <v>0.19</v>
      </c>
      <c r="G24" s="132">
        <v>683.05</v>
      </c>
      <c r="H24" s="67">
        <f t="shared" si="0"/>
        <v>0.12977949999999999</v>
      </c>
      <c r="I24" s="13">
        <f>0.085*G24</f>
        <v>58.059249999999999</v>
      </c>
    </row>
    <row r="25" spans="1:9" ht="30" hidden="1">
      <c r="A25" s="30">
        <v>10</v>
      </c>
      <c r="B25" s="63" t="s">
        <v>113</v>
      </c>
      <c r="C25" s="64" t="s">
        <v>51</v>
      </c>
      <c r="D25" s="120" t="s">
        <v>52</v>
      </c>
      <c r="E25" s="65">
        <v>19</v>
      </c>
      <c r="F25" s="66">
        <f>E25/100</f>
        <v>0.19</v>
      </c>
      <c r="G25" s="123">
        <v>283.44</v>
      </c>
      <c r="H25" s="67">
        <f>G25*F25/1000</f>
        <v>5.3853600000000001E-2</v>
      </c>
      <c r="I25" s="13">
        <f t="shared" si="1"/>
        <v>53.8536</v>
      </c>
    </row>
    <row r="26" spans="1:9" ht="19.5" customHeight="1">
      <c r="A26" s="30">
        <v>6</v>
      </c>
      <c r="B26" s="63" t="s">
        <v>62</v>
      </c>
      <c r="C26" s="64" t="s">
        <v>33</v>
      </c>
      <c r="D26" s="63" t="s">
        <v>160</v>
      </c>
      <c r="E26" s="65">
        <v>0.1</v>
      </c>
      <c r="F26" s="66">
        <f>SUM(E26*182)</f>
        <v>18.2</v>
      </c>
      <c r="G26" s="66">
        <v>264.85000000000002</v>
      </c>
      <c r="H26" s="67">
        <f>SUM(F26*G26/1000)</f>
        <v>4.8202700000000007</v>
      </c>
      <c r="I26" s="13">
        <f>F26/12*G26</f>
        <v>401.68916666666667</v>
      </c>
    </row>
    <row r="27" spans="1:9">
      <c r="A27" s="30">
        <v>7</v>
      </c>
      <c r="B27" s="71" t="s">
        <v>23</v>
      </c>
      <c r="C27" s="64" t="s">
        <v>24</v>
      </c>
      <c r="D27" s="63"/>
      <c r="E27" s="65">
        <v>4731.7</v>
      </c>
      <c r="F27" s="66">
        <f>SUM(E27*12)</f>
        <v>56780.399999999994</v>
      </c>
      <c r="G27" s="66">
        <v>4.5199999999999996</v>
      </c>
      <c r="H27" s="67">
        <f>SUM(F27*G27/1000)</f>
        <v>256.64740799999993</v>
      </c>
      <c r="I27" s="13">
        <f>F27/12*G27</f>
        <v>21387.283999999996</v>
      </c>
    </row>
    <row r="28" spans="1:9">
      <c r="A28" s="184" t="s">
        <v>81</v>
      </c>
      <c r="B28" s="184"/>
      <c r="C28" s="184"/>
      <c r="D28" s="184"/>
      <c r="E28" s="184"/>
      <c r="F28" s="184"/>
      <c r="G28" s="184"/>
      <c r="H28" s="184"/>
      <c r="I28" s="184"/>
    </row>
    <row r="29" spans="1:9" ht="15.75" customHeight="1">
      <c r="A29" s="30"/>
      <c r="B29" s="83" t="s">
        <v>28</v>
      </c>
      <c r="C29" s="64"/>
      <c r="D29" s="63"/>
      <c r="E29" s="65"/>
      <c r="F29" s="66"/>
      <c r="G29" s="66"/>
      <c r="H29" s="67"/>
      <c r="I29" s="13"/>
    </row>
    <row r="30" spans="1:9" ht="18" customHeight="1">
      <c r="A30" s="30">
        <v>8</v>
      </c>
      <c r="B30" s="63" t="s">
        <v>100</v>
      </c>
      <c r="C30" s="64" t="s">
        <v>86</v>
      </c>
      <c r="D30" s="63" t="s">
        <v>141</v>
      </c>
      <c r="E30" s="66">
        <v>436.6</v>
      </c>
      <c r="F30" s="66">
        <f>SUM(E30*52/1000)</f>
        <v>22.703200000000002</v>
      </c>
      <c r="G30" s="123">
        <v>204.44</v>
      </c>
      <c r="H30" s="67">
        <f t="shared" ref="H30:H36" si="2">SUM(F30*G30/1000)</f>
        <v>4.641442208</v>
      </c>
      <c r="I30" s="13">
        <f>F30/6*G30</f>
        <v>773.57370133333336</v>
      </c>
    </row>
    <row r="31" spans="1:9" ht="46.5" customHeight="1">
      <c r="A31" s="30">
        <v>9</v>
      </c>
      <c r="B31" s="63" t="s">
        <v>111</v>
      </c>
      <c r="C31" s="64" t="s">
        <v>86</v>
      </c>
      <c r="D31" s="63" t="s">
        <v>142</v>
      </c>
      <c r="E31" s="66">
        <v>54.4</v>
      </c>
      <c r="F31" s="66">
        <f>SUM(E31*78/1000)</f>
        <v>4.2431999999999999</v>
      </c>
      <c r="G31" s="123">
        <v>339.21</v>
      </c>
      <c r="H31" s="67">
        <f t="shared" si="2"/>
        <v>1.4393358719999998</v>
      </c>
      <c r="I31" s="13">
        <f t="shared" ref="I31:I34" si="3">F31/6*G31</f>
        <v>239.88931199999996</v>
      </c>
    </row>
    <row r="32" spans="1:9" hidden="1">
      <c r="A32" s="30">
        <v>15</v>
      </c>
      <c r="B32" s="63" t="s">
        <v>27</v>
      </c>
      <c r="C32" s="64" t="s">
        <v>86</v>
      </c>
      <c r="D32" s="63" t="s">
        <v>52</v>
      </c>
      <c r="E32" s="66">
        <v>436.6</v>
      </c>
      <c r="F32" s="66">
        <f>SUM(E32/1000)</f>
        <v>0.43660000000000004</v>
      </c>
      <c r="G32" s="123">
        <v>3961.23</v>
      </c>
      <c r="H32" s="67">
        <f t="shared" si="2"/>
        <v>1.7294730180000002</v>
      </c>
      <c r="I32" s="13">
        <f>F32*G32</f>
        <v>1729.4730180000001</v>
      </c>
    </row>
    <row r="33" spans="1:9" ht="15" customHeight="1">
      <c r="A33" s="30">
        <v>10</v>
      </c>
      <c r="B33" s="63" t="s">
        <v>123</v>
      </c>
      <c r="C33" s="64" t="s">
        <v>39</v>
      </c>
      <c r="D33" s="63" t="s">
        <v>61</v>
      </c>
      <c r="E33" s="66">
        <v>4</v>
      </c>
      <c r="F33" s="66">
        <f>E33*155/100</f>
        <v>6.2</v>
      </c>
      <c r="G33" s="123">
        <v>1707.63</v>
      </c>
      <c r="H33" s="67">
        <f>G33*F33/1000</f>
        <v>10.587306</v>
      </c>
      <c r="I33" s="13">
        <f t="shared" si="3"/>
        <v>1764.5510000000004</v>
      </c>
    </row>
    <row r="34" spans="1:9" ht="18.75" customHeight="1">
      <c r="A34" s="30">
        <v>11</v>
      </c>
      <c r="B34" s="63" t="s">
        <v>99</v>
      </c>
      <c r="C34" s="64" t="s">
        <v>31</v>
      </c>
      <c r="D34" s="63" t="s">
        <v>61</v>
      </c>
      <c r="E34" s="70">
        <f>1/3</f>
        <v>0.33333333333333331</v>
      </c>
      <c r="F34" s="66">
        <f>155/3</f>
        <v>51.666666666666664</v>
      </c>
      <c r="G34" s="123">
        <v>74.349999999999994</v>
      </c>
      <c r="H34" s="67">
        <f>SUM(G34*155/3/1000)</f>
        <v>3.8414166666666665</v>
      </c>
      <c r="I34" s="13">
        <f t="shared" si="3"/>
        <v>640.23611111111109</v>
      </c>
    </row>
    <row r="35" spans="1:9" ht="30" hidden="1">
      <c r="A35" s="30"/>
      <c r="B35" s="63" t="s">
        <v>63</v>
      </c>
      <c r="C35" s="64" t="s">
        <v>33</v>
      </c>
      <c r="D35" s="63" t="s">
        <v>65</v>
      </c>
      <c r="E35" s="65"/>
      <c r="F35" s="66">
        <v>2</v>
      </c>
      <c r="G35" s="66">
        <v>250.92</v>
      </c>
      <c r="H35" s="67">
        <f t="shared" si="2"/>
        <v>0.50183999999999995</v>
      </c>
      <c r="I35" s="13">
        <v>0</v>
      </c>
    </row>
    <row r="36" spans="1:9" ht="30" hidden="1">
      <c r="A36" s="30"/>
      <c r="B36" s="63" t="s">
        <v>64</v>
      </c>
      <c r="C36" s="64" t="s">
        <v>32</v>
      </c>
      <c r="D36" s="63" t="s">
        <v>65</v>
      </c>
      <c r="E36" s="65"/>
      <c r="F36" s="66">
        <v>1</v>
      </c>
      <c r="G36" s="66">
        <v>1490.31</v>
      </c>
      <c r="H36" s="67">
        <f t="shared" si="2"/>
        <v>1.49031</v>
      </c>
      <c r="I36" s="13">
        <v>0</v>
      </c>
    </row>
    <row r="37" spans="1:9" hidden="1">
      <c r="A37" s="30"/>
      <c r="B37" s="83" t="s">
        <v>5</v>
      </c>
      <c r="C37" s="64"/>
      <c r="D37" s="63"/>
      <c r="E37" s="65"/>
      <c r="F37" s="66"/>
      <c r="G37" s="66"/>
      <c r="H37" s="67" t="s">
        <v>122</v>
      </c>
      <c r="I37" s="13"/>
    </row>
    <row r="38" spans="1:9" hidden="1">
      <c r="A38" s="30">
        <v>6</v>
      </c>
      <c r="B38" s="63" t="s">
        <v>26</v>
      </c>
      <c r="C38" s="64" t="s">
        <v>32</v>
      </c>
      <c r="D38" s="63"/>
      <c r="E38" s="65"/>
      <c r="F38" s="66">
        <v>5</v>
      </c>
      <c r="G38" s="66">
        <v>2003</v>
      </c>
      <c r="H38" s="67">
        <f t="shared" ref="H38:H44" si="4">SUM(F38*G38/1000)</f>
        <v>10.015000000000001</v>
      </c>
      <c r="I38" s="13">
        <f t="shared" ref="I38:I44" si="5">F38/6*G38</f>
        <v>1669.1666666666667</v>
      </c>
    </row>
    <row r="39" spans="1:9" hidden="1">
      <c r="A39" s="30">
        <v>7</v>
      </c>
      <c r="B39" s="63" t="s">
        <v>146</v>
      </c>
      <c r="C39" s="64" t="s">
        <v>29</v>
      </c>
      <c r="D39" s="63" t="s">
        <v>115</v>
      </c>
      <c r="E39" s="65">
        <v>54.4</v>
      </c>
      <c r="F39" s="66">
        <f>E39*30/1000</f>
        <v>1.6319999999999999</v>
      </c>
      <c r="G39" s="66">
        <v>2757.78</v>
      </c>
      <c r="H39" s="67">
        <f t="shared" si="4"/>
        <v>4.50069696</v>
      </c>
      <c r="I39" s="13">
        <f t="shared" si="5"/>
        <v>750.11615999999992</v>
      </c>
    </row>
    <row r="40" spans="1:9" ht="30" hidden="1">
      <c r="A40" s="30">
        <v>8</v>
      </c>
      <c r="B40" s="63" t="s">
        <v>66</v>
      </c>
      <c r="C40" s="64" t="s">
        <v>29</v>
      </c>
      <c r="D40" s="63" t="s">
        <v>85</v>
      </c>
      <c r="E40" s="66">
        <v>54.4</v>
      </c>
      <c r="F40" s="66">
        <f>SUM(E40*155/1000)</f>
        <v>8.4320000000000004</v>
      </c>
      <c r="G40" s="66">
        <v>460.02</v>
      </c>
      <c r="H40" s="67">
        <f t="shared" si="4"/>
        <v>3.87888864</v>
      </c>
      <c r="I40" s="13">
        <f t="shared" si="5"/>
        <v>646.48144000000002</v>
      </c>
    </row>
    <row r="41" spans="1:9" ht="60" hidden="1">
      <c r="A41" s="30">
        <v>9</v>
      </c>
      <c r="B41" s="63" t="s">
        <v>78</v>
      </c>
      <c r="C41" s="64" t="s">
        <v>86</v>
      </c>
      <c r="D41" s="63" t="s">
        <v>116</v>
      </c>
      <c r="E41" s="66">
        <v>31.2</v>
      </c>
      <c r="F41" s="66">
        <f>SUM(E41*35/1000)</f>
        <v>1.0920000000000001</v>
      </c>
      <c r="G41" s="66">
        <v>7611.16</v>
      </c>
      <c r="H41" s="67">
        <f t="shared" si="4"/>
        <v>8.3113867199999998</v>
      </c>
      <c r="I41" s="13">
        <f t="shared" si="5"/>
        <v>1385.2311200000001</v>
      </c>
    </row>
    <row r="42" spans="1:9" hidden="1">
      <c r="A42" s="30">
        <v>10</v>
      </c>
      <c r="B42" s="63" t="s">
        <v>87</v>
      </c>
      <c r="C42" s="64" t="s">
        <v>86</v>
      </c>
      <c r="D42" s="63" t="s">
        <v>67</v>
      </c>
      <c r="E42" s="66">
        <v>54.4</v>
      </c>
      <c r="F42" s="66">
        <f>SUM(E42*45/1000)</f>
        <v>2.448</v>
      </c>
      <c r="G42" s="66">
        <v>562.25</v>
      </c>
      <c r="H42" s="67">
        <f t="shared" si="4"/>
        <v>1.3763879999999999</v>
      </c>
      <c r="I42" s="13">
        <f>(F42/7.5*1.5)*G42</f>
        <v>275.27759999999995</v>
      </c>
    </row>
    <row r="43" spans="1:9" hidden="1">
      <c r="A43" s="30">
        <v>11</v>
      </c>
      <c r="B43" s="63" t="s">
        <v>68</v>
      </c>
      <c r="C43" s="64" t="s">
        <v>33</v>
      </c>
      <c r="D43" s="63"/>
      <c r="E43" s="65"/>
      <c r="F43" s="66">
        <v>0.9</v>
      </c>
      <c r="G43" s="66">
        <v>974.83</v>
      </c>
      <c r="H43" s="67">
        <f t="shared" si="4"/>
        <v>0.8773470000000001</v>
      </c>
      <c r="I43" s="13">
        <f>(F43/7.5*1.5)*G43</f>
        <v>175.46940000000004</v>
      </c>
    </row>
    <row r="44" spans="1:9" ht="30" hidden="1">
      <c r="A44" s="30">
        <v>12</v>
      </c>
      <c r="B44" s="47" t="s">
        <v>147</v>
      </c>
      <c r="C44" s="49" t="s">
        <v>29</v>
      </c>
      <c r="D44" s="63" t="s">
        <v>148</v>
      </c>
      <c r="E44" s="65">
        <v>3</v>
      </c>
      <c r="F44" s="66">
        <f>SUM(E44*12/1000)</f>
        <v>3.5999999999999997E-2</v>
      </c>
      <c r="G44" s="66">
        <v>260.2</v>
      </c>
      <c r="H44" s="67">
        <f t="shared" si="4"/>
        <v>9.3671999999999991E-3</v>
      </c>
      <c r="I44" s="13">
        <f t="shared" si="5"/>
        <v>1.5611999999999997</v>
      </c>
    </row>
    <row r="45" spans="1:9">
      <c r="A45" s="185" t="s">
        <v>128</v>
      </c>
      <c r="B45" s="186"/>
      <c r="C45" s="186"/>
      <c r="D45" s="186"/>
      <c r="E45" s="186"/>
      <c r="F45" s="186"/>
      <c r="G45" s="186"/>
      <c r="H45" s="186"/>
      <c r="I45" s="187"/>
    </row>
    <row r="46" spans="1:9" ht="21" customHeight="1">
      <c r="A46" s="30">
        <v>12</v>
      </c>
      <c r="B46" s="63" t="s">
        <v>117</v>
      </c>
      <c r="C46" s="64" t="s">
        <v>86</v>
      </c>
      <c r="D46" s="63" t="s">
        <v>41</v>
      </c>
      <c r="E46" s="65">
        <v>1320.9</v>
      </c>
      <c r="F46" s="66">
        <f>SUM(E46*2/1000)</f>
        <v>2.6418000000000004</v>
      </c>
      <c r="G46" s="35">
        <v>1114.1300000000001</v>
      </c>
      <c r="H46" s="67">
        <f t="shared" ref="H46:H54" si="6">SUM(F46*G46/1000)</f>
        <v>2.943308634000001</v>
      </c>
      <c r="I46" s="13">
        <f>2.6418/2*G46</f>
        <v>1471.654317</v>
      </c>
    </row>
    <row r="47" spans="1:9" ht="19.5" customHeight="1">
      <c r="A47" s="30">
        <v>13</v>
      </c>
      <c r="B47" s="63" t="s">
        <v>34</v>
      </c>
      <c r="C47" s="64" t="s">
        <v>86</v>
      </c>
      <c r="D47" s="63" t="s">
        <v>41</v>
      </c>
      <c r="E47" s="65">
        <v>52</v>
      </c>
      <c r="F47" s="66">
        <f>E47*2/1000</f>
        <v>0.104</v>
      </c>
      <c r="G47" s="35">
        <v>4419.05</v>
      </c>
      <c r="H47" s="67">
        <f t="shared" si="6"/>
        <v>0.45958120000000002</v>
      </c>
      <c r="I47" s="13">
        <f>0.104/2*G47</f>
        <v>229.79060000000001</v>
      </c>
    </row>
    <row r="48" spans="1:9" ht="18" customHeight="1">
      <c r="A48" s="30">
        <v>14</v>
      </c>
      <c r="B48" s="63" t="s">
        <v>35</v>
      </c>
      <c r="C48" s="64" t="s">
        <v>86</v>
      </c>
      <c r="D48" s="63" t="s">
        <v>41</v>
      </c>
      <c r="E48" s="65">
        <v>1520.8</v>
      </c>
      <c r="F48" s="66">
        <f>SUM(E48*2/1000)</f>
        <v>3.0415999999999999</v>
      </c>
      <c r="G48" s="35">
        <v>1803.69</v>
      </c>
      <c r="H48" s="67">
        <f t="shared" si="6"/>
        <v>5.4861035039999999</v>
      </c>
      <c r="I48" s="13">
        <f>3.0416/2*G48</f>
        <v>2743.0517519999999</v>
      </c>
    </row>
    <row r="49" spans="1:9" ht="18" customHeight="1">
      <c r="A49" s="30">
        <v>15</v>
      </c>
      <c r="B49" s="63" t="s">
        <v>36</v>
      </c>
      <c r="C49" s="64" t="s">
        <v>86</v>
      </c>
      <c r="D49" s="63" t="s">
        <v>41</v>
      </c>
      <c r="E49" s="65">
        <v>3433.81</v>
      </c>
      <c r="F49" s="66">
        <f>SUM(E49*2/1000)</f>
        <v>6.8676199999999996</v>
      </c>
      <c r="G49" s="35">
        <v>1243.43</v>
      </c>
      <c r="H49" s="67">
        <f t="shared" si="6"/>
        <v>8.5394047365999999</v>
      </c>
      <c r="I49" s="13">
        <f>6.86762/2*G49</f>
        <v>4269.7023682999998</v>
      </c>
    </row>
    <row r="50" spans="1:9" ht="18.75" customHeight="1">
      <c r="A50" s="30">
        <v>16</v>
      </c>
      <c r="B50" s="63" t="s">
        <v>54</v>
      </c>
      <c r="C50" s="64" t="s">
        <v>86</v>
      </c>
      <c r="D50" s="63" t="s">
        <v>133</v>
      </c>
      <c r="E50" s="65">
        <v>4731.7</v>
      </c>
      <c r="F50" s="66">
        <f>SUM(E50*5/1000)</f>
        <v>23.6585</v>
      </c>
      <c r="G50" s="35">
        <v>1803.69</v>
      </c>
      <c r="H50" s="67">
        <f t="shared" si="6"/>
        <v>42.672599865000002</v>
      </c>
      <c r="I50" s="13">
        <f>F50/5*G50</f>
        <v>8534.5199730000004</v>
      </c>
    </row>
    <row r="51" spans="1:9" ht="43.5" hidden="1" customHeight="1">
      <c r="A51" s="30">
        <v>13</v>
      </c>
      <c r="B51" s="63" t="s">
        <v>88</v>
      </c>
      <c r="C51" s="64" t="s">
        <v>86</v>
      </c>
      <c r="D51" s="63" t="s">
        <v>41</v>
      </c>
      <c r="E51" s="65">
        <v>4731.7</v>
      </c>
      <c r="F51" s="66">
        <f>SUM(E51*2/1000)</f>
        <v>9.4634</v>
      </c>
      <c r="G51" s="35">
        <v>1591.6</v>
      </c>
      <c r="H51" s="67">
        <f t="shared" si="6"/>
        <v>15.061947439999999</v>
      </c>
      <c r="I51" s="13">
        <f>9.4634/2*G51</f>
        <v>7530.97372</v>
      </c>
    </row>
    <row r="52" spans="1:9" ht="38.25" hidden="1" customHeight="1">
      <c r="A52" s="30">
        <v>14</v>
      </c>
      <c r="B52" s="63" t="s">
        <v>89</v>
      </c>
      <c r="C52" s="64" t="s">
        <v>37</v>
      </c>
      <c r="D52" s="63" t="s">
        <v>41</v>
      </c>
      <c r="E52" s="65">
        <v>20</v>
      </c>
      <c r="F52" s="66">
        <f>SUM(E52*2/100)</f>
        <v>0.4</v>
      </c>
      <c r="G52" s="35">
        <v>4058.32</v>
      </c>
      <c r="H52" s="67">
        <f>SUM(F52*G52/1000)</f>
        <v>1.6233280000000001</v>
      </c>
      <c r="I52" s="13">
        <f>0.4/2*G52</f>
        <v>811.6640000000001</v>
      </c>
    </row>
    <row r="53" spans="1:9" ht="15.75" hidden="1" customHeight="1">
      <c r="A53" s="30">
        <v>15</v>
      </c>
      <c r="B53" s="63" t="s">
        <v>38</v>
      </c>
      <c r="C53" s="64" t="s">
        <v>39</v>
      </c>
      <c r="D53" s="63" t="s">
        <v>41</v>
      </c>
      <c r="E53" s="65">
        <v>1</v>
      </c>
      <c r="F53" s="66">
        <v>0.02</v>
      </c>
      <c r="G53" s="35">
        <v>7412.92</v>
      </c>
      <c r="H53" s="67">
        <f t="shared" si="6"/>
        <v>0.14825839999999998</v>
      </c>
      <c r="I53" s="13">
        <f>0.02/2*G53</f>
        <v>74.129199999999997</v>
      </c>
    </row>
    <row r="54" spans="1:9" hidden="1">
      <c r="A54" s="30">
        <v>10</v>
      </c>
      <c r="B54" s="63" t="s">
        <v>40</v>
      </c>
      <c r="C54" s="64" t="s">
        <v>101</v>
      </c>
      <c r="D54" s="63" t="s">
        <v>52</v>
      </c>
      <c r="E54" s="65">
        <v>160</v>
      </c>
      <c r="F54" s="66">
        <f>SUM(E54)</f>
        <v>160</v>
      </c>
      <c r="G54" s="124">
        <v>86.15</v>
      </c>
      <c r="H54" s="67">
        <f t="shared" si="6"/>
        <v>13.784000000000001</v>
      </c>
      <c r="I54" s="13">
        <f>G54*160</f>
        <v>13784</v>
      </c>
    </row>
    <row r="55" spans="1:9">
      <c r="A55" s="185" t="s">
        <v>129</v>
      </c>
      <c r="B55" s="186"/>
      <c r="C55" s="186"/>
      <c r="D55" s="186"/>
      <c r="E55" s="186"/>
      <c r="F55" s="186"/>
      <c r="G55" s="186"/>
      <c r="H55" s="186"/>
      <c r="I55" s="187"/>
    </row>
    <row r="56" spans="1:9" hidden="1">
      <c r="A56" s="30"/>
      <c r="B56" s="83" t="s">
        <v>42</v>
      </c>
      <c r="C56" s="64"/>
      <c r="D56" s="63"/>
      <c r="E56" s="65"/>
      <c r="F56" s="66"/>
      <c r="G56" s="66"/>
      <c r="H56" s="67"/>
      <c r="I56" s="13"/>
    </row>
    <row r="57" spans="1:9" ht="45" hidden="1">
      <c r="A57" s="30">
        <v>14</v>
      </c>
      <c r="B57" s="63" t="s">
        <v>118</v>
      </c>
      <c r="C57" s="64" t="s">
        <v>84</v>
      </c>
      <c r="D57" s="63" t="s">
        <v>102</v>
      </c>
      <c r="E57" s="65">
        <v>107.21</v>
      </c>
      <c r="F57" s="66">
        <f>SUM(E57*6/100)</f>
        <v>6.4325999999999999</v>
      </c>
      <c r="G57" s="13">
        <v>2029.3</v>
      </c>
      <c r="H57" s="67">
        <f>SUM(F57*G57/1000)</f>
        <v>13.053675180000001</v>
      </c>
      <c r="I57" s="13">
        <f>F57/6*G57</f>
        <v>2175.6125299999999</v>
      </c>
    </row>
    <row r="58" spans="1:9" hidden="1">
      <c r="A58" s="30">
        <v>14</v>
      </c>
      <c r="B58" s="72" t="s">
        <v>120</v>
      </c>
      <c r="C58" s="73" t="s">
        <v>121</v>
      </c>
      <c r="D58" s="72" t="s">
        <v>41</v>
      </c>
      <c r="E58" s="74">
        <v>4</v>
      </c>
      <c r="F58" s="75">
        <v>0.8</v>
      </c>
      <c r="G58" s="13">
        <v>237.1</v>
      </c>
      <c r="H58" s="67">
        <f t="shared" ref="H58:H59" si="7">SUM(F58*G58/1000)</f>
        <v>0.18968000000000002</v>
      </c>
      <c r="I58" s="13">
        <f>F58/2*G58</f>
        <v>94.84</v>
      </c>
    </row>
    <row r="59" spans="1:9" hidden="1">
      <c r="A59" s="30">
        <v>15</v>
      </c>
      <c r="B59" s="63" t="s">
        <v>119</v>
      </c>
      <c r="C59" s="64" t="s">
        <v>84</v>
      </c>
      <c r="D59" s="63" t="s">
        <v>102</v>
      </c>
      <c r="E59" s="65">
        <v>3.8</v>
      </c>
      <c r="F59" s="66">
        <f>SUM(E59*6/100)</f>
        <v>0.22799999999999998</v>
      </c>
      <c r="G59" s="13">
        <v>2029.3</v>
      </c>
      <c r="H59" s="67">
        <f t="shared" si="7"/>
        <v>0.46268039999999994</v>
      </c>
      <c r="I59" s="13">
        <f>F59/6*G59</f>
        <v>77.113399999999999</v>
      </c>
    </row>
    <row r="60" spans="1:9" ht="30" hidden="1">
      <c r="A60" s="30">
        <v>11</v>
      </c>
      <c r="B60" s="63" t="s">
        <v>149</v>
      </c>
      <c r="C60" s="64" t="s">
        <v>150</v>
      </c>
      <c r="D60" s="63" t="s">
        <v>65</v>
      </c>
      <c r="E60" s="65"/>
      <c r="F60" s="66">
        <v>3</v>
      </c>
      <c r="G60" s="13">
        <v>1582.05</v>
      </c>
      <c r="H60" s="67">
        <f>SUM(F60*G60/1000)</f>
        <v>4.7461499999999992</v>
      </c>
      <c r="I60" s="13">
        <f>G60*10</f>
        <v>15820.5</v>
      </c>
    </row>
    <row r="61" spans="1:9" ht="20.25" customHeight="1">
      <c r="A61" s="30"/>
      <c r="B61" s="84" t="s">
        <v>43</v>
      </c>
      <c r="C61" s="73"/>
      <c r="D61" s="72"/>
      <c r="E61" s="74"/>
      <c r="F61" s="75"/>
      <c r="G61" s="13"/>
      <c r="H61" s="76"/>
      <c r="I61" s="13"/>
    </row>
    <row r="62" spans="1:9" hidden="1">
      <c r="A62" s="30">
        <v>18</v>
      </c>
      <c r="B62" s="72" t="s">
        <v>151</v>
      </c>
      <c r="C62" s="73" t="s">
        <v>51</v>
      </c>
      <c r="D62" s="72" t="s">
        <v>52</v>
      </c>
      <c r="E62" s="74">
        <v>660.45</v>
      </c>
      <c r="F62" s="75">
        <f>E62/100</f>
        <v>6.6045000000000007</v>
      </c>
      <c r="G62" s="13">
        <v>1040.8399999999999</v>
      </c>
      <c r="H62" s="76">
        <f>F62*G62/1000</f>
        <v>6.87422778</v>
      </c>
      <c r="I62" s="13">
        <f>G62*(1.2/100)</f>
        <v>12.490079999999999</v>
      </c>
    </row>
    <row r="63" spans="1:9" ht="21" customHeight="1">
      <c r="A63" s="30">
        <v>17</v>
      </c>
      <c r="B63" s="72" t="s">
        <v>112</v>
      </c>
      <c r="C63" s="73" t="s">
        <v>25</v>
      </c>
      <c r="D63" s="72" t="s">
        <v>30</v>
      </c>
      <c r="E63" s="74">
        <v>200</v>
      </c>
      <c r="F63" s="77">
        <f>E63*12</f>
        <v>2400</v>
      </c>
      <c r="G63" s="57">
        <v>2.8</v>
      </c>
      <c r="H63" s="75">
        <f>F63*G63/1000</f>
        <v>6.72</v>
      </c>
      <c r="I63" s="13">
        <f>2856/12*G63</f>
        <v>666.4</v>
      </c>
    </row>
    <row r="64" spans="1:9" ht="17.25" customHeight="1">
      <c r="A64" s="30"/>
      <c r="B64" s="84" t="s">
        <v>44</v>
      </c>
      <c r="C64" s="73"/>
      <c r="D64" s="72"/>
      <c r="E64" s="74"/>
      <c r="F64" s="77"/>
      <c r="G64" s="77"/>
      <c r="H64" s="75" t="s">
        <v>122</v>
      </c>
      <c r="I64" s="13"/>
    </row>
    <row r="65" spans="1:9" ht="21" customHeight="1">
      <c r="A65" s="30">
        <v>18</v>
      </c>
      <c r="B65" s="14" t="s">
        <v>45</v>
      </c>
      <c r="C65" s="16" t="s">
        <v>101</v>
      </c>
      <c r="D65" s="44" t="s">
        <v>65</v>
      </c>
      <c r="E65" s="18">
        <v>10</v>
      </c>
      <c r="F65" s="66">
        <f>SUM(E65)</f>
        <v>10</v>
      </c>
      <c r="G65" s="13">
        <v>291.68</v>
      </c>
      <c r="H65" s="78">
        <f t="shared" ref="H65:H83" si="8">SUM(F65*G65/1000)</f>
        <v>2.9168000000000003</v>
      </c>
      <c r="I65" s="13">
        <f>G65*3</f>
        <v>875.04</v>
      </c>
    </row>
    <row r="66" spans="1:9" ht="19.5" hidden="1" customHeight="1">
      <c r="A66" s="30"/>
      <c r="B66" s="14" t="s">
        <v>46</v>
      </c>
      <c r="C66" s="16" t="s">
        <v>101</v>
      </c>
      <c r="D66" s="14" t="s">
        <v>65</v>
      </c>
      <c r="E66" s="18">
        <v>9</v>
      </c>
      <c r="F66" s="66">
        <f>SUM(E66)</f>
        <v>9</v>
      </c>
      <c r="G66" s="13">
        <v>100.01</v>
      </c>
      <c r="H66" s="78">
        <f t="shared" si="8"/>
        <v>0.90009000000000006</v>
      </c>
      <c r="I66" s="13">
        <v>0</v>
      </c>
    </row>
    <row r="67" spans="1:9" ht="21" hidden="1" customHeight="1">
      <c r="A67" s="30">
        <v>16</v>
      </c>
      <c r="B67" s="14" t="s">
        <v>47</v>
      </c>
      <c r="C67" s="16" t="s">
        <v>103</v>
      </c>
      <c r="D67" s="14" t="s">
        <v>52</v>
      </c>
      <c r="E67" s="65">
        <v>19836</v>
      </c>
      <c r="F67" s="13">
        <f>SUM(E67/100)</f>
        <v>198.36</v>
      </c>
      <c r="G67" s="13">
        <v>278.24</v>
      </c>
      <c r="H67" s="78">
        <f t="shared" si="8"/>
        <v>55.191686400000009</v>
      </c>
      <c r="I67" s="13">
        <f>F67*G67</f>
        <v>55191.686400000006</v>
      </c>
    </row>
    <row r="68" spans="1:9" ht="19.5" hidden="1" customHeight="1">
      <c r="A68" s="30">
        <v>27</v>
      </c>
      <c r="B68" s="14" t="s">
        <v>48</v>
      </c>
      <c r="C68" s="16" t="s">
        <v>104</v>
      </c>
      <c r="D68" s="14"/>
      <c r="E68" s="65">
        <v>19836</v>
      </c>
      <c r="F68" s="13">
        <f>SUM(E68/1000)</f>
        <v>19.835999999999999</v>
      </c>
      <c r="G68" s="13">
        <v>216.68</v>
      </c>
      <c r="H68" s="78">
        <f t="shared" si="8"/>
        <v>4.2980644799999999</v>
      </c>
      <c r="I68" s="13">
        <f t="shared" ref="I68:I72" si="9">F68*G68</f>
        <v>4298.06448</v>
      </c>
    </row>
    <row r="69" spans="1:9" ht="17.25" hidden="1" customHeight="1">
      <c r="A69" s="30">
        <v>28</v>
      </c>
      <c r="B69" s="14" t="s">
        <v>49</v>
      </c>
      <c r="C69" s="16" t="s">
        <v>73</v>
      </c>
      <c r="D69" s="14" t="s">
        <v>52</v>
      </c>
      <c r="E69" s="65">
        <v>3155</v>
      </c>
      <c r="F69" s="13">
        <f>SUM(E69/100)</f>
        <v>31.55</v>
      </c>
      <c r="G69" s="13">
        <v>2720.94</v>
      </c>
      <c r="H69" s="78">
        <f t="shared" si="8"/>
        <v>85.845657000000003</v>
      </c>
      <c r="I69" s="13">
        <f t="shared" si="9"/>
        <v>85845.657000000007</v>
      </c>
    </row>
    <row r="70" spans="1:9" ht="21" hidden="1" customHeight="1">
      <c r="A70" s="30">
        <v>29</v>
      </c>
      <c r="B70" s="79" t="s">
        <v>105</v>
      </c>
      <c r="C70" s="16" t="s">
        <v>33</v>
      </c>
      <c r="D70" s="14"/>
      <c r="E70" s="65">
        <v>34.5</v>
      </c>
      <c r="F70" s="13">
        <f>SUM(E70)</f>
        <v>34.5</v>
      </c>
      <c r="G70" s="13">
        <v>44.31</v>
      </c>
      <c r="H70" s="78">
        <f t="shared" si="8"/>
        <v>1.5286950000000001</v>
      </c>
      <c r="I70" s="13">
        <f t="shared" si="9"/>
        <v>1528.6950000000002</v>
      </c>
    </row>
    <row r="71" spans="1:9" ht="19.5" hidden="1" customHeight="1">
      <c r="A71" s="30">
        <v>30</v>
      </c>
      <c r="B71" s="79" t="s">
        <v>106</v>
      </c>
      <c r="C71" s="16" t="s">
        <v>33</v>
      </c>
      <c r="D71" s="14"/>
      <c r="E71" s="65">
        <v>34.5</v>
      </c>
      <c r="F71" s="13">
        <f t="shared" ref="F71:F72" si="10">SUM(E71)</f>
        <v>34.5</v>
      </c>
      <c r="G71" s="13">
        <v>47.79</v>
      </c>
      <c r="H71" s="78">
        <f t="shared" si="8"/>
        <v>1.648755</v>
      </c>
      <c r="I71" s="13">
        <f t="shared" si="9"/>
        <v>1648.7549999999999</v>
      </c>
    </row>
    <row r="72" spans="1:9" ht="18" customHeight="1">
      <c r="A72" s="30">
        <v>19</v>
      </c>
      <c r="B72" s="14" t="s">
        <v>55</v>
      </c>
      <c r="C72" s="16" t="s">
        <v>56</v>
      </c>
      <c r="D72" s="14" t="s">
        <v>52</v>
      </c>
      <c r="E72" s="18">
        <v>5</v>
      </c>
      <c r="F72" s="13">
        <f t="shared" si="10"/>
        <v>5</v>
      </c>
      <c r="G72" s="13">
        <v>65.42</v>
      </c>
      <c r="H72" s="78">
        <f t="shared" si="8"/>
        <v>0.3271</v>
      </c>
      <c r="I72" s="13">
        <f t="shared" si="9"/>
        <v>327.10000000000002</v>
      </c>
    </row>
    <row r="73" spans="1:9" ht="18" customHeight="1">
      <c r="A73" s="30"/>
      <c r="B73" s="102" t="s">
        <v>152</v>
      </c>
      <c r="C73" s="49"/>
      <c r="D73" s="14"/>
      <c r="E73" s="18"/>
      <c r="F73" s="13"/>
      <c r="G73" s="13"/>
      <c r="H73" s="78"/>
      <c r="I73" s="13"/>
    </row>
    <row r="74" spans="1:9" ht="18.75" customHeight="1">
      <c r="A74" s="30">
        <v>20</v>
      </c>
      <c r="B74" s="14" t="s">
        <v>153</v>
      </c>
      <c r="C74" s="30" t="s">
        <v>154</v>
      </c>
      <c r="D74" s="44" t="s">
        <v>65</v>
      </c>
      <c r="E74" s="18">
        <v>4731.7</v>
      </c>
      <c r="F74" s="13">
        <f>SUM(E74*12)</f>
        <v>56780.399999999994</v>
      </c>
      <c r="G74" s="13">
        <v>2.2799999999999998</v>
      </c>
      <c r="H74" s="78">
        <f t="shared" ref="H74" si="11">SUM(F74*G74/1000)</f>
        <v>129.45931199999998</v>
      </c>
      <c r="I74" s="13">
        <f>F74/12*G74</f>
        <v>10788.275999999998</v>
      </c>
    </row>
    <row r="75" spans="1:9" ht="16.5" customHeight="1">
      <c r="A75" s="30"/>
      <c r="B75" s="147" t="s">
        <v>69</v>
      </c>
      <c r="C75" s="16"/>
      <c r="D75" s="14"/>
      <c r="E75" s="18"/>
      <c r="F75" s="13"/>
      <c r="G75" s="13"/>
      <c r="H75" s="78" t="s">
        <v>122</v>
      </c>
      <c r="I75" s="13"/>
    </row>
    <row r="76" spans="1:9" ht="30" hidden="1">
      <c r="A76" s="30"/>
      <c r="B76" s="14" t="s">
        <v>155</v>
      </c>
      <c r="C76" s="16" t="s">
        <v>101</v>
      </c>
      <c r="D76" s="14" t="s">
        <v>65</v>
      </c>
      <c r="E76" s="18">
        <v>1</v>
      </c>
      <c r="F76" s="13">
        <v>1</v>
      </c>
      <c r="G76" s="13">
        <v>1543.4</v>
      </c>
      <c r="H76" s="78">
        <f t="shared" ref="H76:H79" si="12">SUM(F76*G76/1000)</f>
        <v>1.5434000000000001</v>
      </c>
      <c r="I76" s="13">
        <v>0</v>
      </c>
    </row>
    <row r="77" spans="1:9" ht="30" hidden="1">
      <c r="A77" s="30">
        <v>19</v>
      </c>
      <c r="B77" s="47" t="s">
        <v>156</v>
      </c>
      <c r="C77" s="49" t="s">
        <v>101</v>
      </c>
      <c r="D77" s="14" t="s">
        <v>65</v>
      </c>
      <c r="E77" s="18">
        <v>4</v>
      </c>
      <c r="F77" s="13">
        <v>1</v>
      </c>
      <c r="G77" s="13">
        <v>130.96</v>
      </c>
      <c r="H77" s="78">
        <f>SUM(F77*G77/1000)</f>
        <v>0.13096000000000002</v>
      </c>
      <c r="I77" s="13">
        <v>0</v>
      </c>
    </row>
    <row r="78" spans="1:9" hidden="1">
      <c r="A78" s="30">
        <v>13</v>
      </c>
      <c r="B78" s="14" t="s">
        <v>70</v>
      </c>
      <c r="C78" s="16" t="s">
        <v>71</v>
      </c>
      <c r="D78" s="44" t="s">
        <v>65</v>
      </c>
      <c r="E78" s="18">
        <v>8</v>
      </c>
      <c r="F78" s="13">
        <f>E78/10</f>
        <v>0.8</v>
      </c>
      <c r="G78" s="13">
        <v>657.87</v>
      </c>
      <c r="H78" s="78">
        <f t="shared" si="12"/>
        <v>0.5262960000000001</v>
      </c>
      <c r="I78" s="13">
        <f>G78*0.2</f>
        <v>131.57400000000001</v>
      </c>
    </row>
    <row r="79" spans="1:9" ht="30" hidden="1">
      <c r="A79" s="30"/>
      <c r="B79" s="14" t="s">
        <v>157</v>
      </c>
      <c r="C79" s="16" t="s">
        <v>101</v>
      </c>
      <c r="D79" s="14" t="s">
        <v>65</v>
      </c>
      <c r="E79" s="18">
        <v>1</v>
      </c>
      <c r="F79" s="66">
        <f>SUM(E79)</f>
        <v>1</v>
      </c>
      <c r="G79" s="13">
        <v>1118.72</v>
      </c>
      <c r="H79" s="78">
        <f t="shared" si="12"/>
        <v>1.1187199999999999</v>
      </c>
      <c r="I79" s="13">
        <v>0</v>
      </c>
    </row>
    <row r="80" spans="1:9" ht="30" hidden="1">
      <c r="A80" s="30"/>
      <c r="B80" s="47" t="s">
        <v>158</v>
      </c>
      <c r="C80" s="49" t="s">
        <v>101</v>
      </c>
      <c r="D80" s="14" t="s">
        <v>65</v>
      </c>
      <c r="E80" s="18">
        <v>1</v>
      </c>
      <c r="F80" s="57">
        <v>1</v>
      </c>
      <c r="G80" s="13">
        <v>3757.02</v>
      </c>
      <c r="H80" s="78">
        <f>SUM(F80*G80/1000)</f>
        <v>3.7570199999999998</v>
      </c>
      <c r="I80" s="13">
        <v>0</v>
      </c>
    </row>
    <row r="81" spans="1:9" ht="36" customHeight="1">
      <c r="A81" s="30">
        <v>21</v>
      </c>
      <c r="B81" s="47" t="s">
        <v>159</v>
      </c>
      <c r="C81" s="49" t="s">
        <v>101</v>
      </c>
      <c r="D81" s="14" t="s">
        <v>30</v>
      </c>
      <c r="E81" s="99">
        <v>2</v>
      </c>
      <c r="F81" s="77">
        <f>E81*12</f>
        <v>24</v>
      </c>
      <c r="G81" s="100">
        <v>53.42</v>
      </c>
      <c r="H81" s="78">
        <f t="shared" ref="H81" si="13">SUM(F81*G81/1000)</f>
        <v>1.2820799999999999</v>
      </c>
      <c r="I81" s="13">
        <f>G81*2</f>
        <v>106.84</v>
      </c>
    </row>
    <row r="82" spans="1:9" hidden="1">
      <c r="A82" s="30"/>
      <c r="B82" s="81" t="s">
        <v>72</v>
      </c>
      <c r="C82" s="16"/>
      <c r="D82" s="14"/>
      <c r="E82" s="18"/>
      <c r="F82" s="13"/>
      <c r="G82" s="13" t="s">
        <v>122</v>
      </c>
      <c r="H82" s="78" t="s">
        <v>122</v>
      </c>
      <c r="I82" s="13"/>
    </row>
    <row r="83" spans="1:9" hidden="1">
      <c r="A83" s="30"/>
      <c r="B83" s="44" t="s">
        <v>114</v>
      </c>
      <c r="C83" s="16" t="s">
        <v>73</v>
      </c>
      <c r="D83" s="14"/>
      <c r="E83" s="18"/>
      <c r="F83" s="13">
        <v>0.3</v>
      </c>
      <c r="G83" s="13">
        <v>3619.09</v>
      </c>
      <c r="H83" s="78">
        <f t="shared" si="8"/>
        <v>1.0857270000000001</v>
      </c>
      <c r="I83" s="13">
        <v>0</v>
      </c>
    </row>
    <row r="84" spans="1:9" ht="28.5" hidden="1">
      <c r="A84" s="30"/>
      <c r="B84" s="103" t="s">
        <v>90</v>
      </c>
      <c r="C84" s="81"/>
      <c r="D84" s="32"/>
      <c r="E84" s="33"/>
      <c r="F84" s="69"/>
      <c r="G84" s="69"/>
      <c r="H84" s="82">
        <f>SUM(H57:H83)</f>
        <v>323.6067762400001</v>
      </c>
      <c r="I84" s="69"/>
    </row>
    <row r="85" spans="1:9" hidden="1">
      <c r="A85" s="30"/>
      <c r="B85" s="63" t="s">
        <v>107</v>
      </c>
      <c r="C85" s="16"/>
      <c r="D85" s="14"/>
      <c r="E85" s="58"/>
      <c r="F85" s="13">
        <v>1</v>
      </c>
      <c r="G85" s="13">
        <v>20512</v>
      </c>
      <c r="H85" s="78">
        <f>G85*F85/1000</f>
        <v>20.512</v>
      </c>
      <c r="I85" s="13">
        <v>0</v>
      </c>
    </row>
    <row r="86" spans="1:9">
      <c r="A86" s="194" t="s">
        <v>169</v>
      </c>
      <c r="B86" s="195"/>
      <c r="C86" s="195"/>
      <c r="D86" s="195"/>
      <c r="E86" s="195"/>
      <c r="F86" s="195"/>
      <c r="G86" s="195"/>
      <c r="H86" s="195"/>
      <c r="I86" s="196"/>
    </row>
    <row r="87" spans="1:9" ht="19.5" customHeight="1">
      <c r="A87" s="30">
        <v>22</v>
      </c>
      <c r="B87" s="63" t="s">
        <v>108</v>
      </c>
      <c r="C87" s="16" t="s">
        <v>53</v>
      </c>
      <c r="D87" s="101"/>
      <c r="E87" s="13">
        <v>4731.7</v>
      </c>
      <c r="F87" s="13">
        <f>SUM(E87*12)</f>
        <v>56780.399999999994</v>
      </c>
      <c r="G87" s="13">
        <v>3.1</v>
      </c>
      <c r="H87" s="78">
        <f>SUM(F87*G87/1000)</f>
        <v>176.01924</v>
      </c>
      <c r="I87" s="13">
        <f>F87/12*G87</f>
        <v>14668.27</v>
      </c>
    </row>
    <row r="88" spans="1:9" ht="33.75" customHeight="1">
      <c r="A88" s="30">
        <v>23</v>
      </c>
      <c r="B88" s="14" t="s">
        <v>74</v>
      </c>
      <c r="C88" s="16"/>
      <c r="D88" s="44"/>
      <c r="E88" s="65">
        <f>E87</f>
        <v>4731.7</v>
      </c>
      <c r="F88" s="13">
        <f>E88*12</f>
        <v>56780.399999999994</v>
      </c>
      <c r="G88" s="13">
        <v>3.5</v>
      </c>
      <c r="H88" s="78">
        <f>F88*G88/1000</f>
        <v>198.73139999999995</v>
      </c>
      <c r="I88" s="13">
        <f>F88/12*G88</f>
        <v>16560.95</v>
      </c>
    </row>
    <row r="89" spans="1:9">
      <c r="A89" s="30"/>
      <c r="B89" s="37" t="s">
        <v>76</v>
      </c>
      <c r="C89" s="81"/>
      <c r="D89" s="80"/>
      <c r="E89" s="69"/>
      <c r="F89" s="69"/>
      <c r="G89" s="69"/>
      <c r="H89" s="82">
        <f>H88</f>
        <v>198.73139999999995</v>
      </c>
      <c r="I89" s="69">
        <f>I88+I87+I81+I74+I72+I65+I63+I50+I49+I48+I47+I46+I34+I33+I31+I30+I27+I26+I21+I20+I18+I17+I16</f>
        <v>99860.609231411101</v>
      </c>
    </row>
    <row r="90" spans="1:9">
      <c r="A90" s="191" t="s">
        <v>58</v>
      </c>
      <c r="B90" s="192"/>
      <c r="C90" s="192"/>
      <c r="D90" s="192"/>
      <c r="E90" s="192"/>
      <c r="F90" s="192"/>
      <c r="G90" s="192"/>
      <c r="H90" s="192"/>
      <c r="I90" s="193"/>
    </row>
    <row r="91" spans="1:9" ht="35.25" customHeight="1">
      <c r="A91" s="30" t="s">
        <v>212</v>
      </c>
      <c r="B91" s="47" t="s">
        <v>124</v>
      </c>
      <c r="C91" s="49" t="s">
        <v>101</v>
      </c>
      <c r="D91" s="44"/>
      <c r="E91" s="35"/>
      <c r="F91" s="35"/>
      <c r="G91" s="35">
        <v>55.55</v>
      </c>
      <c r="H91" s="35"/>
      <c r="I91" s="13">
        <f>G91*80</f>
        <v>4444</v>
      </c>
    </row>
    <row r="92" spans="1:9" ht="30">
      <c r="A92" s="30">
        <v>25</v>
      </c>
      <c r="B92" s="62" t="s">
        <v>138</v>
      </c>
      <c r="C92" s="30" t="s">
        <v>139</v>
      </c>
      <c r="D92" s="44"/>
      <c r="E92" s="35"/>
      <c r="F92" s="35"/>
      <c r="G92" s="13">
        <v>326.66000000000003</v>
      </c>
      <c r="H92" s="35"/>
      <c r="I92" s="13">
        <f>G92*1</f>
        <v>326.66000000000003</v>
      </c>
    </row>
    <row r="93" spans="1:9">
      <c r="A93" s="30">
        <v>26</v>
      </c>
      <c r="B93" s="112" t="s">
        <v>170</v>
      </c>
      <c r="C93" s="113" t="s">
        <v>171</v>
      </c>
      <c r="D93" s="44"/>
      <c r="E93" s="35"/>
      <c r="F93" s="35"/>
      <c r="G93" s="13">
        <v>134.12</v>
      </c>
      <c r="H93" s="35"/>
      <c r="I93" s="13">
        <f>G93*16</f>
        <v>2145.92</v>
      </c>
    </row>
    <row r="94" spans="1:9">
      <c r="A94" s="30">
        <v>27</v>
      </c>
      <c r="B94" s="112" t="s">
        <v>249</v>
      </c>
      <c r="C94" s="113" t="s">
        <v>33</v>
      </c>
      <c r="D94" s="16" t="s">
        <v>250</v>
      </c>
      <c r="E94" s="35"/>
      <c r="F94" s="35"/>
      <c r="G94" s="13">
        <v>800</v>
      </c>
      <c r="H94" s="35"/>
      <c r="I94" s="13">
        <f>G94*2</f>
        <v>1600</v>
      </c>
    </row>
    <row r="95" spans="1:9">
      <c r="A95" s="30">
        <v>28</v>
      </c>
      <c r="B95" s="112" t="s">
        <v>208</v>
      </c>
      <c r="C95" s="113" t="s">
        <v>79</v>
      </c>
      <c r="D95" s="44"/>
      <c r="E95" s="35"/>
      <c r="F95" s="35"/>
      <c r="G95" s="35">
        <v>203.68</v>
      </c>
      <c r="H95" s="35"/>
      <c r="I95" s="13">
        <f>G95*5</f>
        <v>1018.4000000000001</v>
      </c>
    </row>
    <row r="96" spans="1:9">
      <c r="A96" s="30">
        <v>29</v>
      </c>
      <c r="B96" s="104" t="s">
        <v>236</v>
      </c>
      <c r="C96" s="85" t="s">
        <v>237</v>
      </c>
      <c r="D96" s="16" t="s">
        <v>251</v>
      </c>
      <c r="E96" s="35"/>
      <c r="F96" s="35"/>
      <c r="G96" s="35">
        <v>13785.45</v>
      </c>
      <c r="H96" s="35"/>
      <c r="I96" s="13">
        <f>G96*0.1</f>
        <v>1378.5450000000001</v>
      </c>
    </row>
    <row r="97" spans="1:9" ht="30">
      <c r="A97" s="30">
        <v>30</v>
      </c>
      <c r="B97" s="112" t="s">
        <v>227</v>
      </c>
      <c r="C97" s="113" t="s">
        <v>37</v>
      </c>
      <c r="D97" s="44"/>
      <c r="E97" s="35"/>
      <c r="F97" s="35"/>
      <c r="G97" s="35">
        <v>3724.37</v>
      </c>
      <c r="H97" s="35"/>
      <c r="I97" s="13">
        <f>G97*0.01</f>
        <v>37.243699999999997</v>
      </c>
    </row>
    <row r="98" spans="1:9" ht="30">
      <c r="A98" s="30">
        <v>31</v>
      </c>
      <c r="B98" s="112" t="s">
        <v>175</v>
      </c>
      <c r="C98" s="113" t="s">
        <v>101</v>
      </c>
      <c r="D98" s="44"/>
      <c r="E98" s="35"/>
      <c r="F98" s="35"/>
      <c r="G98" s="35">
        <v>86.69</v>
      </c>
      <c r="H98" s="35"/>
      <c r="I98" s="13">
        <f>G98*1</f>
        <v>86.69</v>
      </c>
    </row>
    <row r="99" spans="1:9">
      <c r="A99" s="30">
        <v>32</v>
      </c>
      <c r="B99" s="112" t="s">
        <v>198</v>
      </c>
      <c r="C99" s="113" t="s">
        <v>199</v>
      </c>
      <c r="D99" s="44"/>
      <c r="E99" s="35"/>
      <c r="F99" s="35"/>
      <c r="G99" s="13">
        <v>802.98</v>
      </c>
      <c r="H99" s="35"/>
      <c r="I99" s="13">
        <f>G99*3</f>
        <v>2408.94</v>
      </c>
    </row>
    <row r="100" spans="1:9">
      <c r="A100" s="30">
        <v>33</v>
      </c>
      <c r="B100" s="112" t="s">
        <v>194</v>
      </c>
      <c r="C100" s="113" t="s">
        <v>101</v>
      </c>
      <c r="D100" s="44"/>
      <c r="E100" s="35"/>
      <c r="F100" s="35"/>
      <c r="G100" s="35">
        <v>196.01</v>
      </c>
      <c r="H100" s="35"/>
      <c r="I100" s="13">
        <f>G100*4</f>
        <v>784.04</v>
      </c>
    </row>
    <row r="101" spans="1:9">
      <c r="A101" s="30">
        <v>34</v>
      </c>
      <c r="B101" s="112" t="s">
        <v>252</v>
      </c>
      <c r="C101" s="113" t="s">
        <v>101</v>
      </c>
      <c r="D101" s="44"/>
      <c r="E101" s="35"/>
      <c r="F101" s="35"/>
      <c r="G101" s="35">
        <v>20.350000000000001</v>
      </c>
      <c r="H101" s="35"/>
      <c r="I101" s="13">
        <f>G101*1</f>
        <v>20.350000000000001</v>
      </c>
    </row>
    <row r="102" spans="1:9">
      <c r="A102" s="30">
        <v>35</v>
      </c>
      <c r="B102" s="112" t="s">
        <v>253</v>
      </c>
      <c r="C102" s="113" t="s">
        <v>101</v>
      </c>
      <c r="D102" s="44"/>
      <c r="E102" s="35"/>
      <c r="F102" s="35"/>
      <c r="G102" s="35">
        <v>9.77</v>
      </c>
      <c r="H102" s="35"/>
      <c r="I102" s="13">
        <f>G102*2</f>
        <v>19.54</v>
      </c>
    </row>
    <row r="103" spans="1:9">
      <c r="A103" s="30">
        <v>36</v>
      </c>
      <c r="B103" s="112" t="s">
        <v>254</v>
      </c>
      <c r="C103" s="113" t="s">
        <v>101</v>
      </c>
      <c r="D103" s="44"/>
      <c r="E103" s="35"/>
      <c r="F103" s="35"/>
      <c r="G103" s="35">
        <v>14.36</v>
      </c>
      <c r="H103" s="35"/>
      <c r="I103" s="13">
        <f>G103*2</f>
        <v>28.72</v>
      </c>
    </row>
    <row r="104" spans="1:9" ht="16.5" customHeight="1">
      <c r="A104" s="30"/>
      <c r="B104" s="32" t="s">
        <v>50</v>
      </c>
      <c r="C104" s="38"/>
      <c r="D104" s="45"/>
      <c r="E104" s="38">
        <v>1</v>
      </c>
      <c r="F104" s="38"/>
      <c r="G104" s="38"/>
      <c r="H104" s="38"/>
      <c r="I104" s="33">
        <f>SUM(I92:I103)</f>
        <v>9855.0486999999994</v>
      </c>
    </row>
    <row r="105" spans="1:9">
      <c r="A105" s="30"/>
      <c r="B105" s="44" t="s">
        <v>75</v>
      </c>
      <c r="C105" s="15"/>
      <c r="D105" s="15"/>
      <c r="E105" s="39"/>
      <c r="F105" s="39"/>
      <c r="G105" s="40"/>
      <c r="H105" s="40"/>
      <c r="I105" s="17">
        <v>0</v>
      </c>
    </row>
    <row r="106" spans="1:9">
      <c r="A106" s="46"/>
      <c r="B106" s="43" t="s">
        <v>143</v>
      </c>
      <c r="C106" s="34"/>
      <c r="D106" s="34"/>
      <c r="E106" s="34"/>
      <c r="F106" s="34"/>
      <c r="G106" s="34"/>
      <c r="H106" s="34"/>
      <c r="I106" s="41">
        <f>I89+I104</f>
        <v>109715.6579314111</v>
      </c>
    </row>
    <row r="107" spans="1:9">
      <c r="A107" s="197" t="s">
        <v>213</v>
      </c>
      <c r="B107" s="198"/>
      <c r="C107" s="198"/>
      <c r="D107" s="198"/>
      <c r="E107" s="198"/>
      <c r="F107" s="198"/>
      <c r="G107" s="198"/>
      <c r="H107" s="198"/>
      <c r="I107" s="198"/>
    </row>
    <row r="108" spans="1:9" ht="15.75">
      <c r="A108" s="188" t="s">
        <v>260</v>
      </c>
      <c r="B108" s="188"/>
      <c r="C108" s="188"/>
      <c r="D108" s="188"/>
      <c r="E108" s="188"/>
      <c r="F108" s="188"/>
      <c r="G108" s="188"/>
      <c r="H108" s="188"/>
      <c r="I108" s="188"/>
    </row>
    <row r="109" spans="1:9" ht="15.75">
      <c r="A109" s="56"/>
      <c r="B109" s="189" t="s">
        <v>261</v>
      </c>
      <c r="C109" s="189"/>
      <c r="D109" s="189"/>
      <c r="E109" s="189"/>
      <c r="F109" s="189"/>
      <c r="G109" s="189"/>
      <c r="H109" s="61"/>
      <c r="I109" s="3"/>
    </row>
    <row r="110" spans="1:9">
      <c r="A110" s="145"/>
      <c r="B110" s="179" t="s">
        <v>6</v>
      </c>
      <c r="C110" s="179"/>
      <c r="D110" s="179"/>
      <c r="E110" s="179"/>
      <c r="F110" s="179"/>
      <c r="G110" s="179"/>
      <c r="H110" s="25"/>
      <c r="I110" s="5"/>
    </row>
    <row r="111" spans="1:9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ht="15.75">
      <c r="A112" s="190" t="s">
        <v>7</v>
      </c>
      <c r="B112" s="190"/>
      <c r="C112" s="190"/>
      <c r="D112" s="190"/>
      <c r="E112" s="190"/>
      <c r="F112" s="190"/>
      <c r="G112" s="190"/>
      <c r="H112" s="190"/>
      <c r="I112" s="190"/>
    </row>
    <row r="113" spans="1:9" ht="15.75">
      <c r="A113" s="190" t="s">
        <v>8</v>
      </c>
      <c r="B113" s="190"/>
      <c r="C113" s="190"/>
      <c r="D113" s="190"/>
      <c r="E113" s="190"/>
      <c r="F113" s="190"/>
      <c r="G113" s="190"/>
      <c r="H113" s="190"/>
      <c r="I113" s="190"/>
    </row>
    <row r="114" spans="1:9" ht="15.75">
      <c r="A114" s="183" t="s">
        <v>59</v>
      </c>
      <c r="B114" s="183"/>
      <c r="C114" s="183"/>
      <c r="D114" s="183"/>
      <c r="E114" s="183"/>
      <c r="F114" s="183"/>
      <c r="G114" s="183"/>
      <c r="H114" s="183"/>
      <c r="I114" s="183"/>
    </row>
    <row r="115" spans="1:9" ht="15.75">
      <c r="A115" s="11"/>
    </row>
    <row r="116" spans="1:9" ht="15.75">
      <c r="A116" s="177" t="s">
        <v>9</v>
      </c>
      <c r="B116" s="177"/>
      <c r="C116" s="177"/>
      <c r="D116" s="177"/>
      <c r="E116" s="177"/>
      <c r="F116" s="177"/>
      <c r="G116" s="177"/>
      <c r="H116" s="177"/>
      <c r="I116" s="177"/>
    </row>
    <row r="117" spans="1:9" ht="15.75">
      <c r="A117" s="4"/>
    </row>
    <row r="118" spans="1:9" ht="15.75">
      <c r="B118" s="148" t="s">
        <v>10</v>
      </c>
      <c r="C118" s="178" t="s">
        <v>131</v>
      </c>
      <c r="D118" s="178"/>
      <c r="E118" s="178"/>
      <c r="F118" s="59"/>
      <c r="I118" s="150"/>
    </row>
    <row r="119" spans="1:9">
      <c r="A119" s="145"/>
      <c r="C119" s="179" t="s">
        <v>11</v>
      </c>
      <c r="D119" s="179"/>
      <c r="E119" s="179"/>
      <c r="F119" s="25"/>
      <c r="I119" s="149" t="s">
        <v>12</v>
      </c>
    </row>
    <row r="120" spans="1:9" ht="15.75">
      <c r="A120" s="26"/>
      <c r="C120" s="12"/>
      <c r="D120" s="12"/>
      <c r="G120" s="12"/>
      <c r="H120" s="12"/>
    </row>
    <row r="121" spans="1:9" ht="15.75">
      <c r="B121" s="148" t="s">
        <v>13</v>
      </c>
      <c r="C121" s="180"/>
      <c r="D121" s="180"/>
      <c r="E121" s="180"/>
      <c r="F121" s="60"/>
      <c r="I121" s="150"/>
    </row>
    <row r="122" spans="1:9">
      <c r="A122" s="145"/>
      <c r="C122" s="181" t="s">
        <v>11</v>
      </c>
      <c r="D122" s="181"/>
      <c r="E122" s="181"/>
      <c r="F122" s="145"/>
      <c r="I122" s="149" t="s">
        <v>12</v>
      </c>
    </row>
    <row r="123" spans="1:9" ht="15.75">
      <c r="A123" s="4" t="s">
        <v>14</v>
      </c>
    </row>
    <row r="124" spans="1:9">
      <c r="A124" s="182" t="s">
        <v>15</v>
      </c>
      <c r="B124" s="182"/>
      <c r="C124" s="182"/>
      <c r="D124" s="182"/>
      <c r="E124" s="182"/>
      <c r="F124" s="182"/>
      <c r="G124" s="182"/>
      <c r="H124" s="182"/>
      <c r="I124" s="182"/>
    </row>
    <row r="125" spans="1:9" ht="45.75" customHeight="1">
      <c r="A125" s="176" t="s">
        <v>16</v>
      </c>
      <c r="B125" s="176"/>
      <c r="C125" s="176"/>
      <c r="D125" s="176"/>
      <c r="E125" s="176"/>
      <c r="F125" s="176"/>
      <c r="G125" s="176"/>
      <c r="H125" s="176"/>
      <c r="I125" s="176"/>
    </row>
    <row r="126" spans="1:9" ht="33.75" customHeight="1">
      <c r="A126" s="176" t="s">
        <v>17</v>
      </c>
      <c r="B126" s="176"/>
      <c r="C126" s="176"/>
      <c r="D126" s="176"/>
      <c r="E126" s="176"/>
      <c r="F126" s="176"/>
      <c r="G126" s="176"/>
      <c r="H126" s="176"/>
      <c r="I126" s="176"/>
    </row>
    <row r="127" spans="1:9" ht="32.25" customHeight="1">
      <c r="A127" s="176" t="s">
        <v>21</v>
      </c>
      <c r="B127" s="176"/>
      <c r="C127" s="176"/>
      <c r="D127" s="176"/>
      <c r="E127" s="176"/>
      <c r="F127" s="176"/>
      <c r="G127" s="176"/>
      <c r="H127" s="176"/>
      <c r="I127" s="176"/>
    </row>
    <row r="128" spans="1:9" ht="15.75">
      <c r="A128" s="176" t="s">
        <v>20</v>
      </c>
      <c r="B128" s="176"/>
      <c r="C128" s="176"/>
      <c r="D128" s="176"/>
      <c r="E128" s="176"/>
      <c r="F128" s="176"/>
      <c r="G128" s="176"/>
      <c r="H128" s="176"/>
      <c r="I128" s="176"/>
    </row>
  </sheetData>
  <mergeCells count="29">
    <mergeCell ref="A124:I124"/>
    <mergeCell ref="A125:I125"/>
    <mergeCell ref="A126:I126"/>
    <mergeCell ref="A127:I127"/>
    <mergeCell ref="A128:I128"/>
    <mergeCell ref="C122:E122"/>
    <mergeCell ref="A107:I107"/>
    <mergeCell ref="A108:I108"/>
    <mergeCell ref="B109:G109"/>
    <mergeCell ref="B110:G110"/>
    <mergeCell ref="A112:I112"/>
    <mergeCell ref="A113:I113"/>
    <mergeCell ref="A114:I114"/>
    <mergeCell ref="A116:I116"/>
    <mergeCell ref="C118:E118"/>
    <mergeCell ref="C119:E119"/>
    <mergeCell ref="C121:E121"/>
    <mergeCell ref="A90:I90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5:I55"/>
    <mergeCell ref="A86:I86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</vt:i4>
      </vt:variant>
    </vt:vector>
  </HeadingPairs>
  <TitlesOfParts>
    <vt:vector size="17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'01.18'!Область_печати</vt:lpstr>
      <vt:lpstr>'02.18'!Область_печати</vt:lpstr>
      <vt:lpstr>'03.18'!Область_печати</vt:lpstr>
      <vt:lpstr>'05.18'!Область_печати</vt:lpstr>
      <vt:lpstr>'06.18'!Область_печати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2019-02-18T07:12:15Z</cp:lastPrinted>
  <dcterms:created xsi:type="dcterms:W3CDTF">2016-03-25T08:33:47Z</dcterms:created>
  <dcterms:modified xsi:type="dcterms:W3CDTF">2019-03-13T04:58:46Z</dcterms:modified>
</cp:coreProperties>
</file>