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20100" windowHeight="7815"/>
  </bookViews>
  <sheets>
    <sheet name="Сов.,14" sheetId="1" r:id="rId1"/>
  </sheets>
  <definedNames>
    <definedName name="_xlnm.Print_Area" localSheetId="0">'Сов.,14'!$A$1:$U$129</definedName>
  </definedNames>
  <calcPr calcId="124519"/>
</workbook>
</file>

<file path=xl/calcChain.xml><?xml version="1.0" encoding="utf-8"?>
<calcChain xmlns="http://schemas.openxmlformats.org/spreadsheetml/2006/main">
  <c r="F96" i="1"/>
  <c r="H96" s="1"/>
  <c r="U91"/>
  <c r="Q91"/>
  <c r="H91"/>
  <c r="U90"/>
  <c r="Q90"/>
  <c r="H90"/>
  <c r="F99"/>
  <c r="P99"/>
  <c r="P110"/>
  <c r="U96"/>
  <c r="P96"/>
  <c r="U95"/>
  <c r="P95"/>
  <c r="H95"/>
  <c r="U94"/>
  <c r="P94"/>
  <c r="H94"/>
  <c r="F38"/>
  <c r="I38" s="1"/>
  <c r="L38"/>
  <c r="L102"/>
  <c r="K102"/>
  <c r="L99"/>
  <c r="N93"/>
  <c r="L93"/>
  <c r="N110"/>
  <c r="U110" s="1"/>
  <c r="H110"/>
  <c r="C127"/>
  <c r="C124"/>
  <c r="H114"/>
  <c r="H115"/>
  <c r="H109"/>
  <c r="H111"/>
  <c r="H112"/>
  <c r="H113"/>
  <c r="Q115"/>
  <c r="Q99"/>
  <c r="Q116"/>
  <c r="U116" s="1"/>
  <c r="F116"/>
  <c r="H116" s="1"/>
  <c r="J38" l="1"/>
  <c r="K38"/>
  <c r="Q102"/>
  <c r="Q106"/>
  <c r="Q93"/>
  <c r="F93"/>
  <c r="U102"/>
  <c r="U59"/>
  <c r="U61"/>
  <c r="U62"/>
  <c r="U70"/>
  <c r="U71"/>
  <c r="U73"/>
  <c r="U75"/>
  <c r="U77"/>
  <c r="U28"/>
  <c r="U29"/>
  <c r="P115"/>
  <c r="U115" s="1"/>
  <c r="P98"/>
  <c r="P74"/>
  <c r="U74" s="1"/>
  <c r="P114"/>
  <c r="U114" s="1"/>
  <c r="P112"/>
  <c r="U112" s="1"/>
  <c r="P113"/>
  <c r="U113" s="1"/>
  <c r="O111"/>
  <c r="U111" s="1"/>
  <c r="O101"/>
  <c r="O103"/>
  <c r="N103"/>
  <c r="N107"/>
  <c r="K105"/>
  <c r="U105" s="1"/>
  <c r="H105"/>
  <c r="K99"/>
  <c r="K72"/>
  <c r="U72" s="1"/>
  <c r="K106"/>
  <c r="U106" s="1"/>
  <c r="M109"/>
  <c r="U109" s="1"/>
  <c r="L101"/>
  <c r="L108"/>
  <c r="U108" s="1"/>
  <c r="H108"/>
  <c r="L107" l="1"/>
  <c r="U107" s="1"/>
  <c r="H107"/>
  <c r="K93" l="1"/>
  <c r="K104"/>
  <c r="U104" s="1"/>
  <c r="H104"/>
  <c r="K103"/>
  <c r="U103" s="1"/>
  <c r="H103"/>
  <c r="K101" l="1"/>
  <c r="U101" s="1"/>
  <c r="H101"/>
  <c r="M79"/>
  <c r="U79" s="1"/>
  <c r="L36"/>
  <c r="U36" s="1"/>
  <c r="J99"/>
  <c r="J100"/>
  <c r="U100" s="1"/>
  <c r="H100"/>
  <c r="J93"/>
  <c r="H99" l="1"/>
  <c r="I99"/>
  <c r="U99" s="1"/>
  <c r="I98"/>
  <c r="U98" s="1"/>
  <c r="H98"/>
  <c r="I93"/>
  <c r="U93" s="1"/>
  <c r="H93"/>
  <c r="I92"/>
  <c r="U92" s="1"/>
  <c r="H92"/>
  <c r="I89"/>
  <c r="U89" s="1"/>
  <c r="H89"/>
  <c r="U117" l="1"/>
  <c r="F73"/>
  <c r="H73" s="1"/>
  <c r="F71"/>
  <c r="H71" s="1"/>
  <c r="F70"/>
  <c r="H70" s="1"/>
  <c r="T56" l="1"/>
  <c r="T39"/>
  <c r="T33"/>
  <c r="S33"/>
  <c r="Q68"/>
  <c r="U68" s="1"/>
  <c r="S56"/>
  <c r="R50"/>
  <c r="S39"/>
  <c r="L33"/>
  <c r="F19"/>
  <c r="Q52"/>
  <c r="Q51"/>
  <c r="H106" l="1"/>
  <c r="H36"/>
  <c r="M50"/>
  <c r="U50" s="1"/>
  <c r="I51"/>
  <c r="H102"/>
  <c r="L56"/>
  <c r="M52"/>
  <c r="M51"/>
  <c r="H117" l="1"/>
  <c r="U51"/>
  <c r="L39"/>
  <c r="K33"/>
  <c r="F26" l="1"/>
  <c r="H26" s="1"/>
  <c r="H79"/>
  <c r="K56"/>
  <c r="K39"/>
  <c r="J56"/>
  <c r="J39"/>
  <c r="J33"/>
  <c r="I52"/>
  <c r="U52" s="1"/>
  <c r="F52"/>
  <c r="I56"/>
  <c r="I39"/>
  <c r="I33"/>
  <c r="F51"/>
  <c r="U33" l="1"/>
  <c r="U56"/>
  <c r="U39"/>
  <c r="O26"/>
  <c r="Q26"/>
  <c r="P26"/>
  <c r="R26"/>
  <c r="N26"/>
  <c r="M26"/>
  <c r="C126"/>
  <c r="F57"/>
  <c r="T57" s="1"/>
  <c r="U26" l="1"/>
  <c r="L57"/>
  <c r="S57"/>
  <c r="I57"/>
  <c r="K57"/>
  <c r="J57"/>
  <c r="F34"/>
  <c r="T34" s="1"/>
  <c r="F16"/>
  <c r="F37"/>
  <c r="T37" s="1"/>
  <c r="H33"/>
  <c r="M19"/>
  <c r="U19" s="1"/>
  <c r="F120"/>
  <c r="H119"/>
  <c r="E82"/>
  <c r="H85" s="1"/>
  <c r="F80"/>
  <c r="H77"/>
  <c r="H75"/>
  <c r="F74"/>
  <c r="H72"/>
  <c r="F68"/>
  <c r="F67"/>
  <c r="M67" s="1"/>
  <c r="U67" s="1"/>
  <c r="F66"/>
  <c r="M66" s="1"/>
  <c r="U66" s="1"/>
  <c r="F65"/>
  <c r="M65" s="1"/>
  <c r="U65" s="1"/>
  <c r="F64"/>
  <c r="M64" s="1"/>
  <c r="U64" s="1"/>
  <c r="F63"/>
  <c r="M63" s="1"/>
  <c r="U63" s="1"/>
  <c r="H62"/>
  <c r="H61"/>
  <c r="H57"/>
  <c r="F55"/>
  <c r="H52"/>
  <c r="H51"/>
  <c r="H50"/>
  <c r="F49"/>
  <c r="F48"/>
  <c r="F47"/>
  <c r="F46"/>
  <c r="F45"/>
  <c r="F44"/>
  <c r="F43"/>
  <c r="F42"/>
  <c r="H39"/>
  <c r="T38"/>
  <c r="H37"/>
  <c r="F35"/>
  <c r="T35" s="1"/>
  <c r="H34"/>
  <c r="F30"/>
  <c r="T30" s="1"/>
  <c r="H29"/>
  <c r="H28"/>
  <c r="F27"/>
  <c r="F25"/>
  <c r="M25" s="1"/>
  <c r="U25" s="1"/>
  <c r="F24"/>
  <c r="F23"/>
  <c r="F20"/>
  <c r="M20" s="1"/>
  <c r="U20" s="1"/>
  <c r="F18"/>
  <c r="M18" s="1"/>
  <c r="U18" s="1"/>
  <c r="F17"/>
  <c r="M17" s="1"/>
  <c r="U17" s="1"/>
  <c r="H16"/>
  <c r="F15"/>
  <c r="T15" s="1"/>
  <c r="F14"/>
  <c r="M14" s="1"/>
  <c r="U14" s="1"/>
  <c r="E13"/>
  <c r="F13" s="1"/>
  <c r="T13" s="1"/>
  <c r="F12"/>
  <c r="T12" s="1"/>
  <c r="F11"/>
  <c r="U57" l="1"/>
  <c r="S11"/>
  <c r="T11"/>
  <c r="T80"/>
  <c r="S80"/>
  <c r="S27"/>
  <c r="T27"/>
  <c r="Q47"/>
  <c r="T47"/>
  <c r="T55"/>
  <c r="S55"/>
  <c r="O13"/>
  <c r="Q13"/>
  <c r="S13"/>
  <c r="R13"/>
  <c r="P13"/>
  <c r="O15"/>
  <c r="R15"/>
  <c r="P15"/>
  <c r="Q15"/>
  <c r="S15"/>
  <c r="O12"/>
  <c r="R12"/>
  <c r="P12"/>
  <c r="Q12"/>
  <c r="S12"/>
  <c r="R23"/>
  <c r="P23"/>
  <c r="Q23"/>
  <c r="O23"/>
  <c r="O27"/>
  <c r="Q27"/>
  <c r="R27"/>
  <c r="P27"/>
  <c r="M43"/>
  <c r="Q43"/>
  <c r="M45"/>
  <c r="Q45"/>
  <c r="M47"/>
  <c r="M49"/>
  <c r="U49" s="1"/>
  <c r="R49"/>
  <c r="L55"/>
  <c r="S16"/>
  <c r="O16"/>
  <c r="Q16"/>
  <c r="Q11"/>
  <c r="R11"/>
  <c r="P11"/>
  <c r="O11"/>
  <c r="O24"/>
  <c r="Q24"/>
  <c r="R24"/>
  <c r="P24"/>
  <c r="O30"/>
  <c r="R30"/>
  <c r="P30"/>
  <c r="Q30"/>
  <c r="S30"/>
  <c r="L35"/>
  <c r="S35"/>
  <c r="S38"/>
  <c r="Q42"/>
  <c r="M42"/>
  <c r="M44"/>
  <c r="Q44"/>
  <c r="M46"/>
  <c r="Q46"/>
  <c r="M48"/>
  <c r="U48" s="1"/>
  <c r="R48"/>
  <c r="Q80"/>
  <c r="R80"/>
  <c r="P80"/>
  <c r="O80"/>
  <c r="L37"/>
  <c r="S37"/>
  <c r="L34"/>
  <c r="S34"/>
  <c r="N23"/>
  <c r="N11"/>
  <c r="N80"/>
  <c r="L12"/>
  <c r="N12"/>
  <c r="M12"/>
  <c r="M11"/>
  <c r="L11"/>
  <c r="L13"/>
  <c r="N13"/>
  <c r="M13"/>
  <c r="N15"/>
  <c r="M15"/>
  <c r="N24"/>
  <c r="M24"/>
  <c r="N30"/>
  <c r="M30"/>
  <c r="M80"/>
  <c r="L80"/>
  <c r="M23"/>
  <c r="N27"/>
  <c r="M27"/>
  <c r="I16"/>
  <c r="M16"/>
  <c r="K16"/>
  <c r="K27"/>
  <c r="L27"/>
  <c r="K55"/>
  <c r="K11"/>
  <c r="K15"/>
  <c r="L15"/>
  <c r="K30"/>
  <c r="L30"/>
  <c r="K80"/>
  <c r="J11"/>
  <c r="K13"/>
  <c r="J13"/>
  <c r="J15"/>
  <c r="H17"/>
  <c r="H20"/>
  <c r="H24"/>
  <c r="J30"/>
  <c r="K35"/>
  <c r="J35"/>
  <c r="H42"/>
  <c r="H44"/>
  <c r="H46"/>
  <c r="H48"/>
  <c r="H63"/>
  <c r="H65"/>
  <c r="H67"/>
  <c r="I80"/>
  <c r="J80"/>
  <c r="I37"/>
  <c r="J37"/>
  <c r="K37"/>
  <c r="I34"/>
  <c r="J34"/>
  <c r="K34"/>
  <c r="I12"/>
  <c r="K12"/>
  <c r="J12"/>
  <c r="H14"/>
  <c r="H18"/>
  <c r="H23"/>
  <c r="H25"/>
  <c r="J27"/>
  <c r="H43"/>
  <c r="H45"/>
  <c r="J47"/>
  <c r="H49"/>
  <c r="J55"/>
  <c r="H64"/>
  <c r="H66"/>
  <c r="H68"/>
  <c r="H27"/>
  <c r="I27"/>
  <c r="U27" s="1"/>
  <c r="H30"/>
  <c r="I30"/>
  <c r="U30" s="1"/>
  <c r="H35"/>
  <c r="I35"/>
  <c r="U35" s="1"/>
  <c r="H11"/>
  <c r="I11"/>
  <c r="U11" s="1"/>
  <c r="H13"/>
  <c r="I13"/>
  <c r="U13" s="1"/>
  <c r="H15"/>
  <c r="I15"/>
  <c r="U15" s="1"/>
  <c r="H38"/>
  <c r="U38"/>
  <c r="H47"/>
  <c r="I47"/>
  <c r="U47" s="1"/>
  <c r="H55"/>
  <c r="I55"/>
  <c r="U55" s="1"/>
  <c r="H74"/>
  <c r="H80"/>
  <c r="H81" s="1"/>
  <c r="H12"/>
  <c r="F82"/>
  <c r="H19"/>
  <c r="H40"/>
  <c r="U23" l="1"/>
  <c r="U42"/>
  <c r="U24"/>
  <c r="U34"/>
  <c r="U16"/>
  <c r="U46"/>
  <c r="U44"/>
  <c r="U45"/>
  <c r="U43"/>
  <c r="U12"/>
  <c r="U21" s="1"/>
  <c r="U37"/>
  <c r="U80"/>
  <c r="H31"/>
  <c r="T82"/>
  <c r="S82"/>
  <c r="S120" s="1"/>
  <c r="T120"/>
  <c r="Q82"/>
  <c r="Q120" s="1"/>
  <c r="O82"/>
  <c r="R82"/>
  <c r="P82"/>
  <c r="N82"/>
  <c r="N120" s="1"/>
  <c r="H53"/>
  <c r="U31"/>
  <c r="M82"/>
  <c r="L82"/>
  <c r="L120" s="1"/>
  <c r="U78"/>
  <c r="K82"/>
  <c r="K120" s="1"/>
  <c r="I82"/>
  <c r="J82"/>
  <c r="J120" s="1"/>
  <c r="M120"/>
  <c r="R120"/>
  <c r="U81"/>
  <c r="P120"/>
  <c r="O120"/>
  <c r="H78"/>
  <c r="H21"/>
  <c r="H82"/>
  <c r="H83" s="1"/>
  <c r="I120"/>
  <c r="U82" l="1"/>
  <c r="U53"/>
  <c r="U40"/>
  <c r="U83"/>
  <c r="H84"/>
  <c r="H86" s="1"/>
  <c r="G120" s="1"/>
  <c r="H120" s="1"/>
  <c r="U84" l="1"/>
  <c r="U120"/>
  <c r="C129" s="1"/>
  <c r="C125" l="1"/>
</calcChain>
</file>

<file path=xl/sharedStrings.xml><?xml version="1.0" encoding="utf-8"?>
<sst xmlns="http://schemas.openxmlformats.org/spreadsheetml/2006/main" count="356" uniqueCount="260">
  <si>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</si>
  <si>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</si>
  <si>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</si>
  <si>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</si>
  <si>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</si>
  <si>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</si>
  <si>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</si>
  <si>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</si>
  <si>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</si>
  <si>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</si>
  <si>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</si>
  <si>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</si>
  <si>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</si>
  <si>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</si>
  <si>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</si>
  <si>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</si>
  <si>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</si>
  <si>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</si>
  <si>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</si>
  <si>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</si>
  <si>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</si>
  <si>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</si>
  <si>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</si>
  <si>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</si>
  <si>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</si>
  <si>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</si>
  <si>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</si>
  <si>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</si>
  <si>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</si>
  <si>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</si>
  <si>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</si>
  <si>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</si>
  <si>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</si>
  <si>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</si>
  <si>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</si>
  <si>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</si>
  <si>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</si>
  <si>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</si>
  <si>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</si>
  <si>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</si>
  <si>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</si>
  <si>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</si>
  <si>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</si>
  <si>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</si>
  <si>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</si>
  <si>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</si>
  <si>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</si>
  <si>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</si>
  <si>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 xml:space="preserve">Сдвигание снега в дни снегопада </t>
  </si>
  <si>
    <t>1000 м2</t>
  </si>
  <si>
    <t>155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</si>
  <si>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</si>
  <si>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</si>
  <si>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</si>
  <si>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</si>
  <si>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</si>
  <si>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деревянных конструкций стропил</t>
  </si>
  <si>
    <t>100 м3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</si>
  <si>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</si>
  <si>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</si>
  <si>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</si>
  <si>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</si>
  <si>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</si>
  <si>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</si>
  <si>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</si>
  <si>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2-1-1а</t>
  </si>
  <si>
    <t xml:space="preserve">Проверка дымоходов </t>
  </si>
  <si>
    <t>шт</t>
  </si>
  <si>
    <t>2-1-1б</t>
  </si>
  <si>
    <t>Проверка вентканалов</t>
  </si>
  <si>
    <t>Кровля</t>
  </si>
  <si>
    <t xml:space="preserve">6 раз за сезон </t>
  </si>
  <si>
    <t>Осмотр и очистка оголовков дымоходов и вентканалов от наледи и снега (по необходимости) зимой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</si>
  <si>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</si>
  <si>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</si>
  <si>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</si>
  <si>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</si>
  <si>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</si>
  <si>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</si>
  <si>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</si>
  <si>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</si>
  <si>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</si>
  <si>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</si>
  <si>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</si>
  <si>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</si>
  <si>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</si>
  <si>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</si>
  <si>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</si>
  <si>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Замена ламп ДРЛ</t>
  </si>
  <si>
    <t>2-2-1-3-3</t>
  </si>
  <si>
    <t>Мелкий ремонт электропроводки</t>
  </si>
  <si>
    <t>1п.м.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</si>
  <si>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</si>
  <si>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</si>
  <si>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</si>
  <si>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</si>
  <si>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</si>
  <si>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</si>
  <si>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</si>
  <si>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</si>
  <si>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</si>
  <si>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</si>
  <si>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</si>
  <si>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</si>
  <si>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10 м2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</si>
  <si>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</si>
  <si>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</si>
  <si>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</si>
  <si>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</si>
  <si>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1 раз в месяц</t>
  </si>
  <si>
    <t xml:space="preserve">1 раз в год  </t>
  </si>
  <si>
    <t>35 раз за сезон</t>
  </si>
  <si>
    <t>1 раз в 2 месяца</t>
  </si>
  <si>
    <t>30 раз за сезон</t>
  </si>
  <si>
    <t>Вывоз снега с придомовой территории</t>
  </si>
  <si>
    <t>Очистка козырьков над входами в подъезды от слежавшегося снега со сбрасыванием сосулек</t>
  </si>
  <si>
    <t>Очистка от мусора</t>
  </si>
  <si>
    <t>Вода для промывки СО</t>
  </si>
  <si>
    <t>Спуск воды после промывки СО в канализацию</t>
  </si>
  <si>
    <t>Ремонт групповых щитков на лестничной клетке без ремонта автоматов</t>
  </si>
  <si>
    <t>Генеральный директор ООО "Жилсервис"_______Ю.Л.Куканов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</si>
  <si>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</si>
  <si>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</si>
  <si>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</si>
  <si>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</si>
  <si>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</si>
  <si>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</si>
  <si>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</si>
  <si>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</si>
  <si>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</si>
  <si>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</si>
  <si>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</si>
  <si>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4 раза в год</t>
  </si>
  <si>
    <t>3 раза в год</t>
  </si>
  <si>
    <t>калькуляция</t>
  </si>
  <si>
    <t>Работа автовышки</t>
  </si>
  <si>
    <t>Стоимость (руб.)</t>
  </si>
  <si>
    <t>договор</t>
  </si>
  <si>
    <t>ТО внутридомового газ.оборудования</t>
  </si>
  <si>
    <t>5 этажей, 4 подъезда</t>
  </si>
  <si>
    <t>1шт.</t>
  </si>
  <si>
    <t>Выполне  ние       май</t>
  </si>
  <si>
    <t xml:space="preserve">Очистка края кровли от слежавшегося снега со сбрасыванием сосулек (10% от S кровли) </t>
  </si>
  <si>
    <t>смета</t>
  </si>
  <si>
    <t>Подключение и отключение сварочного аппарата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</si>
  <si>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</si>
  <si>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</si>
  <si>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</si>
  <si>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</si>
  <si>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</si>
  <si>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</si>
  <si>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</si>
  <si>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</si>
  <si>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1 м</t>
  </si>
  <si>
    <t>Осмотр шиферной кровли</t>
  </si>
  <si>
    <t>Внеплановй осмотр электросетей, армазуры и электрооборудования на лестничных клетках</t>
  </si>
  <si>
    <t xml:space="preserve">Внеплановая проверка дымоходов 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</si>
  <si>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</si>
  <si>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</si>
  <si>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</si>
  <si>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</si>
  <si>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</si>
  <si>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</si>
  <si>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</si>
  <si>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</si>
  <si>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</si>
  <si>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</si>
  <si>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</si>
  <si>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</si>
  <si>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</si>
  <si>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</si>
  <si>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</si>
  <si>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54-003</t>
  </si>
  <si>
    <t>ТЕР 54-013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</si>
  <si>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</si>
  <si>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</si>
  <si>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</si>
  <si>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</si>
  <si>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</si>
  <si>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</si>
  <si>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</si>
  <si>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</si>
  <si>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</si>
  <si>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</si>
  <si>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</si>
  <si>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>ТЕР 54-041 и 42</t>
  </si>
  <si>
    <t xml:space="preserve">пр.ТЕР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</si>
  <si>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</si>
  <si>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</si>
  <si>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</si>
  <si>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</si>
  <si>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</si>
  <si>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</si>
  <si>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</si>
  <si>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</si>
  <si>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33-049</t>
  </si>
  <si>
    <t>ТЕР 33-060</t>
  </si>
  <si>
    <t>ТЕР 2-1-1а</t>
  </si>
  <si>
    <t>3м</t>
  </si>
  <si>
    <t>Смена трубопроводов на полипропиленовые трубы PN20 диаметром 20 мм</t>
  </si>
  <si>
    <t>ТЕР 33-030</t>
  </si>
  <si>
    <t>Баланс выполненных работ на 01.01.2017 г. ( -долг за предприятием, +долг за населением)</t>
  </si>
  <si>
    <t>пр.ТЕР 32-098</t>
  </si>
  <si>
    <t>Устройство хомута диаметром до 50 мм</t>
  </si>
  <si>
    <t>место</t>
  </si>
  <si>
    <t>пр.ТЕР 33-024</t>
  </si>
  <si>
    <t xml:space="preserve">Смена светодиодных светильников </t>
  </si>
  <si>
    <t>счёт-фактура</t>
  </si>
  <si>
    <t>Стоимость светодиодного светильника</t>
  </si>
  <si>
    <t>руб</t>
  </si>
  <si>
    <t>ТЕР 33-043</t>
  </si>
  <si>
    <t>Смена плавкой вставки в электрощитке</t>
  </si>
  <si>
    <t>Смена трубопроводов на полипропиленовые трубы PN25 диаметром 25 мм</t>
  </si>
  <si>
    <t>Ремонт и регулировка доводчика (без стоимости доводчика)</t>
  </si>
  <si>
    <t>Смена оконных приборов - ручки</t>
  </si>
  <si>
    <t>ТЕР 15-022</t>
  </si>
  <si>
    <t>ТЕР 32-088</t>
  </si>
  <si>
    <t>Смена внутренних трубопроводов из стальных труб диаметром до 40 мм</t>
  </si>
  <si>
    <t>ТЕР 2-2-1-2-7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</si>
  <si>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</si>
  <si>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</si>
  <si>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Прочистка засоров канализации</t>
  </si>
  <si>
    <t>пр.ТЕР 32-101</t>
  </si>
  <si>
    <t>1 шт</t>
  </si>
  <si>
    <t>Смена арматуры - задвижек диаметром 100 мм</t>
  </si>
  <si>
    <t>ТЕР 32-035</t>
  </si>
  <si>
    <t>Дезинфекция подвала</t>
  </si>
  <si>
    <t>ТЕР 32-027</t>
  </si>
  <si>
    <t>Смена арматуры - вентилей и клапанов обратных муфтовых диаметром до 20 мм</t>
  </si>
  <si>
    <t>Смена отдельных участков наружной проводки</t>
  </si>
  <si>
    <t>м</t>
  </si>
  <si>
    <t>ТЕР 33-034</t>
  </si>
  <si>
    <t>1 сгон</t>
  </si>
  <si>
    <t>пр.ТЕР 31-011</t>
  </si>
  <si>
    <t>Смена отводов у трубопроводов диаметром до 50 мм</t>
  </si>
  <si>
    <t xml:space="preserve">Смена сгонов у трубопроводов диаметром до 20 мм </t>
  </si>
  <si>
    <t>ТЕР 31-009</t>
  </si>
  <si>
    <t>Внеплановый осмотр элекгросетей, арматуры и электрооборудования на чердаках и подвалах</t>
  </si>
  <si>
    <t>ТЕР 17-006</t>
  </si>
  <si>
    <t>Ремонт отдельных мест покрытия из асбоцементных листов обыкновенного профиля</t>
  </si>
  <si>
    <t>Просроченная задолженность по Вашему дому по статье "Содержание и текущий ремонт МКД" на конец сентября 2017 г., составляет:</t>
  </si>
  <si>
    <t>Баланс выполненных работ на 01.10.2017 г. ( -долг за предприятием, +долг за населением)</t>
  </si>
  <si>
    <t>Ремонт оголовка</t>
  </si>
  <si>
    <t>руб.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</si>
  <si>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Советская, 14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январь-сентябрь 2017 года</t>
    </r>
  </si>
  <si>
    <t>Начислено за содержание и текущий ремонт за январь-сентябрь 2017 г.</t>
  </si>
  <si>
    <t>Выполнено работ по содержанию за январь-сентябрь 2017 г.</t>
  </si>
  <si>
    <t>Выполнено работ по текущему ремонту за январь-сентябрь 2017 г.</t>
  </si>
  <si>
    <t>Фактически оплачено за январь-сентябрь 2017 г.</t>
  </si>
  <si>
    <t>45 раз за сезон</t>
  </si>
  <si>
    <t>Ремонт отмостки</t>
  </si>
  <si>
    <t>м2</t>
  </si>
  <si>
    <t>пр.53-017</t>
  </si>
  <si>
    <t>Очистка цоколя от мха</t>
  </si>
  <si>
    <t>Устройство стяжек цементных толщиной 20 мм</t>
  </si>
  <si>
    <t>ТЕР 16-038</t>
  </si>
  <si>
    <t>Ремонт поверхности кирпичных стен при глубине заделки в 1 кирпич площадью в одном месте до 1 м2</t>
  </si>
  <si>
    <t>ТЕР 12-001</t>
  </si>
  <si>
    <t>Ремонт штукатурки внутренних стен по камню известковым раствором площадью до 10 м2 толщиной слоя до 20 мм</t>
  </si>
  <si>
    <t>ТЕР 21-003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</si>
</sst>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3" borderId="0" xfId="0" applyFont="1" applyFill="1"/>
    <xf numFmtId="0" fontId="0" fillId="3" borderId="0" xfId="0" applyFill="1"/>
    <xf numFmtId="4" fontId="1" fillId="4" borderId="4" xfId="0" applyNumberFormat="1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1" fillId="9" borderId="3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4" fontId="1" fillId="8" borderId="7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vertical="center"/>
    </xf>
    <xf numFmtId="4" fontId="1" fillId="10" borderId="7" xfId="0" applyNumberFormat="1" applyFont="1" applyFill="1" applyBorder="1" applyAlignment="1">
      <alignment vertical="center"/>
    </xf>
    <xf numFmtId="0" fontId="1" fillId="10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10" borderId="3" xfId="0" applyNumberFormat="1" applyFont="1" applyFill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3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9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2" borderId="2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center" vertical="center"/>
    </xf>
    <xf numFmtId="4" fontId="1" fillId="11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1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4" fontId="1" fillId="9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2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4" fontId="15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1" fillId="0" borderId="0" xfId="0" applyFont="1"/>
    <xf numFmtId="4" fontId="16" fillId="0" borderId="0" xfId="0" applyNumberFormat="1" applyFont="1"/>
    <xf numFmtId="0" fontId="16" fillId="0" borderId="0" xfId="0" applyFont="1"/>
    <xf numFmtId="0" fontId="1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8" fillId="0" borderId="0" xfId="0" applyFont="1" applyAlignment="1"/>
    <xf numFmtId="0" fontId="1" fillId="4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4" fontId="3" fillId="12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10" borderId="3" xfId="0" applyNumberFormat="1" applyFont="1" applyFill="1" applyBorder="1" applyAlignment="1">
      <alignment horizontal="center" vertical="center"/>
    </xf>
    <xf numFmtId="4" fontId="3" fillId="10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4" fontId="0" fillId="10" borderId="3" xfId="0" applyNumberForma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4" fontId="1" fillId="2" borderId="2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4" fontId="1" fillId="0" borderId="7" xfId="0" applyNumberFormat="1" applyFont="1" applyFill="1" applyBorder="1" applyAlignment="1">
      <alignment horizontal="center" vertical="center"/>
    </xf>
    <xf numFmtId="0" fontId="1" fillId="0" borderId="20" xfId="0" applyFont="1" applyBorder="1"/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left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 applyProtection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165" fontId="1" fillId="4" borderId="3" xfId="0" applyNumberFormat="1" applyFont="1" applyFill="1" applyBorder="1" applyAlignment="1">
      <alignment horizontal="center" vertical="center"/>
    </xf>
    <xf numFmtId="4" fontId="1" fillId="10" borderId="1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W133"/>
  <sheetViews>
    <sheetView tabSelected="1" view="pageBreakPreview" zoomScale="80" zoomScaleNormal="75" zoomScaleSheetLayoutView="80" workbookViewId="0">
      <pane ySplit="7" topLeftCell="A8" activePane="bottomLeft" state="frozen"/>
      <selection activeCell="B1" sqref="B1"/>
      <selection pane="bottomLeft" activeCell="F91" sqref="F91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12" width="9.85546875" customWidth="1"/>
    <col min="13" max="13" width="11.28515625" customWidth="1"/>
    <col min="14" max="15" width="9.85546875" customWidth="1"/>
    <col min="16" max="16" width="11" customWidth="1"/>
    <col min="17" max="17" width="9.85546875" customWidth="1"/>
    <col min="18" max="20" width="9.85546875" hidden="1" customWidth="1"/>
    <col min="21" max="21" width="12.28515625" customWidth="1"/>
  </cols>
  <sheetData>
    <row r="1" spans="1:21" ht="14.25" customHeight="1"/>
    <row r="3" spans="1:21" ht="18">
      <c r="A3" s="123"/>
      <c r="B3" s="167" t="s">
        <v>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14"/>
      <c r="N3" s="114"/>
      <c r="O3" s="114"/>
      <c r="P3" s="114"/>
      <c r="Q3" s="114"/>
      <c r="R3" s="114"/>
      <c r="S3" s="114"/>
      <c r="T3" s="114"/>
      <c r="U3" s="114"/>
    </row>
    <row r="4" spans="1:21" ht="35.25" customHeight="1">
      <c r="A4" s="114"/>
      <c r="B4" s="168" t="s">
        <v>1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14"/>
      <c r="N4" s="114"/>
      <c r="O4" s="114"/>
      <c r="P4" s="114"/>
      <c r="Q4" s="114"/>
      <c r="R4" s="114"/>
      <c r="S4" s="114"/>
      <c r="T4" s="114"/>
      <c r="U4" s="114"/>
    </row>
    <row r="5" spans="1:21" ht="18">
      <c r="A5" s="114"/>
      <c r="B5" s="168" t="s">
        <v>244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14"/>
      <c r="N5" s="114"/>
      <c r="O5" s="114"/>
      <c r="P5" s="114"/>
      <c r="Q5" s="114"/>
      <c r="R5" s="114"/>
      <c r="S5" s="114"/>
      <c r="T5" s="114"/>
      <c r="U5" s="114"/>
    </row>
    <row r="6" spans="1:21" ht="14.25">
      <c r="A6" s="114"/>
      <c r="B6" s="169" t="s">
        <v>139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14"/>
      <c r="N6" s="114"/>
      <c r="O6" s="114"/>
      <c r="P6" s="114"/>
      <c r="Q6" s="114"/>
      <c r="R6" s="114"/>
      <c r="S6" s="114"/>
      <c r="T6" s="114"/>
      <c r="U6" s="114"/>
    </row>
    <row r="7" spans="1:21" ht="45.75" customHeight="1">
      <c r="A7" s="138" t="s">
        <v>2</v>
      </c>
      <c r="B7" s="139" t="s">
        <v>3</v>
      </c>
      <c r="C7" s="139" t="s">
        <v>4</v>
      </c>
      <c r="D7" s="139" t="s">
        <v>5</v>
      </c>
      <c r="E7" s="139" t="s">
        <v>6</v>
      </c>
      <c r="F7" s="139" t="s">
        <v>7</v>
      </c>
      <c r="G7" s="139" t="s">
        <v>8</v>
      </c>
      <c r="H7" s="140" t="s">
        <v>9</v>
      </c>
      <c r="I7" s="32" t="s">
        <v>121</v>
      </c>
      <c r="J7" s="32" t="s">
        <v>122</v>
      </c>
      <c r="K7" s="32" t="s">
        <v>123</v>
      </c>
      <c r="L7" s="32" t="s">
        <v>124</v>
      </c>
      <c r="M7" s="32" t="s">
        <v>141</v>
      </c>
      <c r="N7" s="32" t="s">
        <v>125</v>
      </c>
      <c r="O7" s="32" t="s">
        <v>126</v>
      </c>
      <c r="P7" s="32" t="s">
        <v>127</v>
      </c>
      <c r="Q7" s="32" t="s">
        <v>128</v>
      </c>
      <c r="R7" s="32" t="s">
        <v>129</v>
      </c>
      <c r="S7" s="32" t="s">
        <v>130</v>
      </c>
      <c r="T7" s="32" t="s">
        <v>131</v>
      </c>
      <c r="U7" s="32" t="s">
        <v>136</v>
      </c>
    </row>
    <row r="8" spans="1:21">
      <c r="A8" s="141">
        <v>1</v>
      </c>
      <c r="B8" s="11">
        <v>2</v>
      </c>
      <c r="C8" s="33">
        <v>3</v>
      </c>
      <c r="D8" s="11">
        <v>4</v>
      </c>
      <c r="E8" s="11">
        <v>5</v>
      </c>
      <c r="F8" s="33">
        <v>6</v>
      </c>
      <c r="G8" s="33">
        <v>7</v>
      </c>
      <c r="H8" s="124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18</v>
      </c>
    </row>
    <row r="9" spans="1:21" ht="38.25">
      <c r="A9" s="141"/>
      <c r="B9" s="14" t="s">
        <v>10</v>
      </c>
      <c r="C9" s="33"/>
      <c r="D9" s="15"/>
      <c r="E9" s="15"/>
      <c r="F9" s="33"/>
      <c r="G9" s="33"/>
      <c r="H9" s="34"/>
      <c r="I9" s="35"/>
      <c r="J9" s="35"/>
      <c r="K9" s="35"/>
      <c r="L9" s="35"/>
      <c r="M9" s="36"/>
      <c r="N9" s="37"/>
      <c r="O9" s="37"/>
      <c r="P9" s="37"/>
      <c r="Q9" s="37"/>
      <c r="R9" s="37"/>
      <c r="S9" s="37"/>
      <c r="T9" s="37"/>
      <c r="U9" s="37"/>
    </row>
    <row r="10" spans="1:21">
      <c r="A10" s="141"/>
      <c r="B10" s="14" t="s">
        <v>11</v>
      </c>
      <c r="C10" s="33"/>
      <c r="D10" s="15"/>
      <c r="E10" s="15"/>
      <c r="F10" s="33"/>
      <c r="G10" s="33"/>
      <c r="H10" s="34"/>
      <c r="I10" s="35"/>
      <c r="J10" s="35"/>
      <c r="K10" s="35"/>
      <c r="L10" s="35"/>
      <c r="M10" s="36"/>
      <c r="N10" s="37"/>
      <c r="O10" s="37"/>
      <c r="P10" s="37"/>
      <c r="Q10" s="37"/>
      <c r="R10" s="37"/>
      <c r="S10" s="37"/>
      <c r="T10" s="37"/>
      <c r="U10" s="37"/>
    </row>
    <row r="11" spans="1:21" ht="25.5">
      <c r="A11" s="141" t="s">
        <v>157</v>
      </c>
      <c r="B11" s="15" t="s">
        <v>12</v>
      </c>
      <c r="C11" s="33" t="s">
        <v>13</v>
      </c>
      <c r="D11" s="15" t="s">
        <v>14</v>
      </c>
      <c r="E11" s="38">
        <v>43.36</v>
      </c>
      <c r="F11" s="39">
        <f>SUM(E11*156/100)</f>
        <v>67.641599999999997</v>
      </c>
      <c r="G11" s="39">
        <v>187.48</v>
      </c>
      <c r="H11" s="40">
        <f t="shared" ref="H11:H20" si="0">SUM(F11*G11/1000)</f>
        <v>12.681447167999998</v>
      </c>
      <c r="I11" s="41">
        <f>F11/12*G11</f>
        <v>1056.7872640000001</v>
      </c>
      <c r="J11" s="41">
        <f>F11/12*G11</f>
        <v>1056.7872640000001</v>
      </c>
      <c r="K11" s="41">
        <f>F11/12*G11</f>
        <v>1056.7872640000001</v>
      </c>
      <c r="L11" s="41">
        <f>F11/12*G11</f>
        <v>1056.7872640000001</v>
      </c>
      <c r="M11" s="41">
        <f>F11/12*G11</f>
        <v>1056.7872640000001</v>
      </c>
      <c r="N11" s="41">
        <f>F11/12*G11</f>
        <v>1056.7872640000001</v>
      </c>
      <c r="O11" s="41">
        <f>F11/12*G11</f>
        <v>1056.7872640000001</v>
      </c>
      <c r="P11" s="41">
        <f>F11/12*G11</f>
        <v>1056.7872640000001</v>
      </c>
      <c r="Q11" s="41">
        <f>F11/12*G11</f>
        <v>1056.7872640000001</v>
      </c>
      <c r="R11" s="41">
        <f>F11/12*G11</f>
        <v>1056.7872640000001</v>
      </c>
      <c r="S11" s="41">
        <f>F11/12*G11</f>
        <v>1056.7872640000001</v>
      </c>
      <c r="T11" s="41">
        <f>F11/12*G11</f>
        <v>1056.7872640000001</v>
      </c>
      <c r="U11" s="41">
        <f>SUM(I11:Q11)</f>
        <v>9511.0853760000027</v>
      </c>
    </row>
    <row r="12" spans="1:21" ht="25.5">
      <c r="A12" s="141" t="s">
        <v>157</v>
      </c>
      <c r="B12" s="15" t="s">
        <v>15</v>
      </c>
      <c r="C12" s="33" t="s">
        <v>13</v>
      </c>
      <c r="D12" s="15" t="s">
        <v>16</v>
      </c>
      <c r="E12" s="38">
        <v>173.44</v>
      </c>
      <c r="F12" s="39">
        <f>SUM(E12*104/100)</f>
        <v>180.37759999999997</v>
      </c>
      <c r="G12" s="39">
        <v>187.48</v>
      </c>
      <c r="H12" s="40">
        <f t="shared" si="0"/>
        <v>33.817192447999993</v>
      </c>
      <c r="I12" s="41">
        <f>F12/12*G12</f>
        <v>2818.0993706666663</v>
      </c>
      <c r="J12" s="41">
        <f>F12/12*G12</f>
        <v>2818.0993706666663</v>
      </c>
      <c r="K12" s="41">
        <f>F12/12*G12</f>
        <v>2818.0993706666663</v>
      </c>
      <c r="L12" s="41">
        <f>F12/12*G12</f>
        <v>2818.0993706666663</v>
      </c>
      <c r="M12" s="41">
        <f t="shared" ref="M12:M15" si="1">F12/12*G12</f>
        <v>2818.0993706666663</v>
      </c>
      <c r="N12" s="41">
        <f t="shared" ref="N12:N15" si="2">F12/12*G12</f>
        <v>2818.0993706666663</v>
      </c>
      <c r="O12" s="41">
        <f t="shared" ref="O12:O15" si="3">F12/12*G12</f>
        <v>2818.0993706666663</v>
      </c>
      <c r="P12" s="41">
        <f t="shared" ref="P12:P15" si="4">F12/12*G12</f>
        <v>2818.0993706666663</v>
      </c>
      <c r="Q12" s="41">
        <f t="shared" ref="Q12:Q15" si="5">F12/12*G12</f>
        <v>2818.0993706666663</v>
      </c>
      <c r="R12" s="41">
        <f t="shared" ref="R12:R15" si="6">F12/12*G12</f>
        <v>2818.0993706666663</v>
      </c>
      <c r="S12" s="41">
        <f t="shared" ref="S12:S15" si="7">F12/12*G12</f>
        <v>2818.0993706666663</v>
      </c>
      <c r="T12" s="41">
        <f t="shared" ref="T12:T15" si="8">F12/12*G12</f>
        <v>2818.0993706666663</v>
      </c>
      <c r="U12" s="41">
        <f t="shared" ref="U12:U20" si="9">SUM(I12:Q12)</f>
        <v>25362.894335999998</v>
      </c>
    </row>
    <row r="13" spans="1:21" ht="25.5">
      <c r="A13" s="141" t="s">
        <v>158</v>
      </c>
      <c r="B13" s="15" t="s">
        <v>17</v>
      </c>
      <c r="C13" s="33" t="s">
        <v>13</v>
      </c>
      <c r="D13" s="15" t="s">
        <v>18</v>
      </c>
      <c r="E13" s="38">
        <f>SUM(E11+E12)</f>
        <v>216.8</v>
      </c>
      <c r="F13" s="39">
        <f>SUM(E13*24/100)</f>
        <v>52.032000000000011</v>
      </c>
      <c r="G13" s="39">
        <v>539.30999999999995</v>
      </c>
      <c r="H13" s="40">
        <f t="shared" si="0"/>
        <v>28.061377920000002</v>
      </c>
      <c r="I13" s="41">
        <f>F13/12*G13</f>
        <v>2338.4481600000004</v>
      </c>
      <c r="J13" s="41">
        <f>F13/12*G13</f>
        <v>2338.4481600000004</v>
      </c>
      <c r="K13" s="41">
        <f>F13/12*G13</f>
        <v>2338.4481600000004</v>
      </c>
      <c r="L13" s="41">
        <f>F13/12*G13</f>
        <v>2338.4481600000004</v>
      </c>
      <c r="M13" s="41">
        <f t="shared" si="1"/>
        <v>2338.4481600000004</v>
      </c>
      <c r="N13" s="41">
        <f t="shared" si="2"/>
        <v>2338.4481600000004</v>
      </c>
      <c r="O13" s="41">
        <f t="shared" si="3"/>
        <v>2338.4481600000004</v>
      </c>
      <c r="P13" s="41">
        <f t="shared" si="4"/>
        <v>2338.4481600000004</v>
      </c>
      <c r="Q13" s="41">
        <f t="shared" si="5"/>
        <v>2338.4481600000004</v>
      </c>
      <c r="R13" s="41">
        <f t="shared" si="6"/>
        <v>2338.4481600000004</v>
      </c>
      <c r="S13" s="41">
        <f t="shared" si="7"/>
        <v>2338.4481600000004</v>
      </c>
      <c r="T13" s="41">
        <f t="shared" si="8"/>
        <v>2338.4481600000004</v>
      </c>
      <c r="U13" s="41">
        <f t="shared" si="9"/>
        <v>21046.033440000003</v>
      </c>
    </row>
    <row r="14" spans="1:21">
      <c r="A14" s="141" t="s">
        <v>159</v>
      </c>
      <c r="B14" s="15" t="s">
        <v>19</v>
      </c>
      <c r="C14" s="33" t="s">
        <v>20</v>
      </c>
      <c r="D14" s="15" t="s">
        <v>108</v>
      </c>
      <c r="E14" s="38">
        <v>40</v>
      </c>
      <c r="F14" s="39">
        <f>SUM(E14/10)</f>
        <v>4</v>
      </c>
      <c r="G14" s="39">
        <v>181.91</v>
      </c>
      <c r="H14" s="40">
        <f t="shared" si="0"/>
        <v>0.72763999999999995</v>
      </c>
      <c r="I14" s="41">
        <v>0</v>
      </c>
      <c r="J14" s="41">
        <v>0</v>
      </c>
      <c r="K14" s="41">
        <v>0</v>
      </c>
      <c r="L14" s="41">
        <v>0</v>
      </c>
      <c r="M14" s="41">
        <f>F14/2*G14</f>
        <v>363.82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f t="shared" si="9"/>
        <v>363.82</v>
      </c>
    </row>
    <row r="15" spans="1:21">
      <c r="A15" s="141" t="s">
        <v>160</v>
      </c>
      <c r="B15" s="15" t="s">
        <v>21</v>
      </c>
      <c r="C15" s="33" t="s">
        <v>13</v>
      </c>
      <c r="D15" s="15" t="s">
        <v>109</v>
      </c>
      <c r="E15" s="38">
        <v>10.5</v>
      </c>
      <c r="F15" s="39">
        <f>SUM(E15*12/100)</f>
        <v>1.26</v>
      </c>
      <c r="G15" s="39">
        <v>232.92</v>
      </c>
      <c r="H15" s="40">
        <f t="shared" si="0"/>
        <v>0.2934792</v>
      </c>
      <c r="I15" s="41">
        <f>F15/12*G15</f>
        <v>24.456599999999998</v>
      </c>
      <c r="J15" s="41">
        <f>F15/12*G15</f>
        <v>24.456599999999998</v>
      </c>
      <c r="K15" s="41">
        <f>F15/12*G15</f>
        <v>24.456599999999998</v>
      </c>
      <c r="L15" s="41">
        <f>F15/12*G15</f>
        <v>24.456599999999998</v>
      </c>
      <c r="M15" s="41">
        <f t="shared" si="1"/>
        <v>24.456599999999998</v>
      </c>
      <c r="N15" s="41">
        <f t="shared" si="2"/>
        <v>24.456599999999998</v>
      </c>
      <c r="O15" s="41">
        <f t="shared" si="3"/>
        <v>24.456599999999998</v>
      </c>
      <c r="P15" s="41">
        <f t="shared" si="4"/>
        <v>24.456599999999998</v>
      </c>
      <c r="Q15" s="41">
        <f t="shared" si="5"/>
        <v>24.456599999999998</v>
      </c>
      <c r="R15" s="41">
        <f t="shared" si="6"/>
        <v>24.456599999999998</v>
      </c>
      <c r="S15" s="41">
        <f t="shared" si="7"/>
        <v>24.456599999999998</v>
      </c>
      <c r="T15" s="41">
        <f t="shared" si="8"/>
        <v>24.456599999999998</v>
      </c>
      <c r="U15" s="41">
        <f t="shared" si="9"/>
        <v>220.10940000000002</v>
      </c>
    </row>
    <row r="16" spans="1:21">
      <c r="A16" s="141" t="s">
        <v>161</v>
      </c>
      <c r="B16" s="15" t="s">
        <v>22</v>
      </c>
      <c r="C16" s="33" t="s">
        <v>13</v>
      </c>
      <c r="D16" s="15" t="s">
        <v>112</v>
      </c>
      <c r="E16" s="38">
        <v>2.7</v>
      </c>
      <c r="F16" s="39">
        <f>SUM(E16*6/100)</f>
        <v>0.16200000000000003</v>
      </c>
      <c r="G16" s="39">
        <v>231.03</v>
      </c>
      <c r="H16" s="40">
        <f t="shared" si="0"/>
        <v>3.7426860000000006E-2</v>
      </c>
      <c r="I16" s="41">
        <f>F16/6*G16</f>
        <v>6.2378100000000014</v>
      </c>
      <c r="J16" s="41">
        <v>0</v>
      </c>
      <c r="K16" s="41">
        <f>F16/6*G16</f>
        <v>6.2378100000000014</v>
      </c>
      <c r="L16" s="41">
        <v>0</v>
      </c>
      <c r="M16" s="41">
        <f>F16/6*G16</f>
        <v>6.2378100000000014</v>
      </c>
      <c r="N16" s="41">
        <v>0</v>
      </c>
      <c r="O16" s="41">
        <f>F16/6*G16</f>
        <v>6.2378100000000014</v>
      </c>
      <c r="P16" s="41">
        <v>0</v>
      </c>
      <c r="Q16" s="41">
        <f>F16/6*G16</f>
        <v>6.2378100000000014</v>
      </c>
      <c r="R16" s="41">
        <v>0</v>
      </c>
      <c r="S16" s="41">
        <f>F16/6*G16</f>
        <v>6.2378100000000014</v>
      </c>
      <c r="T16" s="41">
        <v>0</v>
      </c>
      <c r="U16" s="41">
        <f t="shared" si="9"/>
        <v>31.189050000000009</v>
      </c>
    </row>
    <row r="17" spans="1:21">
      <c r="A17" s="141" t="s">
        <v>162</v>
      </c>
      <c r="B17" s="15" t="s">
        <v>23</v>
      </c>
      <c r="C17" s="33" t="s">
        <v>24</v>
      </c>
      <c r="D17" s="15" t="s">
        <v>108</v>
      </c>
      <c r="E17" s="38">
        <v>357</v>
      </c>
      <c r="F17" s="39">
        <f>SUM(E17/100)</f>
        <v>3.57</v>
      </c>
      <c r="G17" s="39">
        <v>287.83999999999997</v>
      </c>
      <c r="H17" s="40">
        <f t="shared" si="0"/>
        <v>1.0275887999999997</v>
      </c>
      <c r="I17" s="41">
        <v>0</v>
      </c>
      <c r="J17" s="41">
        <v>0</v>
      </c>
      <c r="K17" s="41">
        <v>0</v>
      </c>
      <c r="L17" s="41">
        <v>0</v>
      </c>
      <c r="M17" s="41">
        <f>F17*G17</f>
        <v>1027.5887999999998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f t="shared" si="9"/>
        <v>1027.5887999999998</v>
      </c>
    </row>
    <row r="18" spans="1:21">
      <c r="A18" s="141" t="s">
        <v>163</v>
      </c>
      <c r="B18" s="15" t="s">
        <v>25</v>
      </c>
      <c r="C18" s="33" t="s">
        <v>24</v>
      </c>
      <c r="D18" s="15" t="s">
        <v>108</v>
      </c>
      <c r="E18" s="3">
        <v>38.64</v>
      </c>
      <c r="F18" s="39">
        <f>SUM(E18/100)</f>
        <v>0.38640000000000002</v>
      </c>
      <c r="G18" s="39">
        <v>47.34</v>
      </c>
      <c r="H18" s="40">
        <f t="shared" si="0"/>
        <v>1.8292176E-2</v>
      </c>
      <c r="I18" s="41">
        <v>0</v>
      </c>
      <c r="J18" s="41">
        <v>0</v>
      </c>
      <c r="K18" s="41">
        <v>0</v>
      </c>
      <c r="L18" s="41">
        <v>0</v>
      </c>
      <c r="M18" s="41">
        <f t="shared" ref="M18:M20" si="10">F18*G18</f>
        <v>18.292176000000001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f t="shared" si="9"/>
        <v>18.292176000000001</v>
      </c>
    </row>
    <row r="19" spans="1:21">
      <c r="A19" s="141" t="s">
        <v>164</v>
      </c>
      <c r="B19" s="15" t="s">
        <v>26</v>
      </c>
      <c r="C19" s="33" t="s">
        <v>24</v>
      </c>
      <c r="D19" s="15" t="s">
        <v>110</v>
      </c>
      <c r="E19" s="38">
        <v>15</v>
      </c>
      <c r="F19" s="39">
        <f>SUM(E19/100)</f>
        <v>0.15</v>
      </c>
      <c r="G19" s="39">
        <v>416.62</v>
      </c>
      <c r="H19" s="40">
        <f t="shared" si="0"/>
        <v>6.2492999999999993E-2</v>
      </c>
      <c r="I19" s="41">
        <v>0</v>
      </c>
      <c r="J19" s="41">
        <v>0</v>
      </c>
      <c r="K19" s="41">
        <v>0</v>
      </c>
      <c r="L19" s="41">
        <v>0</v>
      </c>
      <c r="M19" s="41">
        <f t="shared" si="10"/>
        <v>62.492999999999995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f t="shared" si="9"/>
        <v>62.492999999999995</v>
      </c>
    </row>
    <row r="20" spans="1:21">
      <c r="A20" s="141" t="s">
        <v>165</v>
      </c>
      <c r="B20" s="15" t="s">
        <v>27</v>
      </c>
      <c r="C20" s="33" t="s">
        <v>24</v>
      </c>
      <c r="D20" s="15" t="s">
        <v>108</v>
      </c>
      <c r="E20" s="38">
        <v>6.38</v>
      </c>
      <c r="F20" s="39">
        <f>SUM(E20/100)</f>
        <v>6.3799999999999996E-2</v>
      </c>
      <c r="G20" s="39">
        <v>556.74</v>
      </c>
      <c r="H20" s="40">
        <f t="shared" si="0"/>
        <v>3.5520012000000004E-2</v>
      </c>
      <c r="I20" s="41">
        <v>0</v>
      </c>
      <c r="J20" s="41">
        <v>0</v>
      </c>
      <c r="K20" s="41">
        <v>0</v>
      </c>
      <c r="L20" s="41">
        <v>0</v>
      </c>
      <c r="M20" s="41">
        <f t="shared" si="10"/>
        <v>35.520012000000001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f t="shared" si="9"/>
        <v>35.520012000000001</v>
      </c>
    </row>
    <row r="21" spans="1:21" s="23" customFormat="1">
      <c r="A21" s="142"/>
      <c r="B21" s="24" t="s">
        <v>28</v>
      </c>
      <c r="C21" s="43"/>
      <c r="D21" s="24"/>
      <c r="E21" s="44"/>
      <c r="F21" s="45"/>
      <c r="G21" s="45"/>
      <c r="H21" s="46">
        <f>SUM(H11:H20)</f>
        <v>76.762457583999989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>
        <f>SUM(U11:U20)</f>
        <v>57679.025590000005</v>
      </c>
    </row>
    <row r="22" spans="1:21">
      <c r="A22" s="141"/>
      <c r="B22" s="16" t="s">
        <v>29</v>
      </c>
      <c r="C22" s="33"/>
      <c r="D22" s="15"/>
      <c r="E22" s="38"/>
      <c r="F22" s="39"/>
      <c r="G22" s="39"/>
      <c r="H22" s="4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 ht="25.5" customHeight="1">
      <c r="A23" s="141" t="s">
        <v>166</v>
      </c>
      <c r="B23" s="15" t="s">
        <v>145</v>
      </c>
      <c r="C23" s="33" t="s">
        <v>31</v>
      </c>
      <c r="D23" s="15" t="s">
        <v>30</v>
      </c>
      <c r="E23" s="39">
        <v>124.74</v>
      </c>
      <c r="F23" s="39">
        <f>SUM(E23*52/1000)</f>
        <v>6.4864799999999994</v>
      </c>
      <c r="G23" s="39">
        <v>166.65</v>
      </c>
      <c r="H23" s="40">
        <f t="shared" ref="H23:H30" si="11">SUM(F23*G23/1000)</f>
        <v>1.080971892</v>
      </c>
      <c r="I23" s="41">
        <v>0</v>
      </c>
      <c r="J23" s="41">
        <v>0</v>
      </c>
      <c r="K23" s="41">
        <v>0</v>
      </c>
      <c r="L23" s="41">
        <v>0</v>
      </c>
      <c r="M23" s="41">
        <f>F23/6*G23</f>
        <v>180.16198199999997</v>
      </c>
      <c r="N23" s="41">
        <f>F23/6*G23</f>
        <v>180.16198199999997</v>
      </c>
      <c r="O23" s="41">
        <f>F23/6*G23</f>
        <v>180.16198199999997</v>
      </c>
      <c r="P23" s="41">
        <f>F23/6*G23</f>
        <v>180.16198199999997</v>
      </c>
      <c r="Q23" s="41">
        <f>F23/6*G23</f>
        <v>180.16198199999997</v>
      </c>
      <c r="R23" s="41">
        <f>F23/6*G23</f>
        <v>180.16198199999997</v>
      </c>
      <c r="S23" s="41">
        <v>0</v>
      </c>
      <c r="T23" s="41">
        <v>0</v>
      </c>
      <c r="U23" s="41">
        <f t="shared" ref="U23:U30" si="12">SUM(I23:Q23)</f>
        <v>900.80990999999983</v>
      </c>
    </row>
    <row r="24" spans="1:21" ht="38.25" customHeight="1">
      <c r="A24" s="141" t="s">
        <v>167</v>
      </c>
      <c r="B24" s="15" t="s">
        <v>146</v>
      </c>
      <c r="C24" s="33" t="s">
        <v>31</v>
      </c>
      <c r="D24" s="15" t="s">
        <v>32</v>
      </c>
      <c r="E24" s="39">
        <v>48.8</v>
      </c>
      <c r="F24" s="39">
        <f>SUM(E24*78/1000)</f>
        <v>3.8063999999999996</v>
      </c>
      <c r="G24" s="39">
        <v>276.48</v>
      </c>
      <c r="H24" s="40">
        <f t="shared" si="11"/>
        <v>1.0523934719999999</v>
      </c>
      <c r="I24" s="41">
        <v>0</v>
      </c>
      <c r="J24" s="41">
        <v>0</v>
      </c>
      <c r="K24" s="41">
        <v>0</v>
      </c>
      <c r="L24" s="41">
        <v>0</v>
      </c>
      <c r="M24" s="41">
        <f t="shared" ref="M24:M26" si="13">F24/6*G24</f>
        <v>175.398912</v>
      </c>
      <c r="N24" s="41">
        <f t="shared" ref="N24:N26" si="14">F24/6*G24</f>
        <v>175.398912</v>
      </c>
      <c r="O24" s="41">
        <f t="shared" ref="O24:O26" si="15">F24/6*G24</f>
        <v>175.398912</v>
      </c>
      <c r="P24" s="41">
        <f t="shared" ref="P24:P26" si="16">F24/6*G24</f>
        <v>175.398912</v>
      </c>
      <c r="Q24" s="41">
        <f t="shared" ref="Q24:Q26" si="17">F24/6*G24</f>
        <v>175.398912</v>
      </c>
      <c r="R24" s="41">
        <f t="shared" ref="R24:R26" si="18">F24/6*G24</f>
        <v>175.398912</v>
      </c>
      <c r="S24" s="41">
        <v>0</v>
      </c>
      <c r="T24" s="41">
        <v>0</v>
      </c>
      <c r="U24" s="41">
        <f t="shared" si="12"/>
        <v>876.99455999999998</v>
      </c>
    </row>
    <row r="25" spans="1:21">
      <c r="A25" s="141" t="s">
        <v>168</v>
      </c>
      <c r="B25" s="15" t="s">
        <v>33</v>
      </c>
      <c r="C25" s="33" t="s">
        <v>31</v>
      </c>
      <c r="D25" s="15" t="s">
        <v>34</v>
      </c>
      <c r="E25" s="39">
        <v>371.04</v>
      </c>
      <c r="F25" s="39">
        <f>SUM(E25/1000)</f>
        <v>0.37104000000000004</v>
      </c>
      <c r="G25" s="39">
        <v>3228.73</v>
      </c>
      <c r="H25" s="40">
        <f t="shared" si="11"/>
        <v>1.1979879792000001</v>
      </c>
      <c r="I25" s="41">
        <v>0</v>
      </c>
      <c r="J25" s="41">
        <v>0</v>
      </c>
      <c r="K25" s="41">
        <v>0</v>
      </c>
      <c r="L25" s="41">
        <v>0</v>
      </c>
      <c r="M25" s="41">
        <f>F25*G25</f>
        <v>1197.9879792000002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f t="shared" si="12"/>
        <v>1197.9879792000002</v>
      </c>
    </row>
    <row r="26" spans="1:21">
      <c r="A26" s="141" t="s">
        <v>169</v>
      </c>
      <c r="B26" s="15" t="s">
        <v>35</v>
      </c>
      <c r="C26" s="33" t="s">
        <v>36</v>
      </c>
      <c r="D26" s="15" t="s">
        <v>37</v>
      </c>
      <c r="E26" s="49">
        <v>0.33333333333333331</v>
      </c>
      <c r="F26" s="39">
        <f>155/3</f>
        <v>51.666666666666664</v>
      </c>
      <c r="G26" s="39">
        <v>60.6</v>
      </c>
      <c r="H26" s="40">
        <f t="shared" si="11"/>
        <v>3.1309999999999998</v>
      </c>
      <c r="I26" s="41">
        <v>0</v>
      </c>
      <c r="J26" s="41">
        <v>0</v>
      </c>
      <c r="K26" s="41">
        <v>0</v>
      </c>
      <c r="L26" s="41">
        <v>0</v>
      </c>
      <c r="M26" s="41">
        <f t="shared" si="13"/>
        <v>521.83333333333337</v>
      </c>
      <c r="N26" s="41">
        <f t="shared" si="14"/>
        <v>521.83333333333337</v>
      </c>
      <c r="O26" s="41">
        <f t="shared" si="15"/>
        <v>521.83333333333337</v>
      </c>
      <c r="P26" s="41">
        <f t="shared" si="16"/>
        <v>521.83333333333337</v>
      </c>
      <c r="Q26" s="41">
        <f t="shared" si="17"/>
        <v>521.83333333333337</v>
      </c>
      <c r="R26" s="41">
        <f t="shared" si="18"/>
        <v>521.83333333333337</v>
      </c>
      <c r="S26" s="41">
        <v>0</v>
      </c>
      <c r="T26" s="41">
        <v>0</v>
      </c>
      <c r="U26" s="41">
        <f t="shared" si="12"/>
        <v>2609.166666666667</v>
      </c>
    </row>
    <row r="27" spans="1:21" ht="12.75" customHeight="1">
      <c r="A27" s="141" t="s">
        <v>170</v>
      </c>
      <c r="B27" s="15" t="s">
        <v>38</v>
      </c>
      <c r="C27" s="33" t="s">
        <v>39</v>
      </c>
      <c r="D27" s="15" t="s">
        <v>40</v>
      </c>
      <c r="E27" s="50">
        <v>0.1</v>
      </c>
      <c r="F27" s="39">
        <f>SUM(E27*365)</f>
        <v>36.5</v>
      </c>
      <c r="G27" s="39">
        <v>157.18</v>
      </c>
      <c r="H27" s="40">
        <f t="shared" si="11"/>
        <v>5.737070000000001</v>
      </c>
      <c r="I27" s="41">
        <f>F27/12*G27</f>
        <v>478.08916666666664</v>
      </c>
      <c r="J27" s="41">
        <f>F27/12*G27</f>
        <v>478.08916666666664</v>
      </c>
      <c r="K27" s="41">
        <f>F27/12*G27</f>
        <v>478.08916666666664</v>
      </c>
      <c r="L27" s="41">
        <f>F27/12*G27</f>
        <v>478.08916666666664</v>
      </c>
      <c r="M27" s="41">
        <f t="shared" ref="M27" si="19">F27/12*G27</f>
        <v>478.08916666666664</v>
      </c>
      <c r="N27" s="41">
        <f>F27/12*G27</f>
        <v>478.08916666666664</v>
      </c>
      <c r="O27" s="41">
        <f>F27/12*G27</f>
        <v>478.08916666666664</v>
      </c>
      <c r="P27" s="41">
        <f>F27/12*G27</f>
        <v>478.08916666666664</v>
      </c>
      <c r="Q27" s="41">
        <f>F27/12*G27</f>
        <v>478.08916666666664</v>
      </c>
      <c r="R27" s="41">
        <f>F27/12*G27</f>
        <v>478.08916666666664</v>
      </c>
      <c r="S27" s="41">
        <f>F27/12*G27</f>
        <v>478.08916666666664</v>
      </c>
      <c r="T27" s="41">
        <f>F27/12*G27</f>
        <v>478.08916666666664</v>
      </c>
      <c r="U27" s="41">
        <f t="shared" si="12"/>
        <v>4302.8024999999998</v>
      </c>
    </row>
    <row r="28" spans="1:21" ht="12.75" customHeight="1">
      <c r="A28" s="141" t="s">
        <v>171</v>
      </c>
      <c r="B28" s="15" t="s">
        <v>147</v>
      </c>
      <c r="C28" s="33" t="s">
        <v>39</v>
      </c>
      <c r="D28" s="15" t="s">
        <v>41</v>
      </c>
      <c r="E28" s="38"/>
      <c r="F28" s="39">
        <v>3</v>
      </c>
      <c r="G28" s="39">
        <v>204.32</v>
      </c>
      <c r="H28" s="40">
        <f t="shared" si="11"/>
        <v>0.61296000000000006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f t="shared" si="12"/>
        <v>0</v>
      </c>
    </row>
    <row r="29" spans="1:21" ht="12.75" customHeight="1">
      <c r="A29" s="141" t="s">
        <v>134</v>
      </c>
      <c r="B29" s="15" t="s">
        <v>148</v>
      </c>
      <c r="C29" s="33" t="s">
        <v>42</v>
      </c>
      <c r="D29" s="15" t="s">
        <v>41</v>
      </c>
      <c r="E29" s="38"/>
      <c r="F29" s="39">
        <v>2</v>
      </c>
      <c r="G29" s="39">
        <v>1214.73</v>
      </c>
      <c r="H29" s="40">
        <f t="shared" si="11"/>
        <v>2.4294600000000002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f t="shared" si="12"/>
        <v>0</v>
      </c>
    </row>
    <row r="30" spans="1:21">
      <c r="A30" s="141"/>
      <c r="B30" s="51" t="s">
        <v>43</v>
      </c>
      <c r="C30" s="33" t="s">
        <v>44</v>
      </c>
      <c r="D30" s="51" t="s">
        <v>45</v>
      </c>
      <c r="E30" s="38">
        <v>2820</v>
      </c>
      <c r="F30" s="39">
        <f>SUM(E30*12)</f>
        <v>33840</v>
      </c>
      <c r="G30" s="39">
        <v>4.84</v>
      </c>
      <c r="H30" s="40">
        <f t="shared" si="11"/>
        <v>163.78560000000002</v>
      </c>
      <c r="I30" s="41">
        <f>F30/12*G30</f>
        <v>13648.8</v>
      </c>
      <c r="J30" s="41">
        <f>F30/12*G30</f>
        <v>13648.8</v>
      </c>
      <c r="K30" s="41">
        <f>F30/12*G30</f>
        <v>13648.8</v>
      </c>
      <c r="L30" s="41">
        <f>F30/12*G30</f>
        <v>13648.8</v>
      </c>
      <c r="M30" s="41">
        <f>F30/12*G30</f>
        <v>13648.8</v>
      </c>
      <c r="N30" s="41">
        <f>F30/12*G30</f>
        <v>13648.8</v>
      </c>
      <c r="O30" s="41">
        <f>F30/12*G30</f>
        <v>13648.8</v>
      </c>
      <c r="P30" s="41">
        <f>F30/12*G30</f>
        <v>13648.8</v>
      </c>
      <c r="Q30" s="41">
        <f t="shared" ref="Q30" si="20">F30/12*G30</f>
        <v>13648.8</v>
      </c>
      <c r="R30" s="41">
        <f t="shared" ref="R30" si="21">F30/12*G30</f>
        <v>13648.8</v>
      </c>
      <c r="S30" s="41">
        <f t="shared" ref="S30" si="22">F30/12*G30</f>
        <v>13648.8</v>
      </c>
      <c r="T30" s="41">
        <f t="shared" ref="T30" si="23">F30/12*G30</f>
        <v>13648.8</v>
      </c>
      <c r="U30" s="41">
        <f t="shared" si="12"/>
        <v>122839.20000000001</v>
      </c>
    </row>
    <row r="31" spans="1:21" s="23" customFormat="1">
      <c r="A31" s="142"/>
      <c r="B31" s="24" t="s">
        <v>28</v>
      </c>
      <c r="C31" s="43"/>
      <c r="D31" s="24"/>
      <c r="E31" s="44"/>
      <c r="F31" s="45"/>
      <c r="G31" s="45"/>
      <c r="H31" s="52">
        <f>SUM(H23:H30)</f>
        <v>179.02744334320002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>
        <f>SUM(U23:U30)</f>
        <v>132726.96161586669</v>
      </c>
    </row>
    <row r="32" spans="1:21">
      <c r="A32" s="141"/>
      <c r="B32" s="16" t="s">
        <v>46</v>
      </c>
      <c r="C32" s="33"/>
      <c r="D32" s="15"/>
      <c r="E32" s="38"/>
      <c r="F32" s="39"/>
      <c r="G32" s="39"/>
      <c r="H32" s="40" t="s">
        <v>45</v>
      </c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1:21" ht="12.75" customHeight="1">
      <c r="A33" s="141" t="s">
        <v>134</v>
      </c>
      <c r="B33" s="17" t="s">
        <v>47</v>
      </c>
      <c r="C33" s="33" t="s">
        <v>42</v>
      </c>
      <c r="D33" s="15"/>
      <c r="E33" s="38"/>
      <c r="F33" s="39">
        <v>9</v>
      </c>
      <c r="G33" s="39">
        <v>1632.6</v>
      </c>
      <c r="H33" s="40">
        <f>SUM(F33*G33/1000)</f>
        <v>14.6934</v>
      </c>
      <c r="I33" s="41">
        <f>F33/6*G33</f>
        <v>2448.8999999999996</v>
      </c>
      <c r="J33" s="41">
        <f>F33/6*G33</f>
        <v>2448.8999999999996</v>
      </c>
      <c r="K33" s="41">
        <f>F33/6*G33</f>
        <v>2448.8999999999996</v>
      </c>
      <c r="L33" s="41">
        <f>F33/6*G33</f>
        <v>2448.8999999999996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f>F33/6*G33</f>
        <v>2448.8999999999996</v>
      </c>
      <c r="T33" s="41">
        <f>F33/6*G33</f>
        <v>2448.8999999999996</v>
      </c>
      <c r="U33" s="41">
        <f t="shared" ref="U33:U39" si="24">SUM(I33:Q33)</f>
        <v>9795.5999999999985</v>
      </c>
    </row>
    <row r="34" spans="1:21" s="1" customFormat="1">
      <c r="A34" s="143" t="s">
        <v>173</v>
      </c>
      <c r="B34" s="17" t="s">
        <v>48</v>
      </c>
      <c r="C34" s="53" t="s">
        <v>49</v>
      </c>
      <c r="D34" s="17" t="s">
        <v>113</v>
      </c>
      <c r="E34" s="54">
        <v>43.47</v>
      </c>
      <c r="F34" s="54">
        <f>SUM(E34*30/1000)</f>
        <v>1.3040999999999998</v>
      </c>
      <c r="G34" s="54">
        <v>2247.8000000000002</v>
      </c>
      <c r="H34" s="40">
        <f t="shared" ref="H34:H39" si="25">SUM(F34*G34/1000)</f>
        <v>2.9313559799999998</v>
      </c>
      <c r="I34" s="55">
        <f>F34/6*G34</f>
        <v>488.55932999999993</v>
      </c>
      <c r="J34" s="55">
        <f>F34/6*G34</f>
        <v>488.55932999999993</v>
      </c>
      <c r="K34" s="55">
        <f>F34/6*G34</f>
        <v>488.55932999999993</v>
      </c>
      <c r="L34" s="41">
        <f t="shared" ref="L34:L39" si="26">F34/6*G34</f>
        <v>488.55932999999993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f t="shared" ref="S34:S39" si="27">F34/6*G34</f>
        <v>488.55932999999993</v>
      </c>
      <c r="T34" s="41">
        <f t="shared" ref="T34:T39" si="28">F34/6*G34</f>
        <v>488.55932999999993</v>
      </c>
      <c r="U34" s="41">
        <f t="shared" si="24"/>
        <v>1954.2373199999997</v>
      </c>
    </row>
    <row r="35" spans="1:21" ht="24.75" customHeight="1">
      <c r="A35" s="141" t="s">
        <v>172</v>
      </c>
      <c r="B35" s="15" t="s">
        <v>149</v>
      </c>
      <c r="C35" s="33" t="s">
        <v>49</v>
      </c>
      <c r="D35" s="15" t="s">
        <v>50</v>
      </c>
      <c r="E35" s="39">
        <v>48.8</v>
      </c>
      <c r="F35" s="54">
        <f>SUM(E35*155/1000)</f>
        <v>7.5640000000000001</v>
      </c>
      <c r="G35" s="39">
        <v>374.95</v>
      </c>
      <c r="H35" s="40">
        <f t="shared" si="25"/>
        <v>2.8361217999999999</v>
      </c>
      <c r="I35" s="41">
        <f>F35/6*G35</f>
        <v>472.68696666666665</v>
      </c>
      <c r="J35" s="41">
        <f>F35/6*G35</f>
        <v>472.68696666666665</v>
      </c>
      <c r="K35" s="41">
        <f>F35/6*G35</f>
        <v>472.68696666666665</v>
      </c>
      <c r="L35" s="41">
        <f t="shared" si="26"/>
        <v>472.68696666666665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f t="shared" si="27"/>
        <v>472.68696666666665</v>
      </c>
      <c r="T35" s="41">
        <f t="shared" si="28"/>
        <v>472.68696666666665</v>
      </c>
      <c r="U35" s="41">
        <f t="shared" si="24"/>
        <v>1890.7478666666666</v>
      </c>
    </row>
    <row r="36" spans="1:21">
      <c r="A36" s="141" t="s">
        <v>134</v>
      </c>
      <c r="B36" s="15" t="s">
        <v>114</v>
      </c>
      <c r="C36" s="33" t="s">
        <v>96</v>
      </c>
      <c r="D36" s="15" t="s">
        <v>41</v>
      </c>
      <c r="E36" s="38"/>
      <c r="F36" s="54">
        <v>110</v>
      </c>
      <c r="G36" s="39">
        <v>213.2</v>
      </c>
      <c r="H36" s="40">
        <f t="shared" si="25"/>
        <v>23.452000000000002</v>
      </c>
      <c r="I36" s="41">
        <v>0</v>
      </c>
      <c r="J36" s="41">
        <v>0</v>
      </c>
      <c r="K36" s="41">
        <v>0</v>
      </c>
      <c r="L36" s="41">
        <f>G36*39</f>
        <v>8314.7999999999993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f t="shared" si="24"/>
        <v>8314.7999999999993</v>
      </c>
    </row>
    <row r="37" spans="1:21" ht="51" customHeight="1">
      <c r="A37" s="141" t="s">
        <v>174</v>
      </c>
      <c r="B37" s="15" t="s">
        <v>150</v>
      </c>
      <c r="C37" s="33" t="s">
        <v>31</v>
      </c>
      <c r="D37" s="15" t="s">
        <v>111</v>
      </c>
      <c r="E37" s="39">
        <v>43.47</v>
      </c>
      <c r="F37" s="54">
        <f>SUM(E37*35/1000)</f>
        <v>1.52145</v>
      </c>
      <c r="G37" s="39">
        <v>6203.7</v>
      </c>
      <c r="H37" s="40">
        <f t="shared" si="25"/>
        <v>9.4386193649999992</v>
      </c>
      <c r="I37" s="41">
        <f>F37/6*G37</f>
        <v>1573.1032275</v>
      </c>
      <c r="J37" s="41">
        <f>F37/6*G37</f>
        <v>1573.1032275</v>
      </c>
      <c r="K37" s="41">
        <f>F37/6*G37</f>
        <v>1573.1032275</v>
      </c>
      <c r="L37" s="41">
        <f t="shared" si="26"/>
        <v>1573.1032275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f t="shared" si="27"/>
        <v>1573.1032275</v>
      </c>
      <c r="T37" s="41">
        <f t="shared" si="28"/>
        <v>1573.1032275</v>
      </c>
      <c r="U37" s="41">
        <f t="shared" si="24"/>
        <v>6292.41291</v>
      </c>
    </row>
    <row r="38" spans="1:21" ht="12.75" customHeight="1">
      <c r="A38" s="141" t="s">
        <v>175</v>
      </c>
      <c r="B38" s="15" t="s">
        <v>151</v>
      </c>
      <c r="C38" s="33" t="s">
        <v>31</v>
      </c>
      <c r="D38" s="15" t="s">
        <v>249</v>
      </c>
      <c r="E38" s="39">
        <v>43.47</v>
      </c>
      <c r="F38" s="54">
        <f>SUM(E38*45/1000)</f>
        <v>1.9561499999999998</v>
      </c>
      <c r="G38" s="39">
        <v>458.28</v>
      </c>
      <c r="H38" s="40">
        <f t="shared" si="25"/>
        <v>0.89646442199999987</v>
      </c>
      <c r="I38" s="41">
        <f>F38/6*G38</f>
        <v>149.41073699999998</v>
      </c>
      <c r="J38" s="41">
        <f>F38/6*G38</f>
        <v>149.41073699999998</v>
      </c>
      <c r="K38" s="41">
        <f>F38/6*G38</f>
        <v>149.41073699999998</v>
      </c>
      <c r="L38" s="41">
        <f t="shared" ref="L38" si="29">F38/6*G38</f>
        <v>149.41073699999998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f t="shared" si="27"/>
        <v>149.41073699999998</v>
      </c>
      <c r="T38" s="41">
        <f t="shared" si="28"/>
        <v>149.41073699999998</v>
      </c>
      <c r="U38" s="41">
        <f t="shared" si="24"/>
        <v>597.64294799999993</v>
      </c>
    </row>
    <row r="39" spans="1:21" s="2" customFormat="1">
      <c r="A39" s="143"/>
      <c r="B39" s="17" t="s">
        <v>152</v>
      </c>
      <c r="C39" s="53" t="s">
        <v>39</v>
      </c>
      <c r="D39" s="17"/>
      <c r="E39" s="50"/>
      <c r="F39" s="54">
        <v>0.9</v>
      </c>
      <c r="G39" s="54">
        <v>853.06</v>
      </c>
      <c r="H39" s="40">
        <f t="shared" si="25"/>
        <v>0.76775400000000005</v>
      </c>
      <c r="I39" s="55">
        <f>F39/6*G39</f>
        <v>127.95899999999999</v>
      </c>
      <c r="J39" s="55">
        <f>F39/6*G39</f>
        <v>127.95899999999999</v>
      </c>
      <c r="K39" s="55">
        <f>F39/6*G39</f>
        <v>127.95899999999999</v>
      </c>
      <c r="L39" s="41">
        <f t="shared" si="26"/>
        <v>127.95899999999999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f t="shared" si="27"/>
        <v>127.95899999999999</v>
      </c>
      <c r="T39" s="41">
        <f t="shared" si="28"/>
        <v>127.95899999999999</v>
      </c>
      <c r="U39" s="41">
        <f t="shared" si="24"/>
        <v>511.83599999999996</v>
      </c>
    </row>
    <row r="40" spans="1:21" s="23" customFormat="1">
      <c r="A40" s="142"/>
      <c r="B40" s="24" t="s">
        <v>28</v>
      </c>
      <c r="C40" s="43"/>
      <c r="D40" s="24"/>
      <c r="E40" s="44"/>
      <c r="F40" s="45" t="s">
        <v>45</v>
      </c>
      <c r="G40" s="45"/>
      <c r="H40" s="52">
        <f>SUM(H33:H39)</f>
        <v>55.015715567000001</v>
      </c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>
        <f>SUM(U33:U39)</f>
        <v>29357.277044666665</v>
      </c>
    </row>
    <row r="41" spans="1:21">
      <c r="A41" s="141"/>
      <c r="B41" s="18" t="s">
        <v>51</v>
      </c>
      <c r="C41" s="33"/>
      <c r="D41" s="15"/>
      <c r="E41" s="38"/>
      <c r="F41" s="39"/>
      <c r="G41" s="39"/>
      <c r="H41" s="40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</row>
    <row r="42" spans="1:21">
      <c r="A42" s="141" t="s">
        <v>176</v>
      </c>
      <c r="B42" s="15" t="s">
        <v>154</v>
      </c>
      <c r="C42" s="33" t="s">
        <v>31</v>
      </c>
      <c r="D42" s="15" t="s">
        <v>52</v>
      </c>
      <c r="E42" s="38">
        <v>1109.4000000000001</v>
      </c>
      <c r="F42" s="39">
        <f>SUM(E42*2/1000)</f>
        <v>2.2188000000000003</v>
      </c>
      <c r="G42" s="56">
        <v>865.61</v>
      </c>
      <c r="H42" s="40">
        <f t="shared" ref="H42:H52" si="30">SUM(F42*G42/1000)</f>
        <v>1.9206154680000005</v>
      </c>
      <c r="I42" s="41">
        <v>0</v>
      </c>
      <c r="J42" s="41">
        <v>0</v>
      </c>
      <c r="K42" s="41">
        <v>0</v>
      </c>
      <c r="L42" s="41">
        <v>0</v>
      </c>
      <c r="M42" s="41">
        <f>F42/2*G42</f>
        <v>960.30773400000021</v>
      </c>
      <c r="N42" s="41">
        <v>0</v>
      </c>
      <c r="O42" s="41">
        <v>0</v>
      </c>
      <c r="P42" s="41">
        <v>0</v>
      </c>
      <c r="Q42" s="41">
        <f>F42/2*G42</f>
        <v>960.30773400000021</v>
      </c>
      <c r="R42" s="41">
        <v>0</v>
      </c>
      <c r="S42" s="41">
        <v>0</v>
      </c>
      <c r="T42" s="41">
        <v>0</v>
      </c>
      <c r="U42" s="41">
        <f t="shared" ref="U42:U52" si="31">SUM(I42:Q42)</f>
        <v>1920.6154680000004</v>
      </c>
    </row>
    <row r="43" spans="1:21">
      <c r="A43" s="141" t="s">
        <v>177</v>
      </c>
      <c r="B43" s="15" t="s">
        <v>53</v>
      </c>
      <c r="C43" s="33" t="s">
        <v>31</v>
      </c>
      <c r="D43" s="15" t="s">
        <v>52</v>
      </c>
      <c r="E43" s="38">
        <v>106</v>
      </c>
      <c r="F43" s="39">
        <f>SUM(E43*2/1000)</f>
        <v>0.21199999999999999</v>
      </c>
      <c r="G43" s="56">
        <v>619.46</v>
      </c>
      <c r="H43" s="40">
        <f t="shared" si="30"/>
        <v>0.13132552</v>
      </c>
      <c r="I43" s="41">
        <v>0</v>
      </c>
      <c r="J43" s="41">
        <v>0</v>
      </c>
      <c r="K43" s="41">
        <v>0</v>
      </c>
      <c r="L43" s="41">
        <v>0</v>
      </c>
      <c r="M43" s="41">
        <f t="shared" ref="M43:M46" si="32">F43/2*G43</f>
        <v>65.662760000000006</v>
      </c>
      <c r="N43" s="41">
        <v>0</v>
      </c>
      <c r="O43" s="41">
        <v>0</v>
      </c>
      <c r="P43" s="41">
        <v>0</v>
      </c>
      <c r="Q43" s="41">
        <f t="shared" ref="Q43:Q46" si="33">F43/2*G43</f>
        <v>65.662760000000006</v>
      </c>
      <c r="R43" s="41">
        <v>0</v>
      </c>
      <c r="S43" s="41">
        <v>0</v>
      </c>
      <c r="T43" s="41">
        <v>0</v>
      </c>
      <c r="U43" s="41">
        <f t="shared" si="31"/>
        <v>131.32552000000001</v>
      </c>
    </row>
    <row r="44" spans="1:21" ht="12.75" customHeight="1">
      <c r="A44" s="141" t="s">
        <v>178</v>
      </c>
      <c r="B44" s="15" t="s">
        <v>54</v>
      </c>
      <c r="C44" s="33" t="s">
        <v>31</v>
      </c>
      <c r="D44" s="15" t="s">
        <v>52</v>
      </c>
      <c r="E44" s="38">
        <v>1563.2750000000001</v>
      </c>
      <c r="F44" s="39">
        <f>SUM(E44*2/1000)</f>
        <v>3.1265500000000004</v>
      </c>
      <c r="G44" s="56">
        <v>619.46</v>
      </c>
      <c r="H44" s="40">
        <f t="shared" si="30"/>
        <v>1.9367726630000004</v>
      </c>
      <c r="I44" s="41">
        <v>0</v>
      </c>
      <c r="J44" s="41">
        <v>0</v>
      </c>
      <c r="K44" s="41">
        <v>0</v>
      </c>
      <c r="L44" s="41">
        <v>0</v>
      </c>
      <c r="M44" s="41">
        <f t="shared" si="32"/>
        <v>968.38633150000021</v>
      </c>
      <c r="N44" s="41">
        <v>0</v>
      </c>
      <c r="O44" s="41">
        <v>0</v>
      </c>
      <c r="P44" s="41">
        <v>0</v>
      </c>
      <c r="Q44" s="41">
        <f t="shared" si="33"/>
        <v>968.38633150000021</v>
      </c>
      <c r="R44" s="41">
        <v>0</v>
      </c>
      <c r="S44" s="41">
        <v>0</v>
      </c>
      <c r="T44" s="41">
        <v>0</v>
      </c>
      <c r="U44" s="41">
        <f t="shared" si="31"/>
        <v>1936.7726630000004</v>
      </c>
    </row>
    <row r="45" spans="1:21">
      <c r="A45" s="141" t="s">
        <v>179</v>
      </c>
      <c r="B45" s="15" t="s">
        <v>55</v>
      </c>
      <c r="C45" s="33" t="s">
        <v>31</v>
      </c>
      <c r="D45" s="15" t="s">
        <v>52</v>
      </c>
      <c r="E45" s="38">
        <v>1619.6</v>
      </c>
      <c r="F45" s="39">
        <f>SUM(E45*2/1000)</f>
        <v>3.2391999999999999</v>
      </c>
      <c r="G45" s="56">
        <v>648.64</v>
      </c>
      <c r="H45" s="40">
        <f t="shared" si="30"/>
        <v>2.1010746879999997</v>
      </c>
      <c r="I45" s="41">
        <v>0</v>
      </c>
      <c r="J45" s="41">
        <v>0</v>
      </c>
      <c r="K45" s="41">
        <v>0</v>
      </c>
      <c r="L45" s="41">
        <v>0</v>
      </c>
      <c r="M45" s="41">
        <f t="shared" si="32"/>
        <v>1050.5373439999998</v>
      </c>
      <c r="N45" s="41">
        <v>0</v>
      </c>
      <c r="O45" s="41">
        <v>0</v>
      </c>
      <c r="P45" s="41">
        <v>0</v>
      </c>
      <c r="Q45" s="41">
        <f t="shared" si="33"/>
        <v>1050.5373439999998</v>
      </c>
      <c r="R45" s="41">
        <v>0</v>
      </c>
      <c r="S45" s="41">
        <v>0</v>
      </c>
      <c r="T45" s="41">
        <v>0</v>
      </c>
      <c r="U45" s="41">
        <f t="shared" si="31"/>
        <v>2101.0746879999997</v>
      </c>
    </row>
    <row r="46" spans="1:21">
      <c r="A46" s="141" t="s">
        <v>180</v>
      </c>
      <c r="B46" s="15" t="s">
        <v>56</v>
      </c>
      <c r="C46" s="33" t="s">
        <v>57</v>
      </c>
      <c r="D46" s="15" t="s">
        <v>52</v>
      </c>
      <c r="E46" s="38">
        <v>85.84</v>
      </c>
      <c r="F46" s="39">
        <f>SUM(E46*2/100)</f>
        <v>1.7168000000000001</v>
      </c>
      <c r="G46" s="56">
        <v>77.84</v>
      </c>
      <c r="H46" s="40">
        <f t="shared" si="30"/>
        <v>0.13363571200000002</v>
      </c>
      <c r="I46" s="41">
        <v>0</v>
      </c>
      <c r="J46" s="41">
        <v>0</v>
      </c>
      <c r="K46" s="41">
        <v>0</v>
      </c>
      <c r="L46" s="41">
        <v>0</v>
      </c>
      <c r="M46" s="41">
        <f t="shared" si="32"/>
        <v>66.817856000000006</v>
      </c>
      <c r="N46" s="41">
        <v>0</v>
      </c>
      <c r="O46" s="41">
        <v>0</v>
      </c>
      <c r="P46" s="41">
        <v>0</v>
      </c>
      <c r="Q46" s="41">
        <f t="shared" si="33"/>
        <v>66.817856000000006</v>
      </c>
      <c r="R46" s="41">
        <v>0</v>
      </c>
      <c r="S46" s="41">
        <v>0</v>
      </c>
      <c r="T46" s="41">
        <v>0</v>
      </c>
      <c r="U46" s="41">
        <f t="shared" si="31"/>
        <v>133.63571200000001</v>
      </c>
    </row>
    <row r="47" spans="1:21" ht="25.5">
      <c r="A47" s="141" t="s">
        <v>181</v>
      </c>
      <c r="B47" s="15" t="s">
        <v>58</v>
      </c>
      <c r="C47" s="33" t="s">
        <v>31</v>
      </c>
      <c r="D47" s="15" t="s">
        <v>59</v>
      </c>
      <c r="E47" s="38">
        <v>890.5</v>
      </c>
      <c r="F47" s="39">
        <f>SUM(E47*5/1000)</f>
        <v>4.4524999999999997</v>
      </c>
      <c r="G47" s="56">
        <v>1297.28</v>
      </c>
      <c r="H47" s="40">
        <f t="shared" si="30"/>
        <v>5.7761391999999994</v>
      </c>
      <c r="I47" s="41">
        <f>F47/5*G47</f>
        <v>1155.22784</v>
      </c>
      <c r="J47" s="41">
        <f>F47/5*G47</f>
        <v>1155.22784</v>
      </c>
      <c r="K47" s="41">
        <v>0</v>
      </c>
      <c r="L47" s="41">
        <v>0</v>
      </c>
      <c r="M47" s="41">
        <f>F47/5*G47</f>
        <v>1155.22784</v>
      </c>
      <c r="N47" s="41">
        <v>0</v>
      </c>
      <c r="O47" s="41">
        <v>0</v>
      </c>
      <c r="P47" s="41">
        <v>0</v>
      </c>
      <c r="Q47" s="41">
        <f>F47/5*G47</f>
        <v>1155.22784</v>
      </c>
      <c r="R47" s="41">
        <v>0</v>
      </c>
      <c r="S47" s="41">
        <v>0</v>
      </c>
      <c r="T47" s="41">
        <f>F47/5*G47</f>
        <v>1155.22784</v>
      </c>
      <c r="U47" s="41">
        <f t="shared" si="31"/>
        <v>4620.9113600000001</v>
      </c>
    </row>
    <row r="48" spans="1:21" ht="38.25" customHeight="1">
      <c r="A48" s="141" t="s">
        <v>182</v>
      </c>
      <c r="B48" s="15" t="s">
        <v>60</v>
      </c>
      <c r="C48" s="33" t="s">
        <v>31</v>
      </c>
      <c r="D48" s="15" t="s">
        <v>52</v>
      </c>
      <c r="E48" s="38">
        <v>890.5</v>
      </c>
      <c r="F48" s="39">
        <f>SUM(E48*2/1000)</f>
        <v>1.7809999999999999</v>
      </c>
      <c r="G48" s="56">
        <v>1297.28</v>
      </c>
      <c r="H48" s="40">
        <f t="shared" si="30"/>
        <v>2.31045568</v>
      </c>
      <c r="I48" s="41">
        <v>0</v>
      </c>
      <c r="J48" s="41">
        <v>0</v>
      </c>
      <c r="K48" s="41">
        <v>0</v>
      </c>
      <c r="L48" s="41">
        <v>0</v>
      </c>
      <c r="M48" s="41">
        <f>F48/2*G48</f>
        <v>1155.22784</v>
      </c>
      <c r="N48" s="41">
        <v>0</v>
      </c>
      <c r="O48" s="41">
        <v>0</v>
      </c>
      <c r="P48" s="41">
        <v>0</v>
      </c>
      <c r="Q48" s="41">
        <v>0</v>
      </c>
      <c r="R48" s="41">
        <f>F48/2*G48</f>
        <v>1155.22784</v>
      </c>
      <c r="S48" s="41">
        <v>0</v>
      </c>
      <c r="T48" s="41">
        <v>0</v>
      </c>
      <c r="U48" s="41">
        <f t="shared" si="31"/>
        <v>1155.22784</v>
      </c>
    </row>
    <row r="49" spans="1:21" ht="25.5" customHeight="1">
      <c r="A49" s="141" t="s">
        <v>183</v>
      </c>
      <c r="B49" s="15" t="s">
        <v>61</v>
      </c>
      <c r="C49" s="33" t="s">
        <v>62</v>
      </c>
      <c r="D49" s="15" t="s">
        <v>52</v>
      </c>
      <c r="E49" s="38">
        <v>20</v>
      </c>
      <c r="F49" s="39">
        <f>SUM(E49*2/100)</f>
        <v>0.4</v>
      </c>
      <c r="G49" s="56">
        <v>2918.89</v>
      </c>
      <c r="H49" s="40">
        <f t="shared" si="30"/>
        <v>1.167556</v>
      </c>
      <c r="I49" s="41">
        <v>0</v>
      </c>
      <c r="J49" s="41">
        <v>0</v>
      </c>
      <c r="K49" s="41">
        <v>0</v>
      </c>
      <c r="L49" s="41">
        <v>0</v>
      </c>
      <c r="M49" s="41">
        <f t="shared" ref="M49:M50" si="34">F49/2*G49</f>
        <v>583.77800000000002</v>
      </c>
      <c r="N49" s="41">
        <v>0</v>
      </c>
      <c r="O49" s="41">
        <v>0</v>
      </c>
      <c r="P49" s="41">
        <v>0</v>
      </c>
      <c r="Q49" s="41">
        <v>0</v>
      </c>
      <c r="R49" s="41">
        <f t="shared" ref="R49:R50" si="35">F49/2*G49</f>
        <v>583.77800000000002</v>
      </c>
      <c r="S49" s="41">
        <v>0</v>
      </c>
      <c r="T49" s="41">
        <v>0</v>
      </c>
      <c r="U49" s="41">
        <f t="shared" si="31"/>
        <v>583.77800000000002</v>
      </c>
    </row>
    <row r="50" spans="1:21">
      <c r="A50" s="141" t="s">
        <v>184</v>
      </c>
      <c r="B50" s="15" t="s">
        <v>63</v>
      </c>
      <c r="C50" s="33" t="s">
        <v>64</v>
      </c>
      <c r="D50" s="15" t="s">
        <v>52</v>
      </c>
      <c r="E50" s="38">
        <v>1</v>
      </c>
      <c r="F50" s="39">
        <v>0.02</v>
      </c>
      <c r="G50" s="56">
        <v>6042.12</v>
      </c>
      <c r="H50" s="40">
        <f t="shared" si="30"/>
        <v>0.1208424</v>
      </c>
      <c r="I50" s="41">
        <v>0</v>
      </c>
      <c r="J50" s="41">
        <v>0</v>
      </c>
      <c r="K50" s="41">
        <v>0</v>
      </c>
      <c r="L50" s="41">
        <v>0</v>
      </c>
      <c r="M50" s="41">
        <f t="shared" si="34"/>
        <v>60.421199999999999</v>
      </c>
      <c r="N50" s="41">
        <v>0</v>
      </c>
      <c r="O50" s="41">
        <v>0</v>
      </c>
      <c r="P50" s="41">
        <v>0</v>
      </c>
      <c r="Q50" s="41">
        <v>0</v>
      </c>
      <c r="R50" s="41">
        <f t="shared" si="35"/>
        <v>60.421199999999999</v>
      </c>
      <c r="S50" s="41">
        <v>0</v>
      </c>
      <c r="T50" s="41">
        <v>0</v>
      </c>
      <c r="U50" s="41">
        <f t="shared" si="31"/>
        <v>60.421199999999999</v>
      </c>
    </row>
    <row r="51" spans="1:21" ht="13.5" customHeight="1">
      <c r="A51" s="141" t="s">
        <v>65</v>
      </c>
      <c r="B51" s="15" t="s">
        <v>66</v>
      </c>
      <c r="C51" s="33" t="s">
        <v>67</v>
      </c>
      <c r="D51" s="15" t="s">
        <v>132</v>
      </c>
      <c r="E51" s="38">
        <v>62</v>
      </c>
      <c r="F51" s="39">
        <f>SUM(E51*4)</f>
        <v>248</v>
      </c>
      <c r="G51" s="57">
        <v>150.86000000000001</v>
      </c>
      <c r="H51" s="40">
        <f t="shared" si="30"/>
        <v>37.413280000000007</v>
      </c>
      <c r="I51" s="41">
        <f>E51*G51</f>
        <v>9353.3200000000015</v>
      </c>
      <c r="J51" s="41">
        <v>0</v>
      </c>
      <c r="K51" s="41">
        <v>0</v>
      </c>
      <c r="L51" s="41">
        <v>0</v>
      </c>
      <c r="M51" s="41">
        <f>E51*G51</f>
        <v>9353.3200000000015</v>
      </c>
      <c r="N51" s="41">
        <v>0</v>
      </c>
      <c r="O51" s="41">
        <v>0</v>
      </c>
      <c r="P51" s="41">
        <v>0</v>
      </c>
      <c r="Q51" s="41">
        <f>E51*G51</f>
        <v>9353.3200000000015</v>
      </c>
      <c r="R51" s="41">
        <v>0</v>
      </c>
      <c r="S51" s="41">
        <v>0</v>
      </c>
      <c r="T51" s="41">
        <v>0</v>
      </c>
      <c r="U51" s="41">
        <f t="shared" si="31"/>
        <v>28059.960000000006</v>
      </c>
    </row>
    <row r="52" spans="1:21" ht="13.5" customHeight="1">
      <c r="A52" s="141" t="s">
        <v>68</v>
      </c>
      <c r="B52" s="15" t="s">
        <v>69</v>
      </c>
      <c r="C52" s="33" t="s">
        <v>67</v>
      </c>
      <c r="D52" s="15" t="s">
        <v>133</v>
      </c>
      <c r="E52" s="38">
        <v>124</v>
      </c>
      <c r="F52" s="39">
        <f>SUM(E52)*3</f>
        <v>372</v>
      </c>
      <c r="G52" s="57">
        <v>70.209999999999994</v>
      </c>
      <c r="H52" s="40">
        <f t="shared" si="30"/>
        <v>26.118119999999998</v>
      </c>
      <c r="I52" s="41">
        <f>E52*G52</f>
        <v>8706.0399999999991</v>
      </c>
      <c r="J52" s="41">
        <v>0</v>
      </c>
      <c r="K52" s="41">
        <v>0</v>
      </c>
      <c r="L52" s="41">
        <v>0</v>
      </c>
      <c r="M52" s="41">
        <f>E52*G52</f>
        <v>8706.0399999999991</v>
      </c>
      <c r="N52" s="41">
        <v>0</v>
      </c>
      <c r="O52" s="41">
        <v>0</v>
      </c>
      <c r="P52" s="41">
        <v>0</v>
      </c>
      <c r="Q52" s="41">
        <f>E52*G52</f>
        <v>8706.0399999999991</v>
      </c>
      <c r="R52" s="41">
        <v>0</v>
      </c>
      <c r="S52" s="41">
        <v>0</v>
      </c>
      <c r="T52" s="41">
        <v>0</v>
      </c>
      <c r="U52" s="41">
        <f t="shared" si="31"/>
        <v>26118.119999999995</v>
      </c>
    </row>
    <row r="53" spans="1:21" s="25" customFormat="1">
      <c r="A53" s="144"/>
      <c r="B53" s="24" t="s">
        <v>28</v>
      </c>
      <c r="C53" s="58"/>
      <c r="D53" s="24"/>
      <c r="E53" s="59"/>
      <c r="F53" s="60"/>
      <c r="G53" s="60"/>
      <c r="H53" s="52">
        <f>SUM(H42:H52)</f>
        <v>79.129817330999998</v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>
        <f>SUM(U42:U52)</f>
        <v>66821.842451000004</v>
      </c>
    </row>
    <row r="54" spans="1:21">
      <c r="A54" s="141"/>
      <c r="B54" s="16" t="s">
        <v>70</v>
      </c>
      <c r="C54" s="33"/>
      <c r="D54" s="15"/>
      <c r="E54" s="38"/>
      <c r="F54" s="39"/>
      <c r="G54" s="39"/>
      <c r="H54" s="40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</row>
    <row r="55" spans="1:21" ht="25.5" customHeight="1">
      <c r="A55" s="11" t="s">
        <v>185</v>
      </c>
      <c r="B55" s="15" t="s">
        <v>142</v>
      </c>
      <c r="C55" s="33" t="s">
        <v>13</v>
      </c>
      <c r="D55" s="15" t="s">
        <v>71</v>
      </c>
      <c r="E55" s="38">
        <v>126.94</v>
      </c>
      <c r="F55" s="39">
        <f>SUM(E55*6/100)</f>
        <v>7.6163999999999996</v>
      </c>
      <c r="G55" s="56">
        <v>1654.04</v>
      </c>
      <c r="H55" s="40">
        <f>SUM(F55*G55/1000)</f>
        <v>12.597830256</v>
      </c>
      <c r="I55" s="41">
        <f>F55/6*G55</f>
        <v>2099.6383759999999</v>
      </c>
      <c r="J55" s="41">
        <f>F55/6*G55</f>
        <v>2099.6383759999999</v>
      </c>
      <c r="K55" s="41">
        <f>F55/6*G55</f>
        <v>2099.6383759999999</v>
      </c>
      <c r="L55" s="41">
        <f>F55/6*G55</f>
        <v>2099.6383759999999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f>F55/6*G55</f>
        <v>2099.6383759999999</v>
      </c>
      <c r="T55" s="41">
        <f>F55/6*G55</f>
        <v>2099.6383759999999</v>
      </c>
      <c r="U55" s="41">
        <f t="shared" ref="U55:U82" si="36">SUM(I55:Q55)</f>
        <v>8398.5535039999995</v>
      </c>
    </row>
    <row r="56" spans="1:21" ht="25.5" customHeight="1">
      <c r="A56" s="11" t="s">
        <v>185</v>
      </c>
      <c r="B56" s="15" t="s">
        <v>115</v>
      </c>
      <c r="C56" s="33" t="s">
        <v>13</v>
      </c>
      <c r="D56" s="15" t="s">
        <v>71</v>
      </c>
      <c r="E56" s="62">
        <v>16</v>
      </c>
      <c r="F56" s="63">
        <v>0.96</v>
      </c>
      <c r="G56" s="39">
        <v>1654.04</v>
      </c>
      <c r="H56" s="40">
        <v>1.5880000000000001</v>
      </c>
      <c r="I56" s="41">
        <f>F56/6*G56</f>
        <v>264.64639999999997</v>
      </c>
      <c r="J56" s="41">
        <f>F56/6*G56</f>
        <v>264.64639999999997</v>
      </c>
      <c r="K56" s="41">
        <f>F56/6*G56</f>
        <v>264.64639999999997</v>
      </c>
      <c r="L56" s="41">
        <f t="shared" ref="L56:L57" si="37">F56/6*G56</f>
        <v>264.64639999999997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f t="shared" ref="S56:S57" si="38">F56/6*G56</f>
        <v>264.64639999999997</v>
      </c>
      <c r="T56" s="41">
        <f t="shared" ref="T56:T57" si="39">F56/6*G56</f>
        <v>264.64639999999997</v>
      </c>
      <c r="U56" s="41">
        <f t="shared" si="36"/>
        <v>1058.5855999999999</v>
      </c>
    </row>
    <row r="57" spans="1:21" ht="38.25">
      <c r="A57" s="141" t="s">
        <v>186</v>
      </c>
      <c r="B57" s="15" t="s">
        <v>72</v>
      </c>
      <c r="C57" s="33" t="s">
        <v>13</v>
      </c>
      <c r="D57" s="15" t="s">
        <v>109</v>
      </c>
      <c r="E57" s="64">
        <v>19.899999999999999</v>
      </c>
      <c r="F57" s="56">
        <f>E57*3/100</f>
        <v>0.59699999999999998</v>
      </c>
      <c r="G57" s="54">
        <v>1654.04</v>
      </c>
      <c r="H57" s="40">
        <f>SUM(F57*G57/1000)</f>
        <v>0.9874618799999999</v>
      </c>
      <c r="I57" s="41">
        <f>F57/6*G57</f>
        <v>164.57697999999999</v>
      </c>
      <c r="J57" s="41">
        <f>F57/6*G57</f>
        <v>164.57697999999999</v>
      </c>
      <c r="K57" s="41">
        <f>F57/6*G57</f>
        <v>164.57697999999999</v>
      </c>
      <c r="L57" s="41">
        <f t="shared" si="37"/>
        <v>164.57697999999999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f t="shared" si="38"/>
        <v>164.57697999999999</v>
      </c>
      <c r="T57" s="41">
        <f t="shared" si="39"/>
        <v>164.57697999999999</v>
      </c>
      <c r="U57" s="41">
        <f t="shared" si="36"/>
        <v>658.30791999999997</v>
      </c>
    </row>
    <row r="58" spans="1:21" ht="12.75" customHeight="1">
      <c r="A58" s="145"/>
      <c r="B58" s="27" t="s">
        <v>73</v>
      </c>
      <c r="C58" s="65"/>
      <c r="D58" s="26"/>
      <c r="E58" s="66"/>
      <c r="F58" s="67"/>
      <c r="G58" s="63"/>
      <c r="H58" s="68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</row>
    <row r="59" spans="1:21" ht="12.75" customHeight="1">
      <c r="A59" s="141" t="s">
        <v>187</v>
      </c>
      <c r="B59" s="26" t="s">
        <v>116</v>
      </c>
      <c r="C59" s="65" t="s">
        <v>13</v>
      </c>
      <c r="D59" s="26" t="s">
        <v>34</v>
      </c>
      <c r="E59" s="66">
        <v>900</v>
      </c>
      <c r="F59" s="68">
        <v>9</v>
      </c>
      <c r="G59" s="56">
        <v>848.37</v>
      </c>
      <c r="H59" s="69">
        <v>7.6349999999999998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f t="shared" si="36"/>
        <v>0</v>
      </c>
    </row>
    <row r="60" spans="1:21">
      <c r="A60" s="145"/>
      <c r="B60" s="19" t="s">
        <v>74</v>
      </c>
      <c r="C60" s="65"/>
      <c r="D60" s="26"/>
      <c r="E60" s="66"/>
      <c r="F60" s="67"/>
      <c r="G60" s="70"/>
      <c r="H60" s="68" t="s">
        <v>45</v>
      </c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</row>
    <row r="61" spans="1:21" ht="12.75" customHeight="1">
      <c r="A61" s="29" t="s">
        <v>188</v>
      </c>
      <c r="B61" s="20" t="s">
        <v>75</v>
      </c>
      <c r="C61" s="29" t="s">
        <v>67</v>
      </c>
      <c r="D61" s="12" t="s">
        <v>41</v>
      </c>
      <c r="E61" s="5">
        <v>10</v>
      </c>
      <c r="F61" s="39">
        <v>10</v>
      </c>
      <c r="G61" s="56">
        <v>237.74</v>
      </c>
      <c r="H61" s="71">
        <f t="shared" ref="H61:H77" si="40">SUM(F61*G61/1000)</f>
        <v>2.3774000000000002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f t="shared" si="36"/>
        <v>0</v>
      </c>
    </row>
    <row r="62" spans="1:21" ht="12.75" customHeight="1">
      <c r="A62" s="29" t="s">
        <v>189</v>
      </c>
      <c r="B62" s="20" t="s">
        <v>76</v>
      </c>
      <c r="C62" s="29" t="s">
        <v>67</v>
      </c>
      <c r="D62" s="12" t="s">
        <v>41</v>
      </c>
      <c r="E62" s="5">
        <v>3</v>
      </c>
      <c r="F62" s="39">
        <v>3</v>
      </c>
      <c r="G62" s="56">
        <v>81.510000000000005</v>
      </c>
      <c r="H62" s="71">
        <f t="shared" si="40"/>
        <v>0.24453000000000003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f t="shared" si="36"/>
        <v>0</v>
      </c>
    </row>
    <row r="63" spans="1:21" s="2" customFormat="1">
      <c r="A63" s="72" t="s">
        <v>190</v>
      </c>
      <c r="B63" s="20" t="s">
        <v>77</v>
      </c>
      <c r="C63" s="72" t="s">
        <v>78</v>
      </c>
      <c r="D63" s="12" t="s">
        <v>34</v>
      </c>
      <c r="E63" s="38">
        <v>13313</v>
      </c>
      <c r="F63" s="57">
        <f>SUM(E63/100)</f>
        <v>133.13</v>
      </c>
      <c r="G63" s="56">
        <v>226.79</v>
      </c>
      <c r="H63" s="71">
        <f t="shared" si="40"/>
        <v>30.192552699999997</v>
      </c>
      <c r="I63" s="55">
        <v>0</v>
      </c>
      <c r="J63" s="55">
        <v>0</v>
      </c>
      <c r="K63" s="55">
        <v>0</v>
      </c>
      <c r="L63" s="41">
        <v>0</v>
      </c>
      <c r="M63" s="55">
        <f>F63*G63</f>
        <v>30192.552699999997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f t="shared" si="36"/>
        <v>30192.552699999997</v>
      </c>
    </row>
    <row r="64" spans="1:21" ht="12.75" customHeight="1">
      <c r="A64" s="29" t="s">
        <v>191</v>
      </c>
      <c r="B64" s="20" t="s">
        <v>79</v>
      </c>
      <c r="C64" s="29" t="s">
        <v>80</v>
      </c>
      <c r="D64" s="12"/>
      <c r="E64" s="38">
        <v>13313</v>
      </c>
      <c r="F64" s="56">
        <f>SUM(E64/1000)</f>
        <v>13.313000000000001</v>
      </c>
      <c r="G64" s="56">
        <v>176.61</v>
      </c>
      <c r="H64" s="71">
        <f t="shared" si="40"/>
        <v>2.3512089300000003</v>
      </c>
      <c r="I64" s="41">
        <v>0</v>
      </c>
      <c r="J64" s="41">
        <v>0</v>
      </c>
      <c r="K64" s="41">
        <v>0</v>
      </c>
      <c r="L64" s="41">
        <v>0</v>
      </c>
      <c r="M64" s="41">
        <f>F64*G64</f>
        <v>2351.2089300000002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f t="shared" si="36"/>
        <v>2351.2089300000002</v>
      </c>
    </row>
    <row r="65" spans="1:21">
      <c r="A65" s="29" t="s">
        <v>192</v>
      </c>
      <c r="B65" s="20" t="s">
        <v>81</v>
      </c>
      <c r="C65" s="29" t="s">
        <v>82</v>
      </c>
      <c r="D65" s="12" t="s">
        <v>34</v>
      </c>
      <c r="E65" s="38">
        <v>2184</v>
      </c>
      <c r="F65" s="56">
        <f>SUM(E65/100)</f>
        <v>21.84</v>
      </c>
      <c r="G65" s="56">
        <v>2217.7800000000002</v>
      </c>
      <c r="H65" s="71">
        <f t="shared" si="40"/>
        <v>48.436315200000003</v>
      </c>
      <c r="I65" s="41">
        <v>0</v>
      </c>
      <c r="J65" s="41">
        <v>0</v>
      </c>
      <c r="K65" s="41">
        <v>0</v>
      </c>
      <c r="L65" s="41">
        <v>0</v>
      </c>
      <c r="M65" s="41">
        <f>F65*G65</f>
        <v>48436.315200000005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f t="shared" si="36"/>
        <v>48436.315200000005</v>
      </c>
    </row>
    <row r="66" spans="1:21">
      <c r="A66" s="29"/>
      <c r="B66" s="21" t="s">
        <v>117</v>
      </c>
      <c r="C66" s="29" t="s">
        <v>39</v>
      </c>
      <c r="D66" s="12"/>
      <c r="E66" s="38">
        <v>11.6</v>
      </c>
      <c r="F66" s="56">
        <f>SUM(E66)</f>
        <v>11.6</v>
      </c>
      <c r="G66" s="56">
        <v>42.67</v>
      </c>
      <c r="H66" s="71">
        <f t="shared" si="40"/>
        <v>0.49497199999999997</v>
      </c>
      <c r="I66" s="41">
        <v>0</v>
      </c>
      <c r="J66" s="41">
        <v>0</v>
      </c>
      <c r="K66" s="41">
        <v>0</v>
      </c>
      <c r="L66" s="41">
        <v>0</v>
      </c>
      <c r="M66" s="41">
        <f>F66*G66</f>
        <v>494.97199999999998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f t="shared" si="36"/>
        <v>494.97199999999998</v>
      </c>
    </row>
    <row r="67" spans="1:21" ht="12.75" customHeight="1">
      <c r="A67" s="152"/>
      <c r="B67" s="21" t="s">
        <v>118</v>
      </c>
      <c r="C67" s="29" t="s">
        <v>39</v>
      </c>
      <c r="D67" s="12"/>
      <c r="E67" s="38">
        <v>11.6</v>
      </c>
      <c r="F67" s="56">
        <f>SUM(E67)</f>
        <v>11.6</v>
      </c>
      <c r="G67" s="56">
        <v>39.81</v>
      </c>
      <c r="H67" s="71">
        <f t="shared" si="40"/>
        <v>0.46179599999999998</v>
      </c>
      <c r="I67" s="41">
        <v>0</v>
      </c>
      <c r="J67" s="41">
        <v>0</v>
      </c>
      <c r="K67" s="41">
        <v>0</v>
      </c>
      <c r="L67" s="41">
        <v>0</v>
      </c>
      <c r="M67" s="41">
        <f>F67*G67</f>
        <v>461.79599999999999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f t="shared" si="36"/>
        <v>461.79599999999999</v>
      </c>
    </row>
    <row r="68" spans="1:21">
      <c r="A68" s="29" t="s">
        <v>193</v>
      </c>
      <c r="B68" s="12" t="s">
        <v>83</v>
      </c>
      <c r="C68" s="29" t="s">
        <v>84</v>
      </c>
      <c r="D68" s="12" t="s">
        <v>34</v>
      </c>
      <c r="E68" s="5">
        <v>5</v>
      </c>
      <c r="F68" s="39">
        <f>SUM(E68)</f>
        <v>5</v>
      </c>
      <c r="G68" s="56">
        <v>53.32</v>
      </c>
      <c r="H68" s="71">
        <f t="shared" si="40"/>
        <v>0.2666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f>G68*5</f>
        <v>266.60000000000002</v>
      </c>
      <c r="R68" s="41">
        <v>0</v>
      </c>
      <c r="S68" s="41">
        <v>0</v>
      </c>
      <c r="T68" s="41">
        <v>0</v>
      </c>
      <c r="U68" s="41">
        <f t="shared" si="36"/>
        <v>266.60000000000002</v>
      </c>
    </row>
    <row r="69" spans="1:21">
      <c r="A69" s="29"/>
      <c r="B69" s="22" t="s">
        <v>85</v>
      </c>
      <c r="C69" s="29"/>
      <c r="D69" s="12"/>
      <c r="E69" s="5"/>
      <c r="F69" s="56"/>
      <c r="G69" s="56"/>
      <c r="H69" s="71" t="s">
        <v>45</v>
      </c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</row>
    <row r="70" spans="1:21">
      <c r="A70" s="29" t="s">
        <v>205</v>
      </c>
      <c r="B70" s="12" t="s">
        <v>206</v>
      </c>
      <c r="C70" s="29" t="s">
        <v>67</v>
      </c>
      <c r="D70" s="12" t="s">
        <v>41</v>
      </c>
      <c r="E70" s="5">
        <v>2</v>
      </c>
      <c r="F70" s="56">
        <f>E70</f>
        <v>2</v>
      </c>
      <c r="G70" s="56">
        <v>838.81</v>
      </c>
      <c r="H70" s="71">
        <f t="shared" si="40"/>
        <v>1.6776199999999999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f t="shared" si="36"/>
        <v>0</v>
      </c>
    </row>
    <row r="71" spans="1:21">
      <c r="A71" s="29" t="s">
        <v>207</v>
      </c>
      <c r="B71" s="12" t="s">
        <v>208</v>
      </c>
      <c r="C71" s="29" t="s">
        <v>209</v>
      </c>
      <c r="D71" s="12"/>
      <c r="E71" s="5">
        <v>1</v>
      </c>
      <c r="F71" s="56">
        <f>E71</f>
        <v>1</v>
      </c>
      <c r="G71" s="56">
        <v>1000</v>
      </c>
      <c r="H71" s="71">
        <f t="shared" si="40"/>
        <v>1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f t="shared" si="36"/>
        <v>0</v>
      </c>
    </row>
    <row r="72" spans="1:21">
      <c r="A72" s="29" t="s">
        <v>194</v>
      </c>
      <c r="B72" s="12" t="s">
        <v>86</v>
      </c>
      <c r="C72" s="29" t="s">
        <v>87</v>
      </c>
      <c r="D72" s="12"/>
      <c r="E72" s="5">
        <v>2</v>
      </c>
      <c r="F72" s="56">
        <v>0.2</v>
      </c>
      <c r="G72" s="56">
        <v>536.23</v>
      </c>
      <c r="H72" s="71">
        <f t="shared" si="40"/>
        <v>0.10724600000000001</v>
      </c>
      <c r="I72" s="41">
        <v>0</v>
      </c>
      <c r="J72" s="41">
        <v>0</v>
      </c>
      <c r="K72" s="41">
        <f>G72*0.2</f>
        <v>107.24600000000001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f t="shared" si="36"/>
        <v>107.24600000000001</v>
      </c>
    </row>
    <row r="73" spans="1:21">
      <c r="A73" s="29" t="s">
        <v>210</v>
      </c>
      <c r="B73" s="12" t="s">
        <v>211</v>
      </c>
      <c r="C73" s="29" t="s">
        <v>67</v>
      </c>
      <c r="D73" s="12"/>
      <c r="E73" s="5">
        <v>1</v>
      </c>
      <c r="F73" s="39">
        <f>SUM(E73)</f>
        <v>1</v>
      </c>
      <c r="G73" s="56">
        <v>911.85</v>
      </c>
      <c r="H73" s="71">
        <f t="shared" si="40"/>
        <v>0.91185000000000005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f t="shared" si="36"/>
        <v>0</v>
      </c>
    </row>
    <row r="74" spans="1:21">
      <c r="A74" s="29" t="s">
        <v>195</v>
      </c>
      <c r="B74" s="12" t="s">
        <v>88</v>
      </c>
      <c r="C74" s="29" t="s">
        <v>67</v>
      </c>
      <c r="D74" s="12"/>
      <c r="E74" s="5">
        <v>1</v>
      </c>
      <c r="F74" s="39">
        <f>SUM(E74)</f>
        <v>1</v>
      </c>
      <c r="G74" s="56">
        <v>383.25</v>
      </c>
      <c r="H74" s="71">
        <f t="shared" si="40"/>
        <v>0.38324999999999998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f>G74</f>
        <v>383.25</v>
      </c>
      <c r="Q74" s="41">
        <v>0</v>
      </c>
      <c r="R74" s="41">
        <v>0</v>
      </c>
      <c r="S74" s="41">
        <v>0</v>
      </c>
      <c r="T74" s="41">
        <v>0</v>
      </c>
      <c r="U74" s="41">
        <f t="shared" si="36"/>
        <v>383.25</v>
      </c>
    </row>
    <row r="75" spans="1:21" hidden="1">
      <c r="A75" s="29" t="s">
        <v>89</v>
      </c>
      <c r="B75" s="12" t="s">
        <v>90</v>
      </c>
      <c r="C75" s="29" t="s">
        <v>91</v>
      </c>
      <c r="D75" s="12"/>
      <c r="E75" s="5"/>
      <c r="F75" s="56"/>
      <c r="G75" s="56">
        <v>31.54</v>
      </c>
      <c r="H75" s="71">
        <f t="shared" si="40"/>
        <v>0</v>
      </c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>
        <f t="shared" si="36"/>
        <v>0</v>
      </c>
    </row>
    <row r="76" spans="1:21">
      <c r="A76" s="29"/>
      <c r="B76" s="73" t="s">
        <v>92</v>
      </c>
      <c r="C76" s="29"/>
      <c r="D76" s="12"/>
      <c r="E76" s="5"/>
      <c r="F76" s="56"/>
      <c r="G76" s="56" t="s">
        <v>45</v>
      </c>
      <c r="H76" s="71" t="s">
        <v>45</v>
      </c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</row>
    <row r="77" spans="1:21" s="2" customFormat="1">
      <c r="A77" s="72" t="s">
        <v>93</v>
      </c>
      <c r="B77" s="74" t="s">
        <v>94</v>
      </c>
      <c r="C77" s="72" t="s">
        <v>82</v>
      </c>
      <c r="D77" s="20"/>
      <c r="E77" s="75"/>
      <c r="F77" s="57">
        <v>0.1</v>
      </c>
      <c r="G77" s="57">
        <v>2949.85</v>
      </c>
      <c r="H77" s="71">
        <f t="shared" si="40"/>
        <v>0.294985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41">
        <f t="shared" si="36"/>
        <v>0</v>
      </c>
    </row>
    <row r="78" spans="1:21" s="25" customFormat="1">
      <c r="A78" s="76"/>
      <c r="B78" s="24" t="s">
        <v>28</v>
      </c>
      <c r="C78" s="77"/>
      <c r="D78" s="78"/>
      <c r="E78" s="79"/>
      <c r="F78" s="61"/>
      <c r="G78" s="61"/>
      <c r="H78" s="80">
        <f>SUM(H55:H77)</f>
        <v>112.00861796600002</v>
      </c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>
        <f>SUM(U55:U77)</f>
        <v>92809.387854000001</v>
      </c>
    </row>
    <row r="79" spans="1:21">
      <c r="A79" s="146" t="s">
        <v>137</v>
      </c>
      <c r="B79" s="15" t="s">
        <v>138</v>
      </c>
      <c r="C79" s="82"/>
      <c r="D79" s="83"/>
      <c r="E79" s="130"/>
      <c r="F79" s="84">
        <v>1</v>
      </c>
      <c r="G79" s="85">
        <v>20408</v>
      </c>
      <c r="H79" s="71">
        <f>G79*F79/1000</f>
        <v>20.408000000000001</v>
      </c>
      <c r="I79" s="41">
        <v>0</v>
      </c>
      <c r="J79" s="41">
        <v>0</v>
      </c>
      <c r="K79" s="41">
        <v>0</v>
      </c>
      <c r="L79" s="41">
        <v>0</v>
      </c>
      <c r="M79" s="42">
        <f>G79</f>
        <v>20408</v>
      </c>
      <c r="N79" s="42">
        <v>0</v>
      </c>
      <c r="O79" s="41">
        <v>0</v>
      </c>
      <c r="P79" s="131">
        <v>0</v>
      </c>
      <c r="Q79" s="131">
        <v>0</v>
      </c>
      <c r="R79" s="131">
        <v>0</v>
      </c>
      <c r="S79" s="131">
        <v>0</v>
      </c>
      <c r="T79" s="131">
        <v>0</v>
      </c>
      <c r="U79" s="41">
        <f t="shared" si="36"/>
        <v>20408</v>
      </c>
    </row>
    <row r="80" spans="1:21" ht="12.75" customHeight="1">
      <c r="A80" s="147"/>
      <c r="B80" s="81" t="s">
        <v>95</v>
      </c>
      <c r="C80" s="29" t="s">
        <v>96</v>
      </c>
      <c r="D80" s="86"/>
      <c r="E80" s="56">
        <v>2820</v>
      </c>
      <c r="F80" s="56">
        <f>SUM(E80*12)</f>
        <v>33840</v>
      </c>
      <c r="G80" s="87">
        <v>2.54</v>
      </c>
      <c r="H80" s="71">
        <f>SUM(F80*G80/1000)</f>
        <v>85.953600000000009</v>
      </c>
      <c r="I80" s="41">
        <f>F80/12*G80</f>
        <v>7162.8</v>
      </c>
      <c r="J80" s="41">
        <f>F80/12*G80</f>
        <v>7162.8</v>
      </c>
      <c r="K80" s="41">
        <f>F80/12*G80</f>
        <v>7162.8</v>
      </c>
      <c r="L80" s="41">
        <f>F80/12*G80</f>
        <v>7162.8</v>
      </c>
      <c r="M80" s="42">
        <f>F80/12*G80</f>
        <v>7162.8</v>
      </c>
      <c r="N80" s="42">
        <f>F80/12*G80</f>
        <v>7162.8</v>
      </c>
      <c r="O80" s="41">
        <f>F80/12*G80</f>
        <v>7162.8</v>
      </c>
      <c r="P80" s="131">
        <f>F80/12*G80</f>
        <v>7162.8</v>
      </c>
      <c r="Q80" s="131">
        <f>F80/12*G80</f>
        <v>7162.8</v>
      </c>
      <c r="R80" s="131">
        <f>F80/12*G80</f>
        <v>7162.8</v>
      </c>
      <c r="S80" s="131">
        <f>F80/12*G80</f>
        <v>7162.8</v>
      </c>
      <c r="T80" s="131">
        <f>F80/12*G80</f>
        <v>7162.8</v>
      </c>
      <c r="U80" s="41">
        <f t="shared" si="36"/>
        <v>64465.200000000012</v>
      </c>
    </row>
    <row r="81" spans="1:21" s="23" customFormat="1">
      <c r="A81" s="88"/>
      <c r="B81" s="24" t="s">
        <v>28</v>
      </c>
      <c r="C81" s="89"/>
      <c r="D81" s="90"/>
      <c r="E81" s="91"/>
      <c r="F81" s="47"/>
      <c r="G81" s="92"/>
      <c r="H81" s="48">
        <f>SUM(H79:H80)</f>
        <v>106.36160000000001</v>
      </c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>
        <f>SUM(U79:U80)</f>
        <v>84873.200000000012</v>
      </c>
    </row>
    <row r="82" spans="1:21" ht="26.25" customHeight="1">
      <c r="A82" s="31"/>
      <c r="B82" s="12" t="s">
        <v>97</v>
      </c>
      <c r="C82" s="29"/>
      <c r="D82" s="30"/>
      <c r="E82" s="38">
        <f>E80</f>
        <v>2820</v>
      </c>
      <c r="F82" s="56">
        <f>E82*12</f>
        <v>33840</v>
      </c>
      <c r="G82" s="56">
        <v>2.0499999999999998</v>
      </c>
      <c r="H82" s="71">
        <f>F82*G82/1000</f>
        <v>69.372</v>
      </c>
      <c r="I82" s="41">
        <f>F82/12*G82</f>
        <v>5780.9999999999991</v>
      </c>
      <c r="J82" s="41">
        <f>F82/12*G82</f>
        <v>5780.9999999999991</v>
      </c>
      <c r="K82" s="41">
        <f>F82/12*G82</f>
        <v>5780.9999999999991</v>
      </c>
      <c r="L82" s="41">
        <f>F82/12*G82</f>
        <v>5780.9999999999991</v>
      </c>
      <c r="M82" s="41">
        <f>F82/12*G82</f>
        <v>5780.9999999999991</v>
      </c>
      <c r="N82" s="41">
        <f>F82/12*G82</f>
        <v>5780.9999999999991</v>
      </c>
      <c r="O82" s="41">
        <f>F82/12*G82</f>
        <v>5780.9999999999991</v>
      </c>
      <c r="P82" s="41">
        <f>F82/12*G82</f>
        <v>5780.9999999999991</v>
      </c>
      <c r="Q82" s="41">
        <f>F82/12*G82</f>
        <v>5780.9999999999991</v>
      </c>
      <c r="R82" s="41">
        <f>F82/12*G82</f>
        <v>5780.9999999999991</v>
      </c>
      <c r="S82" s="41">
        <f>F82/12*G82</f>
        <v>5780.9999999999991</v>
      </c>
      <c r="T82" s="41">
        <f>F82/12*G82</f>
        <v>5780.9999999999991</v>
      </c>
      <c r="U82" s="41">
        <f t="shared" si="36"/>
        <v>52028.999999999993</v>
      </c>
    </row>
    <row r="83" spans="1:21" s="23" customFormat="1">
      <c r="A83" s="88"/>
      <c r="B83" s="93" t="s">
        <v>98</v>
      </c>
      <c r="C83" s="94"/>
      <c r="D83" s="93"/>
      <c r="E83" s="47"/>
      <c r="F83" s="47"/>
      <c r="G83" s="47"/>
      <c r="H83" s="80">
        <f>SUM(H82)</f>
        <v>69.372</v>
      </c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126">
        <f>SUM(U82)</f>
        <v>52028.999999999993</v>
      </c>
    </row>
    <row r="84" spans="1:21" s="23" customFormat="1">
      <c r="A84" s="88"/>
      <c r="B84" s="93" t="s">
        <v>99</v>
      </c>
      <c r="C84" s="95"/>
      <c r="D84" s="96"/>
      <c r="E84" s="97"/>
      <c r="F84" s="97"/>
      <c r="G84" s="97"/>
      <c r="H84" s="80">
        <f>SUM(H83+H81+H78+H53+H40+H31+H21)</f>
        <v>677.67765179120011</v>
      </c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126">
        <f>SUM(U83+U81+U78+U53+U40+U31+U21)</f>
        <v>516296.69455553335</v>
      </c>
    </row>
    <row r="85" spans="1:21">
      <c r="A85" s="31"/>
      <c r="B85" s="30" t="s">
        <v>100</v>
      </c>
      <c r="C85" s="29"/>
      <c r="D85" s="30"/>
      <c r="E85" s="56"/>
      <c r="F85" s="56"/>
      <c r="G85" s="56" t="s">
        <v>101</v>
      </c>
      <c r="H85" s="98">
        <f>E82</f>
        <v>2820</v>
      </c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</row>
    <row r="86" spans="1:21" s="23" customFormat="1">
      <c r="A86" s="88"/>
      <c r="B86" s="96" t="s">
        <v>102</v>
      </c>
      <c r="C86" s="95"/>
      <c r="D86" s="96"/>
      <c r="E86" s="97"/>
      <c r="F86" s="97"/>
      <c r="G86" s="97"/>
      <c r="H86" s="99">
        <f>SUM(H84/H85/12*1000)</f>
        <v>20.025935336619391</v>
      </c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127"/>
    </row>
    <row r="87" spans="1:21">
      <c r="A87" s="31"/>
      <c r="B87" s="30"/>
      <c r="C87" s="29"/>
      <c r="D87" s="30"/>
      <c r="E87" s="56"/>
      <c r="F87" s="56"/>
      <c r="G87" s="56"/>
      <c r="H87" s="100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128"/>
    </row>
    <row r="88" spans="1:21">
      <c r="A88" s="31"/>
      <c r="B88" s="73" t="s">
        <v>103</v>
      </c>
      <c r="C88" s="29"/>
      <c r="D88" s="30"/>
      <c r="E88" s="56"/>
      <c r="F88" s="56"/>
      <c r="G88" s="56"/>
      <c r="H88" s="56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</row>
    <row r="89" spans="1:21" ht="25.5" customHeight="1">
      <c r="A89" s="133" t="s">
        <v>143</v>
      </c>
      <c r="B89" s="134" t="s">
        <v>212</v>
      </c>
      <c r="C89" s="133" t="s">
        <v>153</v>
      </c>
      <c r="D89" s="30"/>
      <c r="E89" s="56"/>
      <c r="F89" s="56">
        <v>1</v>
      </c>
      <c r="G89" s="56">
        <v>1272</v>
      </c>
      <c r="H89" s="71">
        <f t="shared" ref="H89:H116" si="41">G89*F89/1000</f>
        <v>1.272</v>
      </c>
      <c r="I89" s="41">
        <f>G89</f>
        <v>1272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f t="shared" ref="U89:U116" si="42">SUM(I89:Q89)</f>
        <v>1272</v>
      </c>
    </row>
    <row r="90" spans="1:21" ht="39" customHeight="1">
      <c r="A90" s="157" t="s">
        <v>257</v>
      </c>
      <c r="B90" s="180" t="s">
        <v>256</v>
      </c>
      <c r="C90" s="13" t="s">
        <v>20</v>
      </c>
      <c r="D90" s="30"/>
      <c r="E90" s="56"/>
      <c r="F90" s="56">
        <v>0.05</v>
      </c>
      <c r="G90" s="56">
        <v>42994.68</v>
      </c>
      <c r="H90" s="71">
        <f>G90*F90/1000</f>
        <v>2.149734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f>G90*0.05</f>
        <v>2149.7339999999999</v>
      </c>
      <c r="R90" s="41"/>
      <c r="S90" s="41"/>
      <c r="T90" s="41"/>
      <c r="U90" s="41">
        <f>Q90+P90+O90+N90+M90+L90+K90+J90+I90</f>
        <v>2149.7339999999999</v>
      </c>
    </row>
    <row r="91" spans="1:21" ht="42.75" customHeight="1">
      <c r="A91" s="157" t="s">
        <v>259</v>
      </c>
      <c r="B91" s="162" t="s">
        <v>258</v>
      </c>
      <c r="C91" s="163" t="s">
        <v>104</v>
      </c>
      <c r="D91" s="30"/>
      <c r="E91" s="56"/>
      <c r="F91" s="56">
        <v>0.05</v>
      </c>
      <c r="G91" s="56">
        <v>7987.62</v>
      </c>
      <c r="H91" s="71">
        <f>G91*F91/1000</f>
        <v>0.39938100000000004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f>G91*0.05</f>
        <v>399.38100000000003</v>
      </c>
      <c r="R91" s="41"/>
      <c r="S91" s="41"/>
      <c r="T91" s="41"/>
      <c r="U91" s="41">
        <f>Q91+P91+O91+N91+M91+L91+K91+J91+I91</f>
        <v>399.38100000000003</v>
      </c>
    </row>
    <row r="92" spans="1:21" ht="25.5" customHeight="1">
      <c r="A92" s="136" t="s">
        <v>134</v>
      </c>
      <c r="B92" s="137" t="s">
        <v>213</v>
      </c>
      <c r="C92" s="132" t="s">
        <v>140</v>
      </c>
      <c r="D92" s="13"/>
      <c r="E92" s="5"/>
      <c r="F92" s="4">
        <v>1</v>
      </c>
      <c r="G92" s="5">
        <v>403.69</v>
      </c>
      <c r="H92" s="28">
        <f t="shared" si="41"/>
        <v>0.40368999999999999</v>
      </c>
      <c r="I92" s="41">
        <f>G92</f>
        <v>403.69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f t="shared" si="42"/>
        <v>403.69</v>
      </c>
    </row>
    <row r="93" spans="1:21" ht="12.75" customHeight="1">
      <c r="A93" s="153" t="s">
        <v>222</v>
      </c>
      <c r="B93" s="154" t="s">
        <v>221</v>
      </c>
      <c r="C93" s="153" t="s">
        <v>198</v>
      </c>
      <c r="D93" s="13"/>
      <c r="E93" s="5"/>
      <c r="F93" s="4">
        <f>(3+3+3+3+3+3+3+3+15+20+15+20+10+10+20+15+10+20+3)/3</f>
        <v>60.666666666666664</v>
      </c>
      <c r="G93" s="5">
        <v>1120.8900000000001</v>
      </c>
      <c r="H93" s="28">
        <f t="shared" si="41"/>
        <v>68.000660000000011</v>
      </c>
      <c r="I93" s="41">
        <f>G93</f>
        <v>1120.8900000000001</v>
      </c>
      <c r="J93" s="41">
        <f>G93*7</f>
        <v>7846.2300000000005</v>
      </c>
      <c r="K93" s="41">
        <f>G93*((15+20+15+20)/3)</f>
        <v>26154.100000000002</v>
      </c>
      <c r="L93" s="41">
        <f>G93*((10+10+20)/3)</f>
        <v>14945.200000000003</v>
      </c>
      <c r="M93" s="41">
        <v>0</v>
      </c>
      <c r="N93" s="41">
        <f>G93*((15+10+20)/3)</f>
        <v>16813.350000000002</v>
      </c>
      <c r="O93" s="41">
        <v>0</v>
      </c>
      <c r="P93" s="41">
        <v>0</v>
      </c>
      <c r="Q93" s="41">
        <f>G93</f>
        <v>1120.8900000000001</v>
      </c>
      <c r="R93" s="41">
        <v>0</v>
      </c>
      <c r="S93" s="41">
        <v>0</v>
      </c>
      <c r="T93" s="41">
        <v>0</v>
      </c>
      <c r="U93" s="41">
        <f t="shared" si="42"/>
        <v>68000.66</v>
      </c>
    </row>
    <row r="94" spans="1:21" ht="12.75" customHeight="1">
      <c r="A94" s="153" t="s">
        <v>143</v>
      </c>
      <c r="B94" s="154" t="s">
        <v>250</v>
      </c>
      <c r="C94" s="153" t="s">
        <v>251</v>
      </c>
      <c r="D94" s="13"/>
      <c r="E94" s="5"/>
      <c r="F94" s="4">
        <v>120.3</v>
      </c>
      <c r="G94" s="5">
        <v>2474</v>
      </c>
      <c r="H94" s="28">
        <f>G94*F94/1000</f>
        <v>297.62220000000002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f>G94*120.3</f>
        <v>297622.2</v>
      </c>
      <c r="Q94" s="41">
        <v>0</v>
      </c>
      <c r="R94" s="41"/>
      <c r="S94" s="41"/>
      <c r="T94" s="41"/>
      <c r="U94" s="41">
        <f>Q94+P94+O94+N94+M94+L94+K94+J94+I94</f>
        <v>297622.2</v>
      </c>
    </row>
    <row r="95" spans="1:21" ht="14.25" customHeight="1">
      <c r="A95" s="163" t="s">
        <v>252</v>
      </c>
      <c r="B95" s="162" t="s">
        <v>253</v>
      </c>
      <c r="C95" s="163" t="s">
        <v>49</v>
      </c>
      <c r="D95" s="13"/>
      <c r="E95" s="5"/>
      <c r="F95" s="4">
        <v>0.03</v>
      </c>
      <c r="G95" s="5">
        <v>219.88</v>
      </c>
      <c r="H95" s="28">
        <f>G95*F95/1000</f>
        <v>6.5963999999999997E-3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f>G95*0.03</f>
        <v>6.5964</v>
      </c>
      <c r="Q95" s="41">
        <v>0</v>
      </c>
      <c r="R95" s="41"/>
      <c r="S95" s="41"/>
      <c r="T95" s="41"/>
      <c r="U95" s="41">
        <f>Q95+P95+O95+N95+M95+L95+K95+J95+I95</f>
        <v>6.5964</v>
      </c>
    </row>
    <row r="96" spans="1:21" ht="29.25" customHeight="1">
      <c r="A96" s="157" t="s">
        <v>255</v>
      </c>
      <c r="B96" s="162" t="s">
        <v>254</v>
      </c>
      <c r="C96" s="163" t="s">
        <v>96</v>
      </c>
      <c r="D96" s="13"/>
      <c r="E96" s="5"/>
      <c r="F96" s="4">
        <f>2</f>
        <v>2</v>
      </c>
      <c r="G96" s="5">
        <v>470.85</v>
      </c>
      <c r="H96" s="28">
        <f>G96*F96/1000</f>
        <v>0.94170000000000009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f>G96*2</f>
        <v>941.7</v>
      </c>
      <c r="Q96" s="41">
        <v>0</v>
      </c>
      <c r="R96" s="41"/>
      <c r="S96" s="41"/>
      <c r="T96" s="41"/>
      <c r="U96" s="41">
        <f>Q96+P96+O96+N96+M96+L96+K96+J96+I96</f>
        <v>941.7</v>
      </c>
    </row>
    <row r="97" spans="1:23" ht="29.25" hidden="1" customHeight="1">
      <c r="A97" s="157" t="s">
        <v>143</v>
      </c>
      <c r="B97" s="162" t="s">
        <v>242</v>
      </c>
      <c r="C97" s="163"/>
      <c r="D97" s="13"/>
      <c r="E97" s="5"/>
      <c r="F97" s="4"/>
      <c r="G97" s="5"/>
      <c r="H97" s="28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</row>
    <row r="98" spans="1:23" ht="25.5" customHeight="1">
      <c r="A98" s="136" t="s">
        <v>200</v>
      </c>
      <c r="B98" s="134" t="s">
        <v>119</v>
      </c>
      <c r="C98" s="132" t="s">
        <v>36</v>
      </c>
      <c r="D98" s="13"/>
      <c r="E98" s="5"/>
      <c r="F98" s="4">
        <v>2</v>
      </c>
      <c r="G98" s="5">
        <v>83.36</v>
      </c>
      <c r="H98" s="28">
        <f t="shared" si="41"/>
        <v>0.16672000000000001</v>
      </c>
      <c r="I98" s="41">
        <f>G98</f>
        <v>83.36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f>G98</f>
        <v>83.36</v>
      </c>
      <c r="Q98" s="41">
        <v>0</v>
      </c>
      <c r="R98" s="41">
        <v>0</v>
      </c>
      <c r="S98" s="41">
        <v>0</v>
      </c>
      <c r="T98" s="41">
        <v>0</v>
      </c>
      <c r="U98" s="41">
        <f t="shared" si="42"/>
        <v>166.72</v>
      </c>
    </row>
    <row r="99" spans="1:23" ht="12.75" customHeight="1">
      <c r="A99" s="155" t="s">
        <v>134</v>
      </c>
      <c r="B99" s="156" t="s">
        <v>135</v>
      </c>
      <c r="C99" s="132" t="s">
        <v>36</v>
      </c>
      <c r="D99" s="13"/>
      <c r="E99" s="5"/>
      <c r="F99" s="4">
        <f>11.5+3</f>
        <v>14.5</v>
      </c>
      <c r="G99" s="5">
        <v>1582</v>
      </c>
      <c r="H99" s="28">
        <f t="shared" si="41"/>
        <v>22.939</v>
      </c>
      <c r="I99" s="41">
        <f>G99</f>
        <v>1582</v>
      </c>
      <c r="J99" s="41">
        <f>G99</f>
        <v>1582</v>
      </c>
      <c r="K99" s="41">
        <f>G99*(1+1.5)</f>
        <v>3955</v>
      </c>
      <c r="L99" s="41">
        <f>G99*(2+1+0.5)</f>
        <v>5537</v>
      </c>
      <c r="M99" s="41">
        <v>0</v>
      </c>
      <c r="N99" s="41">
        <v>0</v>
      </c>
      <c r="O99" s="41">
        <v>0</v>
      </c>
      <c r="P99" s="41">
        <f>G99*5</f>
        <v>7910</v>
      </c>
      <c r="Q99" s="41">
        <f>G99*1.5</f>
        <v>2373</v>
      </c>
      <c r="R99" s="41">
        <v>0</v>
      </c>
      <c r="S99" s="41">
        <v>0</v>
      </c>
      <c r="T99" s="41">
        <v>0</v>
      </c>
      <c r="U99" s="41">
        <f t="shared" si="42"/>
        <v>22939</v>
      </c>
    </row>
    <row r="100" spans="1:23" ht="12.75" customHeight="1">
      <c r="A100" s="157" t="s">
        <v>215</v>
      </c>
      <c r="B100" s="158" t="s">
        <v>214</v>
      </c>
      <c r="C100" s="159" t="s">
        <v>67</v>
      </c>
      <c r="D100" s="13"/>
      <c r="E100" s="5"/>
      <c r="F100" s="4">
        <v>2</v>
      </c>
      <c r="G100" s="5">
        <v>126.82</v>
      </c>
      <c r="H100" s="28">
        <f t="shared" si="41"/>
        <v>0.25363999999999998</v>
      </c>
      <c r="I100" s="41">
        <v>0</v>
      </c>
      <c r="J100" s="41">
        <f>G100*2</f>
        <v>253.64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f t="shared" si="42"/>
        <v>253.64</v>
      </c>
    </row>
    <row r="101" spans="1:23" ht="25.5" customHeight="1">
      <c r="A101" s="133" t="s">
        <v>216</v>
      </c>
      <c r="B101" s="134" t="s">
        <v>217</v>
      </c>
      <c r="C101" s="133" t="s">
        <v>153</v>
      </c>
      <c r="D101" s="13"/>
      <c r="E101" s="5"/>
      <c r="F101" s="4">
        <v>20.2</v>
      </c>
      <c r="G101" s="5">
        <v>1183.51</v>
      </c>
      <c r="H101" s="28">
        <f t="shared" si="41"/>
        <v>23.906901999999999</v>
      </c>
      <c r="I101" s="41">
        <v>0</v>
      </c>
      <c r="J101" s="41">
        <v>0</v>
      </c>
      <c r="K101" s="41">
        <f>G101*0.2</f>
        <v>236.702</v>
      </c>
      <c r="L101" s="41">
        <f>G101*6</f>
        <v>7101.0599999999995</v>
      </c>
      <c r="M101" s="41">
        <v>0</v>
      </c>
      <c r="N101" s="41">
        <v>0</v>
      </c>
      <c r="O101" s="41">
        <f>G101*14</f>
        <v>16569.14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f t="shared" si="42"/>
        <v>23906.901999999998</v>
      </c>
    </row>
    <row r="102" spans="1:23" ht="25.5" customHeight="1">
      <c r="A102" s="133" t="s">
        <v>196</v>
      </c>
      <c r="B102" s="134" t="s">
        <v>144</v>
      </c>
      <c r="C102" s="133" t="s">
        <v>67</v>
      </c>
      <c r="D102" s="13"/>
      <c r="E102" s="5"/>
      <c r="F102" s="4">
        <v>7</v>
      </c>
      <c r="G102" s="5">
        <v>189.88</v>
      </c>
      <c r="H102" s="28">
        <f>G102*F102/1000</f>
        <v>1.3291599999999999</v>
      </c>
      <c r="I102" s="41">
        <v>0</v>
      </c>
      <c r="J102" s="41">
        <v>0</v>
      </c>
      <c r="K102" s="41">
        <f>G102</f>
        <v>189.88</v>
      </c>
      <c r="L102" s="41">
        <f>G102</f>
        <v>189.88</v>
      </c>
      <c r="M102" s="41">
        <v>0</v>
      </c>
      <c r="N102" s="41">
        <v>0</v>
      </c>
      <c r="O102" s="41">
        <v>0</v>
      </c>
      <c r="P102" s="41">
        <v>0</v>
      </c>
      <c r="Q102" s="41">
        <f>G102*5</f>
        <v>949.4</v>
      </c>
      <c r="R102" s="41">
        <v>0</v>
      </c>
      <c r="S102" s="41">
        <v>0</v>
      </c>
      <c r="T102" s="41">
        <v>0</v>
      </c>
      <c r="U102" s="41">
        <f>SUM(I102:Q102)</f>
        <v>1329.1599999999999</v>
      </c>
    </row>
    <row r="103" spans="1:23" ht="38.25">
      <c r="A103" s="133" t="s">
        <v>218</v>
      </c>
      <c r="B103" s="134" t="s">
        <v>219</v>
      </c>
      <c r="C103" s="133" t="s">
        <v>220</v>
      </c>
      <c r="D103" s="30"/>
      <c r="E103" s="56"/>
      <c r="F103" s="56">
        <v>4</v>
      </c>
      <c r="G103" s="56">
        <v>54.17</v>
      </c>
      <c r="H103" s="56">
        <f t="shared" si="41"/>
        <v>0.21668000000000001</v>
      </c>
      <c r="I103" s="41">
        <v>0</v>
      </c>
      <c r="J103" s="41">
        <v>0</v>
      </c>
      <c r="K103" s="41">
        <f>G103</f>
        <v>54.17</v>
      </c>
      <c r="L103" s="41">
        <v>0</v>
      </c>
      <c r="M103" s="41">
        <v>0</v>
      </c>
      <c r="N103" s="41">
        <f>G103</f>
        <v>54.17</v>
      </c>
      <c r="O103" s="41">
        <f>G103*2</f>
        <v>108.34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f t="shared" si="42"/>
        <v>216.68</v>
      </c>
      <c r="V103" s="160"/>
      <c r="W103" s="160"/>
    </row>
    <row r="104" spans="1:23" ht="12.75" customHeight="1">
      <c r="A104" s="159" t="s">
        <v>225</v>
      </c>
      <c r="B104" s="162" t="s">
        <v>224</v>
      </c>
      <c r="C104" s="163" t="s">
        <v>223</v>
      </c>
      <c r="D104" s="30"/>
      <c r="E104" s="56"/>
      <c r="F104" s="56">
        <v>1</v>
      </c>
      <c r="G104" s="56">
        <v>7245.64</v>
      </c>
      <c r="H104" s="71">
        <f t="shared" si="41"/>
        <v>7.2456400000000007</v>
      </c>
      <c r="I104" s="41">
        <v>0</v>
      </c>
      <c r="J104" s="41">
        <v>0</v>
      </c>
      <c r="K104" s="41">
        <f>G104</f>
        <v>7245.64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f t="shared" si="42"/>
        <v>7245.64</v>
      </c>
      <c r="V104" s="160"/>
      <c r="W104" s="160"/>
    </row>
    <row r="105" spans="1:23" ht="29.25" customHeight="1">
      <c r="A105" s="159" t="s">
        <v>231</v>
      </c>
      <c r="B105" s="162" t="s">
        <v>229</v>
      </c>
      <c r="C105" s="163" t="s">
        <v>230</v>
      </c>
      <c r="D105" s="30"/>
      <c r="E105" s="56"/>
      <c r="F105" s="56">
        <v>1</v>
      </c>
      <c r="G105" s="56">
        <v>88.14</v>
      </c>
      <c r="H105" s="71">
        <f t="shared" si="41"/>
        <v>8.8139999999999996E-2</v>
      </c>
      <c r="I105" s="41">
        <v>0</v>
      </c>
      <c r="J105" s="41">
        <v>0</v>
      </c>
      <c r="K105" s="41">
        <f>G105</f>
        <v>88.14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41">
        <f t="shared" si="42"/>
        <v>88.14</v>
      </c>
      <c r="V105" s="160"/>
      <c r="W105" s="160"/>
    </row>
    <row r="106" spans="1:23" ht="25.5" customHeight="1">
      <c r="A106" s="133" t="s">
        <v>183</v>
      </c>
      <c r="B106" s="134" t="s">
        <v>155</v>
      </c>
      <c r="C106" s="133" t="s">
        <v>62</v>
      </c>
      <c r="D106" s="30"/>
      <c r="E106" s="56"/>
      <c r="F106" s="56">
        <v>0.02</v>
      </c>
      <c r="G106" s="56">
        <v>3581.13</v>
      </c>
      <c r="H106" s="71">
        <f>G106*F106/1000</f>
        <v>7.1622600000000008E-2</v>
      </c>
      <c r="I106" s="41">
        <v>0</v>
      </c>
      <c r="J106" s="41">
        <v>0</v>
      </c>
      <c r="K106" s="41">
        <f>G106*0.01</f>
        <v>35.811300000000003</v>
      </c>
      <c r="L106" s="41">
        <v>0</v>
      </c>
      <c r="M106" s="41">
        <v>0</v>
      </c>
      <c r="N106" s="41">
        <v>0</v>
      </c>
      <c r="O106" s="41">
        <v>0</v>
      </c>
      <c r="P106" s="41">
        <v>0</v>
      </c>
      <c r="Q106" s="41">
        <f>G106*0.01</f>
        <v>35.811300000000003</v>
      </c>
      <c r="R106" s="41">
        <v>0</v>
      </c>
      <c r="S106" s="41">
        <v>0</v>
      </c>
      <c r="T106" s="41">
        <v>0</v>
      </c>
      <c r="U106" s="41">
        <f t="shared" si="42"/>
        <v>71.622600000000006</v>
      </c>
    </row>
    <row r="107" spans="1:23">
      <c r="A107" s="136"/>
      <c r="B107" s="137" t="s">
        <v>226</v>
      </c>
      <c r="C107" s="132" t="s">
        <v>67</v>
      </c>
      <c r="D107" s="150"/>
      <c r="E107" s="149"/>
      <c r="F107" s="149">
        <v>1.5</v>
      </c>
      <c r="G107" s="149">
        <v>470</v>
      </c>
      <c r="H107" s="71">
        <f t="shared" si="41"/>
        <v>0.70499999999999996</v>
      </c>
      <c r="I107" s="41">
        <v>0</v>
      </c>
      <c r="J107" s="41">
        <v>0</v>
      </c>
      <c r="K107" s="41">
        <v>0</v>
      </c>
      <c r="L107" s="41">
        <f>G107</f>
        <v>470</v>
      </c>
      <c r="M107" s="41">
        <v>0</v>
      </c>
      <c r="N107" s="41">
        <f>G107*0.5</f>
        <v>235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f t="shared" si="42"/>
        <v>705</v>
      </c>
    </row>
    <row r="108" spans="1:23" ht="25.5" customHeight="1">
      <c r="A108" s="161" t="s">
        <v>227</v>
      </c>
      <c r="B108" s="134" t="s">
        <v>228</v>
      </c>
      <c r="C108" s="133" t="s">
        <v>223</v>
      </c>
      <c r="D108" s="30"/>
      <c r="E108" s="56"/>
      <c r="F108" s="56">
        <v>1</v>
      </c>
      <c r="G108" s="56">
        <v>589.84</v>
      </c>
      <c r="H108" s="151">
        <f t="shared" si="41"/>
        <v>0.58984000000000003</v>
      </c>
      <c r="I108" s="41">
        <v>0</v>
      </c>
      <c r="J108" s="41">
        <v>0</v>
      </c>
      <c r="K108" s="41">
        <v>0</v>
      </c>
      <c r="L108" s="41">
        <f>G108</f>
        <v>589.84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f t="shared" si="42"/>
        <v>589.84</v>
      </c>
    </row>
    <row r="109" spans="1:23" ht="12.75" customHeight="1">
      <c r="A109" s="136" t="s">
        <v>202</v>
      </c>
      <c r="B109" s="164" t="s">
        <v>203</v>
      </c>
      <c r="C109" s="161" t="s">
        <v>204</v>
      </c>
      <c r="D109" s="13"/>
      <c r="E109" s="5"/>
      <c r="F109" s="4">
        <v>1</v>
      </c>
      <c r="G109" s="5">
        <v>195.85</v>
      </c>
      <c r="H109" s="151">
        <f t="shared" si="41"/>
        <v>0.19585</v>
      </c>
      <c r="I109" s="41">
        <v>0</v>
      </c>
      <c r="J109" s="41">
        <v>0</v>
      </c>
      <c r="K109" s="41">
        <v>0</v>
      </c>
      <c r="L109" s="41">
        <v>0</v>
      </c>
      <c r="M109" s="41">
        <f>G109</f>
        <v>195.85</v>
      </c>
      <c r="N109" s="41">
        <v>0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41">
        <f t="shared" si="42"/>
        <v>195.85</v>
      </c>
    </row>
    <row r="110" spans="1:23" ht="12.75" customHeight="1">
      <c r="A110" s="136" t="s">
        <v>143</v>
      </c>
      <c r="B110" s="164" t="s">
        <v>242</v>
      </c>
      <c r="C110" s="161" t="s">
        <v>243</v>
      </c>
      <c r="D110" s="13"/>
      <c r="E110" s="5"/>
      <c r="F110" s="4">
        <v>2</v>
      </c>
      <c r="G110" s="5">
        <v>19499</v>
      </c>
      <c r="H110" s="151">
        <f t="shared" si="41"/>
        <v>38.997999999999998</v>
      </c>
      <c r="I110" s="41">
        <v>0</v>
      </c>
      <c r="J110" s="41">
        <v>0</v>
      </c>
      <c r="K110" s="41">
        <v>0</v>
      </c>
      <c r="L110" s="41">
        <v>0</v>
      </c>
      <c r="M110" s="41">
        <v>0</v>
      </c>
      <c r="N110" s="41">
        <f>G110</f>
        <v>19499</v>
      </c>
      <c r="O110" s="41">
        <v>0</v>
      </c>
      <c r="P110" s="41">
        <f>G110*1</f>
        <v>19499</v>
      </c>
      <c r="Q110" s="41">
        <v>0</v>
      </c>
      <c r="R110" s="41"/>
      <c r="S110" s="41"/>
      <c r="T110" s="41"/>
      <c r="U110" s="41">
        <f t="shared" si="42"/>
        <v>38998</v>
      </c>
    </row>
    <row r="111" spans="1:23" ht="25.5" customHeight="1">
      <c r="A111" s="133" t="s">
        <v>233</v>
      </c>
      <c r="B111" s="134" t="s">
        <v>234</v>
      </c>
      <c r="C111" s="133" t="s">
        <v>223</v>
      </c>
      <c r="D111" s="13"/>
      <c r="E111" s="5"/>
      <c r="F111" s="4">
        <v>1</v>
      </c>
      <c r="G111" s="5">
        <v>520.51</v>
      </c>
      <c r="H111" s="151">
        <f t="shared" si="41"/>
        <v>0.52051000000000003</v>
      </c>
      <c r="I111" s="41">
        <v>0</v>
      </c>
      <c r="J111" s="41">
        <v>0</v>
      </c>
      <c r="K111" s="41">
        <v>0</v>
      </c>
      <c r="L111" s="41">
        <v>0</v>
      </c>
      <c r="M111" s="41">
        <v>0</v>
      </c>
      <c r="N111" s="41">
        <v>0</v>
      </c>
      <c r="O111" s="41">
        <f>G111</f>
        <v>520.51</v>
      </c>
      <c r="P111" s="41">
        <v>0</v>
      </c>
      <c r="Q111" s="41">
        <v>0</v>
      </c>
      <c r="R111" s="41">
        <v>0</v>
      </c>
      <c r="S111" s="41">
        <v>0</v>
      </c>
      <c r="T111" s="41">
        <v>0</v>
      </c>
      <c r="U111" s="41">
        <f t="shared" si="42"/>
        <v>520.51</v>
      </c>
    </row>
    <row r="112" spans="1:23" ht="25.5" customHeight="1">
      <c r="A112" s="133" t="s">
        <v>236</v>
      </c>
      <c r="B112" s="134" t="s">
        <v>235</v>
      </c>
      <c r="C112" s="133" t="s">
        <v>232</v>
      </c>
      <c r="D112" s="13"/>
      <c r="E112" s="5"/>
      <c r="F112" s="4">
        <v>2</v>
      </c>
      <c r="G112" s="5">
        <v>206.54</v>
      </c>
      <c r="H112" s="151">
        <f t="shared" si="41"/>
        <v>0.41308</v>
      </c>
      <c r="I112" s="41">
        <v>0</v>
      </c>
      <c r="J112" s="41">
        <v>0</v>
      </c>
      <c r="K112" s="41">
        <v>0</v>
      </c>
      <c r="L112" s="41">
        <v>0</v>
      </c>
      <c r="M112" s="41">
        <v>0</v>
      </c>
      <c r="N112" s="41">
        <v>0</v>
      </c>
      <c r="O112" s="41">
        <v>0</v>
      </c>
      <c r="P112" s="41">
        <f>G112*2</f>
        <v>413.08</v>
      </c>
      <c r="Q112" s="41">
        <v>0</v>
      </c>
      <c r="R112" s="41">
        <v>0</v>
      </c>
      <c r="S112" s="41">
        <v>0</v>
      </c>
      <c r="T112" s="41">
        <v>0</v>
      </c>
      <c r="U112" s="41">
        <f t="shared" si="42"/>
        <v>413.08</v>
      </c>
    </row>
    <row r="113" spans="1:21" ht="25.5" customHeight="1">
      <c r="A113" s="133" t="s">
        <v>143</v>
      </c>
      <c r="B113" s="134" t="s">
        <v>199</v>
      </c>
      <c r="C113" s="133" t="s">
        <v>153</v>
      </c>
      <c r="D113" s="30"/>
      <c r="E113" s="56"/>
      <c r="F113" s="56">
        <v>1</v>
      </c>
      <c r="G113" s="56">
        <v>1146</v>
      </c>
      <c r="H113" s="151">
        <f t="shared" si="41"/>
        <v>1.1459999999999999</v>
      </c>
      <c r="I113" s="41">
        <v>0</v>
      </c>
      <c r="J113" s="41">
        <v>0</v>
      </c>
      <c r="K113" s="41">
        <v>0</v>
      </c>
      <c r="L113" s="41">
        <v>0</v>
      </c>
      <c r="M113" s="41">
        <v>0</v>
      </c>
      <c r="N113" s="41">
        <v>0</v>
      </c>
      <c r="O113" s="41">
        <v>0</v>
      </c>
      <c r="P113" s="41">
        <f>G113</f>
        <v>1146</v>
      </c>
      <c r="Q113" s="41">
        <v>0</v>
      </c>
      <c r="R113" s="41">
        <v>0</v>
      </c>
      <c r="S113" s="41">
        <v>0</v>
      </c>
      <c r="T113" s="41">
        <v>0</v>
      </c>
      <c r="U113" s="41">
        <f t="shared" si="42"/>
        <v>1146</v>
      </c>
    </row>
    <row r="114" spans="1:21" ht="29.25" customHeight="1">
      <c r="A114" s="163" t="s">
        <v>182</v>
      </c>
      <c r="B114" s="162" t="s">
        <v>237</v>
      </c>
      <c r="C114" s="163" t="s">
        <v>49</v>
      </c>
      <c r="D114" s="30"/>
      <c r="E114" s="56"/>
      <c r="F114" s="165">
        <v>1E-3</v>
      </c>
      <c r="G114" s="56">
        <v>1591.6</v>
      </c>
      <c r="H114" s="151">
        <f t="shared" si="41"/>
        <v>1.5915999999999999E-3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v>0</v>
      </c>
      <c r="P114" s="41">
        <f>G114*0.001</f>
        <v>1.5915999999999999</v>
      </c>
      <c r="Q114" s="41">
        <v>0</v>
      </c>
      <c r="R114" s="41">
        <v>0</v>
      </c>
      <c r="S114" s="41">
        <v>0</v>
      </c>
      <c r="T114" s="41">
        <v>0</v>
      </c>
      <c r="U114" s="41">
        <f t="shared" si="42"/>
        <v>1.5915999999999999</v>
      </c>
    </row>
    <row r="115" spans="1:21" ht="12.75" customHeight="1">
      <c r="A115" s="136" t="s">
        <v>197</v>
      </c>
      <c r="B115" s="137" t="s">
        <v>156</v>
      </c>
      <c r="C115" s="132" t="s">
        <v>67</v>
      </c>
      <c r="D115" s="30"/>
      <c r="E115" s="56"/>
      <c r="F115" s="56">
        <v>2</v>
      </c>
      <c r="G115" s="56">
        <v>185.08</v>
      </c>
      <c r="H115" s="151">
        <f t="shared" si="41"/>
        <v>0.37016000000000004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f>G115</f>
        <v>185.08</v>
      </c>
      <c r="Q115" s="41">
        <f>G115</f>
        <v>185.08</v>
      </c>
      <c r="R115" s="41">
        <v>0</v>
      </c>
      <c r="S115" s="41">
        <v>0</v>
      </c>
      <c r="T115" s="41">
        <v>0</v>
      </c>
      <c r="U115" s="41">
        <f t="shared" si="42"/>
        <v>370.16</v>
      </c>
    </row>
    <row r="116" spans="1:21" ht="25.5" customHeight="1">
      <c r="A116" s="163" t="s">
        <v>238</v>
      </c>
      <c r="B116" s="162" t="s">
        <v>239</v>
      </c>
      <c r="C116" s="163" t="s">
        <v>104</v>
      </c>
      <c r="D116" s="12"/>
      <c r="E116" s="5"/>
      <c r="F116" s="56">
        <f>(3)/10</f>
        <v>0.3</v>
      </c>
      <c r="G116" s="56">
        <v>5945.91</v>
      </c>
      <c r="H116" s="151">
        <f t="shared" si="41"/>
        <v>1.7837729999999998</v>
      </c>
      <c r="I116" s="166">
        <v>0</v>
      </c>
      <c r="J116" s="166">
        <v>0</v>
      </c>
      <c r="K116" s="166">
        <v>0</v>
      </c>
      <c r="L116" s="166">
        <v>0</v>
      </c>
      <c r="M116" s="166">
        <v>0</v>
      </c>
      <c r="N116" s="166">
        <v>0</v>
      </c>
      <c r="O116" s="166">
        <v>0</v>
      </c>
      <c r="P116" s="166">
        <v>0</v>
      </c>
      <c r="Q116" s="41">
        <f>G116*(3/10)</f>
        <v>1783.7729999999999</v>
      </c>
      <c r="R116" s="41">
        <v>0</v>
      </c>
      <c r="S116" s="41">
        <v>0</v>
      </c>
      <c r="T116" s="41">
        <v>0</v>
      </c>
      <c r="U116" s="41">
        <f t="shared" si="42"/>
        <v>1783.7729999999999</v>
      </c>
    </row>
    <row r="117" spans="1:21" s="23" customFormat="1">
      <c r="A117" s="101"/>
      <c r="B117" s="102" t="s">
        <v>105</v>
      </c>
      <c r="C117" s="101"/>
      <c r="D117" s="101"/>
      <c r="E117" s="97"/>
      <c r="F117" s="97"/>
      <c r="G117" s="97"/>
      <c r="H117" s="48">
        <f>SUM(H88:H116)</f>
        <v>471.73727059999999</v>
      </c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47">
        <f>SUM(U88:U116)</f>
        <v>471737.27059999999</v>
      </c>
    </row>
    <row r="118" spans="1:21">
      <c r="A118" s="103"/>
      <c r="B118" s="104"/>
      <c r="C118" s="103"/>
      <c r="D118" s="103"/>
      <c r="E118" s="56"/>
      <c r="F118" s="56"/>
      <c r="G118" s="56"/>
      <c r="H118" s="105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129"/>
    </row>
    <row r="119" spans="1:21" ht="12" customHeight="1">
      <c r="A119" s="31"/>
      <c r="B119" s="22" t="s">
        <v>106</v>
      </c>
      <c r="C119" s="29"/>
      <c r="D119" s="30"/>
      <c r="E119" s="56"/>
      <c r="F119" s="56"/>
      <c r="G119" s="56"/>
      <c r="H119" s="106">
        <f>H117/E120/12*1000</f>
        <v>13.940226672576832</v>
      </c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129"/>
    </row>
    <row r="120" spans="1:21" s="23" customFormat="1">
      <c r="A120" s="107"/>
      <c r="B120" s="108" t="s">
        <v>107</v>
      </c>
      <c r="C120" s="109"/>
      <c r="D120" s="108"/>
      <c r="E120" s="148">
        <v>2820</v>
      </c>
      <c r="F120" s="110">
        <f>SUM(E120*12)</f>
        <v>33840</v>
      </c>
      <c r="G120" s="111">
        <f>H86+H119</f>
        <v>33.966162009196225</v>
      </c>
      <c r="H120" s="112">
        <f>SUM(F120*G120/1000)</f>
        <v>1149.4149223912002</v>
      </c>
      <c r="I120" s="97">
        <f>SUM(I11:I119)</f>
        <v>64780.727228500007</v>
      </c>
      <c r="J120" s="97">
        <f>SUM(J11:J119)</f>
        <v>51935.059418500008</v>
      </c>
      <c r="K120" s="97">
        <f t="shared" ref="K120:R120" si="43">SUM(K11:K119)</f>
        <v>79170.88868850001</v>
      </c>
      <c r="L120" s="97">
        <f t="shared" si="43"/>
        <v>78245.741578500019</v>
      </c>
      <c r="M120" s="97">
        <f t="shared" si="43"/>
        <v>163564.23630136668</v>
      </c>
      <c r="N120" s="97">
        <f t="shared" si="43"/>
        <v>70787.394788666657</v>
      </c>
      <c r="O120" s="97">
        <f t="shared" si="43"/>
        <v>51390.102598666657</v>
      </c>
      <c r="P120" s="97">
        <f t="shared" si="43"/>
        <v>362377.73278866668</v>
      </c>
      <c r="Q120" s="97">
        <f t="shared" si="43"/>
        <v>65782.081764166665</v>
      </c>
      <c r="R120" s="97">
        <f t="shared" si="43"/>
        <v>35985.301828666663</v>
      </c>
      <c r="S120" s="97">
        <f>SUM(S11:S119)</f>
        <v>41104.199388500005</v>
      </c>
      <c r="T120" s="97">
        <f>SUM(T11:T119)</f>
        <v>42253.189418500006</v>
      </c>
      <c r="U120" s="47">
        <f>U84+U117</f>
        <v>988033.96515553328</v>
      </c>
    </row>
    <row r="121" spans="1:21">
      <c r="A121" s="114"/>
      <c r="B121" s="114"/>
      <c r="C121" s="114"/>
      <c r="D121" s="114"/>
      <c r="E121" s="113"/>
      <c r="F121" s="113"/>
      <c r="G121" s="113"/>
      <c r="H121" s="113"/>
      <c r="I121" s="113"/>
      <c r="J121" s="113"/>
      <c r="K121" s="113"/>
      <c r="L121" s="113"/>
      <c r="M121" s="114"/>
      <c r="N121" s="113"/>
      <c r="O121" s="114"/>
      <c r="P121" s="114"/>
      <c r="Q121" s="114"/>
      <c r="R121" s="114"/>
      <c r="S121" s="114"/>
      <c r="T121" s="114"/>
      <c r="U121" s="114"/>
    </row>
    <row r="122" spans="1:21">
      <c r="A122" s="114"/>
      <c r="B122" s="114"/>
      <c r="C122" s="114"/>
      <c r="D122" s="114"/>
      <c r="E122" s="113"/>
      <c r="F122" s="113"/>
      <c r="G122" s="113"/>
      <c r="H122" s="113"/>
      <c r="I122" s="113"/>
      <c r="J122" s="115"/>
      <c r="K122" s="116"/>
      <c r="L122" s="115"/>
      <c r="M122" s="113"/>
      <c r="N122" s="114"/>
      <c r="O122" s="114"/>
      <c r="P122" s="114"/>
      <c r="Q122" s="114"/>
      <c r="R122" s="114"/>
      <c r="S122" s="114"/>
      <c r="T122" s="114"/>
      <c r="U122" s="114"/>
    </row>
    <row r="123" spans="1:21" ht="45">
      <c r="A123" s="114"/>
      <c r="B123" s="121" t="s">
        <v>201</v>
      </c>
      <c r="C123" s="170">
        <v>325012.15999999997</v>
      </c>
      <c r="D123" s="171"/>
      <c r="E123" s="171"/>
      <c r="F123" s="172"/>
      <c r="G123" s="113"/>
      <c r="H123" s="113"/>
      <c r="I123" s="113"/>
      <c r="J123" s="115"/>
      <c r="K123" s="116"/>
      <c r="L123" s="115"/>
      <c r="M123" s="113"/>
      <c r="N123" s="114"/>
      <c r="O123" s="114"/>
      <c r="P123" s="114"/>
      <c r="Q123" s="114"/>
      <c r="R123" s="114"/>
      <c r="S123" s="114"/>
      <c r="T123" s="114"/>
      <c r="U123" s="114"/>
    </row>
    <row r="124" spans="1:21" ht="30">
      <c r="A124" s="114"/>
      <c r="B124" s="121" t="s">
        <v>245</v>
      </c>
      <c r="C124" s="176">
        <f>(58143.96*2)+(58143.02*3)+(58144.38*2)+(58144.24*2)</f>
        <v>523294.22</v>
      </c>
      <c r="D124" s="174"/>
      <c r="E124" s="174"/>
      <c r="F124" s="175"/>
      <c r="G124" s="113"/>
      <c r="H124" s="113"/>
      <c r="I124" s="113"/>
      <c r="J124" s="115"/>
      <c r="K124" s="116"/>
      <c r="L124" s="115"/>
      <c r="M124" s="113"/>
      <c r="N124" s="114"/>
      <c r="O124" s="114"/>
      <c r="P124" s="114"/>
      <c r="Q124" s="114"/>
      <c r="R124" s="114"/>
      <c r="S124" s="114"/>
      <c r="T124" s="114"/>
      <c r="U124" s="114"/>
    </row>
    <row r="125" spans="1:21" ht="30">
      <c r="A125" s="114"/>
      <c r="B125" s="121" t="s">
        <v>246</v>
      </c>
      <c r="C125" s="170">
        <f>SUM(U120-U117)</f>
        <v>516296.69455553329</v>
      </c>
      <c r="D125" s="171"/>
      <c r="E125" s="171"/>
      <c r="F125" s="172"/>
      <c r="G125" s="113"/>
      <c r="H125" s="113"/>
      <c r="I125" s="113"/>
      <c r="J125" s="115"/>
      <c r="K125" s="116"/>
      <c r="L125" s="115"/>
      <c r="M125" s="113"/>
      <c r="N125" s="114"/>
      <c r="O125" s="114"/>
      <c r="P125" s="114"/>
      <c r="Q125" s="114"/>
      <c r="R125" s="114"/>
      <c r="S125" s="114"/>
      <c r="T125" s="114"/>
      <c r="U125" s="114"/>
    </row>
    <row r="126" spans="1:21" ht="30">
      <c r="A126" s="114"/>
      <c r="B126" s="121" t="s">
        <v>247</v>
      </c>
      <c r="C126" s="170">
        <f>SUM(U117)</f>
        <v>471737.27059999999</v>
      </c>
      <c r="D126" s="171"/>
      <c r="E126" s="171"/>
      <c r="F126" s="172"/>
      <c r="G126" s="113"/>
      <c r="H126" s="113"/>
      <c r="I126" s="113"/>
      <c r="J126" s="115"/>
      <c r="K126" s="116"/>
      <c r="L126" s="115"/>
      <c r="M126" s="113"/>
      <c r="N126" s="114"/>
      <c r="O126" s="114"/>
      <c r="P126" s="114"/>
      <c r="Q126" s="114"/>
      <c r="R126" s="114"/>
      <c r="S126" s="114"/>
      <c r="T126" s="114"/>
      <c r="U126" s="114"/>
    </row>
    <row r="127" spans="1:21" ht="30" customHeight="1">
      <c r="A127" s="114"/>
      <c r="B127" s="122" t="s">
        <v>248</v>
      </c>
      <c r="C127" s="176">
        <f>57391.38+39302.32+57574.99+42405.44+60359.58+47518.21+65386.34+45799.62+57874.95</f>
        <v>473612.83</v>
      </c>
      <c r="D127" s="174"/>
      <c r="E127" s="174"/>
      <c r="F127" s="175"/>
      <c r="G127" s="114"/>
      <c r="I127" s="117" t="s">
        <v>120</v>
      </c>
      <c r="J127" s="118"/>
      <c r="K127" s="119"/>
      <c r="L127" s="120"/>
      <c r="M127" s="117"/>
      <c r="N127" s="117"/>
      <c r="O127" s="114"/>
      <c r="P127" s="114"/>
      <c r="Q127" s="114"/>
      <c r="R127" s="114"/>
      <c r="S127" s="114"/>
      <c r="T127" s="114"/>
      <c r="U127" s="114"/>
    </row>
    <row r="128" spans="1:21" ht="78.75">
      <c r="A128" s="114"/>
      <c r="B128" s="135" t="s">
        <v>240</v>
      </c>
      <c r="C128" s="177">
        <v>254331.68</v>
      </c>
      <c r="D128" s="178"/>
      <c r="E128" s="178"/>
      <c r="F128" s="179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</row>
    <row r="129" spans="1:21" ht="45">
      <c r="A129" s="114"/>
      <c r="B129" s="121" t="s">
        <v>241</v>
      </c>
      <c r="C129" s="173">
        <f>SUM(U120-C124)+C123</f>
        <v>789751.90515553323</v>
      </c>
      <c r="D129" s="174"/>
      <c r="E129" s="174"/>
      <c r="F129" s="175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</row>
    <row r="131" spans="1:21">
      <c r="J131" s="7"/>
      <c r="K131" s="8"/>
      <c r="L131" s="8"/>
      <c r="M131" s="6"/>
    </row>
    <row r="132" spans="1:21">
      <c r="G132" s="9"/>
      <c r="H132" s="9"/>
    </row>
    <row r="133" spans="1:21">
      <c r="G133" s="10"/>
    </row>
  </sheetData>
  <mergeCells count="11">
    <mergeCell ref="C129:F129"/>
    <mergeCell ref="C124:F124"/>
    <mergeCell ref="C125:F125"/>
    <mergeCell ref="C126:F126"/>
    <mergeCell ref="C127:F127"/>
    <mergeCell ref="C128:F128"/>
    <mergeCell ref="B3:L3"/>
    <mergeCell ref="B4:L4"/>
    <mergeCell ref="B5:L5"/>
    <mergeCell ref="B6:L6"/>
    <mergeCell ref="C123:F123"/>
  </mergeCells>
  <pageMargins left="0.51181102362204722" right="0.31496062992125984" top="0.15748031496062992" bottom="0.19685039370078741" header="0.15748031496062992" footer="0.15748031496062992"/>
  <pageSetup paperSize="9"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Сов.,14</vt:lpstr>
      <vt:lpstr>'Сов.,14'!Область_печати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2018-08-22T06:19:26Z</cp:lastPrinted>
  <dcterms:created xsi:type="dcterms:W3CDTF">2014-02-05T12:20:20Z</dcterms:created>
  <dcterms:modified xsi:type="dcterms:W3CDTF">2018-08-22T06:20:10Z</dcterms:modified>
</cp:coreProperties>
</file>