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Косм.,5" sheetId="1" r:id="rId1"/>
  </sheets>
  <definedNames>
    <definedName name="_xlnm.Print_Area" localSheetId="0">'Косм.,5'!$A$1:$U$122</definedName>
  </definedNames>
  <calcPr calcId="124519"/>
</workbook>
</file>

<file path=xl/calcChain.xml><?xml version="1.0" encoding="utf-8"?>
<calcChain xmlns="http://schemas.openxmlformats.org/spreadsheetml/2006/main">
  <c r="S107" i="1"/>
  <c r="H107"/>
  <c r="U106"/>
  <c r="U107"/>
  <c r="S106"/>
  <c r="H106"/>
  <c r="S96"/>
  <c r="R101"/>
  <c r="U101" s="1"/>
  <c r="U102"/>
  <c r="R102"/>
  <c r="H101"/>
  <c r="H102"/>
  <c r="S105"/>
  <c r="U105"/>
  <c r="H105"/>
  <c r="U104"/>
  <c r="S104"/>
  <c r="H104"/>
  <c r="R59" l="1"/>
  <c r="R99"/>
  <c r="F99"/>
  <c r="Q100"/>
  <c r="R100"/>
  <c r="H100"/>
  <c r="U100" l="1"/>
  <c r="S108"/>
  <c r="U108" s="1"/>
  <c r="H108"/>
  <c r="S109"/>
  <c r="U109" s="1"/>
  <c r="H109"/>
  <c r="C120"/>
  <c r="C117"/>
  <c r="U72"/>
  <c r="U69"/>
  <c r="U70"/>
  <c r="U68"/>
  <c r="U57"/>
  <c r="U28"/>
  <c r="U29"/>
  <c r="R103"/>
  <c r="U103" s="1"/>
  <c r="R97"/>
  <c r="F97"/>
  <c r="N97"/>
  <c r="U97" s="1"/>
  <c r="Q99"/>
  <c r="N96"/>
  <c r="U96" s="1"/>
  <c r="U110" s="1"/>
  <c r="H96"/>
  <c r="H110" s="1"/>
  <c r="P99"/>
  <c r="U99" s="1"/>
  <c r="P98" l="1"/>
  <c r="U98" s="1"/>
  <c r="P52"/>
  <c r="H97"/>
  <c r="L36"/>
  <c r="U36" s="1"/>
  <c r="M95" l="1"/>
  <c r="U95" s="1"/>
  <c r="F95"/>
  <c r="H95" s="1"/>
  <c r="M89"/>
  <c r="M94"/>
  <c r="U94" s="1"/>
  <c r="H94"/>
  <c r="L52"/>
  <c r="I52"/>
  <c r="L91"/>
  <c r="U91" s="1"/>
  <c r="U52" l="1"/>
  <c r="L92"/>
  <c r="U92" s="1"/>
  <c r="H92"/>
  <c r="G93"/>
  <c r="H93" s="1"/>
  <c r="L93" l="1"/>
  <c r="U93" s="1"/>
  <c r="H91" l="1"/>
  <c r="L90" l="1"/>
  <c r="L85"/>
  <c r="L88"/>
  <c r="K88"/>
  <c r="I87"/>
  <c r="U87" s="1"/>
  <c r="H87"/>
  <c r="J90" l="1"/>
  <c r="U90" s="1"/>
  <c r="J89"/>
  <c r="U89" s="1"/>
  <c r="J88"/>
  <c r="U88" s="1"/>
  <c r="J60"/>
  <c r="U60" s="1"/>
  <c r="J59"/>
  <c r="U59" s="1"/>
  <c r="I86"/>
  <c r="U86" s="1"/>
  <c r="H86"/>
  <c r="I85"/>
  <c r="U85" s="1"/>
  <c r="R74"/>
  <c r="U74" s="1"/>
  <c r="T40" l="1"/>
  <c r="S40"/>
  <c r="T33"/>
  <c r="S33"/>
  <c r="H89"/>
  <c r="Q66"/>
  <c r="U66" s="1"/>
  <c r="Q51"/>
  <c r="H103"/>
  <c r="F52"/>
  <c r="F26"/>
  <c r="Q26" s="1"/>
  <c r="H98"/>
  <c r="L40"/>
  <c r="L33"/>
  <c r="H90"/>
  <c r="K40"/>
  <c r="K33"/>
  <c r="H74"/>
  <c r="M26" l="1"/>
  <c r="P26"/>
  <c r="R26"/>
  <c r="N26"/>
  <c r="O26"/>
  <c r="H85"/>
  <c r="H88"/>
  <c r="K51"/>
  <c r="U51" s="1"/>
  <c r="J40"/>
  <c r="J33"/>
  <c r="I40"/>
  <c r="U40" s="1"/>
  <c r="I33"/>
  <c r="U33" s="1"/>
  <c r="U26" l="1"/>
  <c r="F47"/>
  <c r="F44"/>
  <c r="M44" s="1"/>
  <c r="F19"/>
  <c r="M19" s="1"/>
  <c r="U19" s="1"/>
  <c r="F16"/>
  <c r="M16" s="1"/>
  <c r="U16" s="1"/>
  <c r="F15"/>
  <c r="M15" s="1"/>
  <c r="U15" s="1"/>
  <c r="F38"/>
  <c r="F34"/>
  <c r="F35"/>
  <c r="H57"/>
  <c r="Q47" l="1"/>
  <c r="M47"/>
  <c r="U47" s="1"/>
  <c r="S35"/>
  <c r="T35"/>
  <c r="S34"/>
  <c r="T34"/>
  <c r="H19"/>
  <c r="S38"/>
  <c r="T38"/>
  <c r="Q44"/>
  <c r="U44" s="1"/>
  <c r="L34"/>
  <c r="K34"/>
  <c r="J34"/>
  <c r="I35"/>
  <c r="L35"/>
  <c r="K35"/>
  <c r="J35"/>
  <c r="I38"/>
  <c r="L38"/>
  <c r="K38"/>
  <c r="J38"/>
  <c r="H47"/>
  <c r="H34"/>
  <c r="I34"/>
  <c r="U34" s="1"/>
  <c r="H36"/>
  <c r="U38" l="1"/>
  <c r="U35"/>
  <c r="H35"/>
  <c r="H70"/>
  <c r="H69" l="1"/>
  <c r="F14" l="1"/>
  <c r="F17"/>
  <c r="M17" s="1"/>
  <c r="U17" s="1"/>
  <c r="F18"/>
  <c r="M18" s="1"/>
  <c r="U18" s="1"/>
  <c r="M14" l="1"/>
  <c r="U14" s="1"/>
  <c r="F113"/>
  <c r="H112"/>
  <c r="E77"/>
  <c r="H81" s="1"/>
  <c r="F75"/>
  <c r="H72"/>
  <c r="H68"/>
  <c r="H66"/>
  <c r="F65"/>
  <c r="F64"/>
  <c r="F63"/>
  <c r="F62"/>
  <c r="F61"/>
  <c r="H60"/>
  <c r="H59"/>
  <c r="F55"/>
  <c r="H52"/>
  <c r="H51"/>
  <c r="F50"/>
  <c r="Q50" s="1"/>
  <c r="F49"/>
  <c r="Q49" s="1"/>
  <c r="F48"/>
  <c r="F46"/>
  <c r="F45"/>
  <c r="H44"/>
  <c r="F43"/>
  <c r="H40"/>
  <c r="F39"/>
  <c r="H38"/>
  <c r="F37"/>
  <c r="H33"/>
  <c r="F30"/>
  <c r="H29"/>
  <c r="H28"/>
  <c r="F27"/>
  <c r="H26"/>
  <c r="F25"/>
  <c r="F24"/>
  <c r="F23"/>
  <c r="F20"/>
  <c r="M20" s="1"/>
  <c r="U20" s="1"/>
  <c r="H18"/>
  <c r="H17"/>
  <c r="H14"/>
  <c r="E13"/>
  <c r="F13" s="1"/>
  <c r="F12"/>
  <c r="F11"/>
  <c r="Q46" l="1"/>
  <c r="M46"/>
  <c r="Q43"/>
  <c r="M43"/>
  <c r="Q45"/>
  <c r="M45"/>
  <c r="S13"/>
  <c r="P13"/>
  <c r="N13"/>
  <c r="M13"/>
  <c r="T13"/>
  <c r="R13"/>
  <c r="Q13"/>
  <c r="O13"/>
  <c r="S12"/>
  <c r="Q12"/>
  <c r="O12"/>
  <c r="T12"/>
  <c r="R12"/>
  <c r="P12"/>
  <c r="N12"/>
  <c r="M12"/>
  <c r="H23"/>
  <c r="Q23"/>
  <c r="O23"/>
  <c r="R23"/>
  <c r="P23"/>
  <c r="N23"/>
  <c r="M23"/>
  <c r="H25"/>
  <c r="M25"/>
  <c r="U25" s="1"/>
  <c r="S27"/>
  <c r="R27"/>
  <c r="P27"/>
  <c r="N27"/>
  <c r="M27"/>
  <c r="T27"/>
  <c r="Q27"/>
  <c r="O27"/>
  <c r="T55"/>
  <c r="S55"/>
  <c r="H62"/>
  <c r="M62"/>
  <c r="U62" s="1"/>
  <c r="H64"/>
  <c r="M64"/>
  <c r="U64" s="1"/>
  <c r="S11"/>
  <c r="R11"/>
  <c r="P11"/>
  <c r="N11"/>
  <c r="M11"/>
  <c r="T11"/>
  <c r="Q11"/>
  <c r="O11"/>
  <c r="H20"/>
  <c r="H24"/>
  <c r="R24"/>
  <c r="P24"/>
  <c r="N24"/>
  <c r="M24"/>
  <c r="Q24"/>
  <c r="O24"/>
  <c r="S30"/>
  <c r="Q30"/>
  <c r="O30"/>
  <c r="T30"/>
  <c r="R30"/>
  <c r="P30"/>
  <c r="N30"/>
  <c r="M30"/>
  <c r="S37"/>
  <c r="T37"/>
  <c r="S39"/>
  <c r="T39"/>
  <c r="T48"/>
  <c r="M48"/>
  <c r="Q48"/>
  <c r="H61"/>
  <c r="M61"/>
  <c r="U61" s="1"/>
  <c r="H63"/>
  <c r="M63"/>
  <c r="U63" s="1"/>
  <c r="H65"/>
  <c r="M65"/>
  <c r="U65" s="1"/>
  <c r="T75"/>
  <c r="Q75"/>
  <c r="O75"/>
  <c r="M75"/>
  <c r="S75"/>
  <c r="R75"/>
  <c r="P75"/>
  <c r="N75"/>
  <c r="I11"/>
  <c r="L11"/>
  <c r="K11"/>
  <c r="J11"/>
  <c r="I12"/>
  <c r="L12"/>
  <c r="K12"/>
  <c r="J12"/>
  <c r="I27"/>
  <c r="L27"/>
  <c r="K27"/>
  <c r="J27"/>
  <c r="H46"/>
  <c r="H49"/>
  <c r="K49"/>
  <c r="U49" s="1"/>
  <c r="K55"/>
  <c r="L55"/>
  <c r="J55"/>
  <c r="I13"/>
  <c r="L13"/>
  <c r="K13"/>
  <c r="J13"/>
  <c r="L30"/>
  <c r="K30"/>
  <c r="J30"/>
  <c r="L37"/>
  <c r="K37"/>
  <c r="J37"/>
  <c r="L39"/>
  <c r="K39"/>
  <c r="J39"/>
  <c r="H43"/>
  <c r="H45"/>
  <c r="I48"/>
  <c r="J48"/>
  <c r="H50"/>
  <c r="K50"/>
  <c r="U50" s="1"/>
  <c r="I75"/>
  <c r="L75"/>
  <c r="K75"/>
  <c r="J75"/>
  <c r="H30"/>
  <c r="I30"/>
  <c r="U30" s="1"/>
  <c r="H37"/>
  <c r="I37"/>
  <c r="U37" s="1"/>
  <c r="H39"/>
  <c r="I39"/>
  <c r="U39" s="1"/>
  <c r="H55"/>
  <c r="I55"/>
  <c r="U55" s="1"/>
  <c r="H75"/>
  <c r="H76" s="1"/>
  <c r="H27"/>
  <c r="H48"/>
  <c r="H11"/>
  <c r="H12"/>
  <c r="H16"/>
  <c r="H13"/>
  <c r="H15"/>
  <c r="F77"/>
  <c r="H41"/>
  <c r="H73" l="1"/>
  <c r="U23"/>
  <c r="U13"/>
  <c r="U27"/>
  <c r="U12"/>
  <c r="U11"/>
  <c r="U24"/>
  <c r="H53"/>
  <c r="U75"/>
  <c r="U48"/>
  <c r="U45"/>
  <c r="U43"/>
  <c r="U46"/>
  <c r="H31"/>
  <c r="U73"/>
  <c r="T77"/>
  <c r="T113" s="1"/>
  <c r="R77"/>
  <c r="R113" s="1"/>
  <c r="P77"/>
  <c r="N77"/>
  <c r="N113" s="1"/>
  <c r="S77"/>
  <c r="S113" s="1"/>
  <c r="Q77"/>
  <c r="O77"/>
  <c r="O113" s="1"/>
  <c r="M77"/>
  <c r="Q113"/>
  <c r="M113"/>
  <c r="P113"/>
  <c r="I77"/>
  <c r="K77"/>
  <c r="K113" s="1"/>
  <c r="L77"/>
  <c r="J77"/>
  <c r="J113" s="1"/>
  <c r="U76"/>
  <c r="U31"/>
  <c r="L113"/>
  <c r="U41"/>
  <c r="H77"/>
  <c r="H78" s="1"/>
  <c r="C119"/>
  <c r="H21"/>
  <c r="U53" l="1"/>
  <c r="U77"/>
  <c r="U21"/>
  <c r="U78"/>
  <c r="I113"/>
  <c r="H79"/>
  <c r="H82" s="1"/>
  <c r="G113" s="1"/>
  <c r="H113" s="1"/>
  <c r="U79" l="1"/>
  <c r="U113" l="1"/>
  <c r="C118" l="1"/>
  <c r="C122"/>
</calcChain>
</file>

<file path=xl/sharedStrings.xml><?xml version="1.0" encoding="utf-8"?>
<sst xmlns="http://schemas.openxmlformats.org/spreadsheetml/2006/main" count="332" uniqueCount="246">
  <si>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</si>
  <si>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</si>
  <si>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</si>
  <si>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</si>
  <si>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</si>
  <si>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</si>
  <si>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</si>
  <si>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</si>
  <si>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</si>
  <si>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</si>
  <si>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</si>
  <si>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</si>
  <si>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</si>
  <si>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</si>
  <si>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</si>
  <si>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</si>
  <si>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</si>
  <si>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</si>
  <si>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</si>
  <si>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</si>
  <si>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</si>
  <si>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</si>
  <si>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</si>
  <si>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</si>
  <si>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</si>
  <si>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</si>
  <si>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</si>
  <si>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</si>
  <si>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</si>
  <si>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</si>
  <si>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</si>
  <si>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</si>
  <si>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</si>
  <si>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</si>
  <si>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</si>
  <si>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</si>
  <si>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</si>
  <si>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</si>
  <si>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</si>
  <si>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</si>
  <si>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</si>
  <si>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</si>
  <si>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</si>
  <si>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</si>
  <si>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</si>
  <si>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</si>
  <si>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</si>
  <si>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</si>
  <si>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</si>
  <si>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</si>
  <si>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</si>
  <si>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</si>
  <si>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</si>
  <si>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</si>
  <si>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</si>
  <si>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</si>
  <si>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</si>
  <si>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</si>
  <si>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</si>
  <si>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</si>
  <si>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</si>
  <si>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</si>
  <si>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</si>
  <si>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</si>
  <si>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</si>
  <si>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</si>
  <si>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</si>
  <si>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</si>
  <si>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</si>
  <si>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</si>
  <si>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</si>
  <si>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</si>
  <si>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</si>
  <si>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</si>
  <si>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</si>
  <si>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</si>
  <si>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</si>
  <si>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</si>
  <si>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</si>
  <si>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</si>
  <si>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</si>
  <si>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</si>
  <si>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</si>
  <si>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</si>
  <si>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</si>
  <si>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</si>
  <si>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</si>
  <si>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</si>
  <si>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</si>
  <si>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</si>
  <si>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</si>
  <si>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</si>
  <si>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</si>
  <si>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</si>
  <si>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</si>
  <si>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</si>
  <si>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</si>
  <si>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</si>
  <si>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</si>
  <si>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</si>
  <si>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</si>
  <si>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</si>
  <si>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</si>
  <si>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</si>
  <si>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</si>
  <si>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</si>
  <si>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</si>
  <si>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</si>
  <si>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</si>
  <si>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Очистка  от мусора</t>
  </si>
  <si>
    <t>Влажная протирка подоконников</t>
  </si>
  <si>
    <t>Осмотр деревянных конструкций стропил</t>
  </si>
  <si>
    <t>Осмотр шиферной кровли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</si>
  <si>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</si>
  <si>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</si>
  <si>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</si>
  <si>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</si>
  <si>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</si>
  <si>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</si>
  <si>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</si>
  <si>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</si>
  <si>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</si>
  <si>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</si>
  <si>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</si>
  <si>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</si>
  <si>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калькуляция</t>
  </si>
  <si>
    <t>Ремонт и регулировка доводчика (без стоимости доводчика)</t>
  </si>
  <si>
    <t>1шт.</t>
  </si>
  <si>
    <t>Ремонт и регулировка доводчика (со стоимостью доводчика)</t>
  </si>
  <si>
    <t>5 этажей, 4 подъезда</t>
  </si>
  <si>
    <t>Стоимость (руб.)</t>
  </si>
  <si>
    <t>договор</t>
  </si>
  <si>
    <t>ТО внутридомового газ.оборудования</t>
  </si>
  <si>
    <t>Подключение и отключение сварочного аппарата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</si>
  <si>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</si>
  <si>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</si>
  <si>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Выполне ние      май</t>
  </si>
  <si>
    <t>Внеплановый осмотр электросетей, арматуры и электрооборудования на лестничных клетках</t>
  </si>
  <si>
    <t>Баланс выполненных работ на 01.01.2016 г. ( -долг за предприятием, +долг за населением)</t>
  </si>
  <si>
    <t>место</t>
  </si>
  <si>
    <t>1 шт</t>
  </si>
  <si>
    <t>Устройство хомута</t>
  </si>
  <si>
    <t>Пристрожка полотна по кромкам</t>
  </si>
  <si>
    <t>1 полотно</t>
  </si>
  <si>
    <t xml:space="preserve"> - Уборка газонов</t>
  </si>
  <si>
    <t xml:space="preserve">Погрузка травы, ветвей </t>
  </si>
  <si>
    <t xml:space="preserve"> - Подметание территории с усовершенствованным покрытием асф.: крыльца, контейнерн пл., проезд, тротуар</t>
  </si>
  <si>
    <t>Очистка края кровли от слежавшегося снега со сбрасыванием сосулек (10% от S кровли и козырьки)</t>
  </si>
  <si>
    <t>1 м</t>
  </si>
  <si>
    <t>1 место</t>
  </si>
  <si>
    <t xml:space="preserve">Герметизация стыков трубопроводов    </t>
  </si>
  <si>
    <t>Смена полиэтиленовых канализационных труб 110×1000 мм + фитинги (I под.)</t>
  </si>
  <si>
    <t>Смена полиэтиленовых канализационных труб 110×2000 мм (I под.)</t>
  </si>
  <si>
    <t>Вывоз смета,травы,ветвей и т.п.- м/ч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</si>
  <si>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</si>
  <si>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</si>
  <si>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</si>
  <si>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</si>
  <si>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</si>
  <si>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100 м3</t>
  </si>
  <si>
    <t>Замена кран-буксы</t>
  </si>
  <si>
    <t>Ремонт поверхности кирпичных стен при глубине заделки в 1 кирпич площадью в одном месте до 1 м2</t>
  </si>
  <si>
    <t>100шт</t>
  </si>
  <si>
    <t>Внеплановый осмотр вводных электрических щитков</t>
  </si>
  <si>
    <t>С учетом показателя инфляции (К=1,094)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</si>
  <si>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</si>
  <si>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</si>
  <si>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</si>
  <si>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</si>
  <si>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</si>
  <si>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</si>
  <si>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</si>
  <si>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</si>
  <si>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</si>
  <si>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</si>
  <si>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</si>
  <si>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</si>
  <si>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</si>
  <si>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</si>
  <si>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</si>
  <si>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</si>
  <si>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</si>
  <si>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</si>
  <si>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</si>
  <si>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</si>
  <si>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</si>
  <si>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</si>
  <si>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</si>
  <si>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</si>
  <si>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</si>
  <si>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</si>
  <si>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</si>
  <si>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</si>
  <si>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</si>
  <si>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</si>
  <si>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</si>
  <si>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</si>
  <si>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</si>
  <si>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</si>
  <si>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</si>
  <si>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</si>
  <si>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</si>
  <si>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</si>
  <si>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</si>
  <si>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33-060</t>
  </si>
  <si>
    <t>ТЕР 20-1-134-2</t>
  </si>
  <si>
    <t>пр.ТЕР 32-098</t>
  </si>
  <si>
    <t>пр.ТЕР 32-083</t>
  </si>
  <si>
    <t>пр.ТЕР 2-2-1-2-17</t>
  </si>
  <si>
    <t>ТЕР 32-075</t>
  </si>
  <si>
    <t>пр.ТЕР 12-001</t>
  </si>
  <si>
    <t>ТЕР 2-2-1-2-7</t>
  </si>
  <si>
    <t>ТЕР 32-101</t>
  </si>
  <si>
    <t>Прочистка засоров ГВС, XВC</t>
  </si>
  <si>
    <t>3м</t>
  </si>
  <si>
    <t>ТЕР 31-009</t>
  </si>
  <si>
    <t xml:space="preserve">Смена сгонов у трубопроводов диаметром до 20 мм </t>
  </si>
  <si>
    <t>1 сгон</t>
  </si>
  <si>
    <t>Просроченная задолженность по Вашему дому по статье "Содержание и текущий ремонт МКД" на конец ноября 2016 г., составляет:</t>
  </si>
  <si>
    <t>Баланс выполненных работ на 01.12.2016 г. ( -долг за предприятием, +долг за населением)</t>
  </si>
  <si>
    <t>Смена дощатых полов с добавлением новых досок до 25%</t>
  </si>
  <si>
    <t>ТЕР 16-005</t>
  </si>
  <si>
    <t>Смена дверных приборов (замки навесные)</t>
  </si>
  <si>
    <t>ТЕР 15-051</t>
  </si>
  <si>
    <t>пр.ТЕР 31-057</t>
  </si>
  <si>
    <t>Утепление трубопроводов минеральной ватой</t>
  </si>
  <si>
    <t>1 мЗ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</si>
  <si>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5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январь-ноябрь 2016 года</t>
    </r>
  </si>
  <si>
    <t>Начислено за содержание и текущий ремонт за январь-ноябрь 2016  г.</t>
  </si>
  <si>
    <t>Выполнено работ по содержанию за январь-ноябрь 2016 г.</t>
  </si>
  <si>
    <t>Выполнено работ по текущему ремонту за январь-ноябрь 2016 г.</t>
  </si>
  <si>
    <t>Фактически оплачено за январь-ноябрь 2016 г.</t>
  </si>
  <si>
    <t>смета</t>
  </si>
  <si>
    <t>Смена трубопроводов на полипропиленовые трубы PN25 диаметром 20мм</t>
  </si>
  <si>
    <t>счёт</t>
  </si>
  <si>
    <t>Вентиль ПП Ду-20</t>
  </si>
  <si>
    <t>1 соедин.</t>
  </si>
  <si>
    <t xml:space="preserve">Заделка стыков соединений </t>
  </si>
  <si>
    <t>пр.ТЕР 2-2-2-2-30</t>
  </si>
  <si>
    <t>пр.ТЕР 31-011</t>
  </si>
  <si>
    <r>
      <t>Смена тройника 100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100</t>
    </r>
  </si>
  <si>
    <t>Смена арматуры - вентилей и клапанов обратных муфтовых диаметром до 20 мм</t>
  </si>
  <si>
    <t>ТЕР 32-027</t>
  </si>
  <si>
    <t xml:space="preserve">Вывертывание и ввертывание радиаторной пробки.   </t>
  </si>
  <si>
    <t>1 пробка</t>
  </si>
  <si>
    <t>ТЕР 2-2-1-1-6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</si>
</sst>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" xfId="0" applyFont="1" applyFill="1" applyBorder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0" fontId="1" fillId="13" borderId="3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21" xfId="0" applyFont="1" applyBorder="1"/>
    <xf numFmtId="0" fontId="1" fillId="5" borderId="21" xfId="0" applyFont="1" applyFill="1" applyBorder="1"/>
    <xf numFmtId="0" fontId="1" fillId="4" borderId="22" xfId="0" applyFont="1" applyFill="1" applyBorder="1" applyAlignment="1">
      <alignment horizontal="center" vertical="center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26"/>
  <sheetViews>
    <sheetView tabSelected="1" view="pageBreakPreview" topLeftCell="C1" zoomScaleNormal="75" zoomScaleSheetLayoutView="100" workbookViewId="0">
      <pane ySplit="7" topLeftCell="A104" activePane="bottomLeft" state="frozen"/>
      <selection activeCell="B1" sqref="B1"/>
      <selection pane="bottomLeft" activeCell="S108" sqref="S108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8" width="10.140625" customWidth="1"/>
    <col min="9" max="19" width="9.85546875" customWidth="1"/>
    <col min="20" max="20" width="9.85546875" hidden="1" customWidth="1"/>
    <col min="21" max="21" width="12.28515625" customWidth="1"/>
  </cols>
  <sheetData>
    <row r="1" spans="1:21" ht="14.25" customHeight="1">
      <c r="A1" s="154"/>
    </row>
    <row r="3" spans="1:21" ht="18">
      <c r="A3" s="128"/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67"/>
      <c r="N3" s="67"/>
      <c r="O3" s="67"/>
      <c r="P3" s="67"/>
      <c r="Q3" s="67"/>
      <c r="R3" s="67"/>
      <c r="S3" s="67"/>
      <c r="T3" s="67"/>
      <c r="U3" s="67"/>
    </row>
    <row r="4" spans="1:21" ht="34.5" customHeight="1">
      <c r="A4" s="67"/>
      <c r="B4" s="171" t="s">
        <v>1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67"/>
      <c r="N4" s="67"/>
      <c r="O4" s="67"/>
      <c r="P4" s="67"/>
      <c r="Q4" s="67"/>
      <c r="R4" s="67"/>
      <c r="S4" s="67"/>
      <c r="T4" s="67"/>
      <c r="U4" s="67"/>
    </row>
    <row r="5" spans="1:21" ht="18">
      <c r="A5" s="67"/>
      <c r="B5" s="171" t="s">
        <v>227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67"/>
      <c r="N5" s="67"/>
      <c r="O5" s="67"/>
      <c r="P5" s="67"/>
      <c r="Q5" s="67"/>
      <c r="R5" s="67"/>
      <c r="S5" s="67"/>
      <c r="T5" s="67"/>
      <c r="U5" s="67"/>
    </row>
    <row r="6" spans="1:21" ht="14.25">
      <c r="A6" s="67"/>
      <c r="B6" s="172" t="s">
        <v>129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67"/>
      <c r="N6" s="67"/>
      <c r="O6" s="67"/>
      <c r="P6" s="67"/>
      <c r="Q6" s="67"/>
      <c r="R6" s="67"/>
      <c r="S6" s="67"/>
      <c r="T6" s="67"/>
      <c r="U6" s="67"/>
    </row>
    <row r="7" spans="1:21" ht="54.75" customHeight="1">
      <c r="A7" s="141" t="s">
        <v>2</v>
      </c>
      <c r="B7" s="142" t="s">
        <v>3</v>
      </c>
      <c r="C7" s="142" t="s">
        <v>4</v>
      </c>
      <c r="D7" s="142" t="s">
        <v>5</v>
      </c>
      <c r="E7" s="142" t="s">
        <v>6</v>
      </c>
      <c r="F7" s="142" t="s">
        <v>7</v>
      </c>
      <c r="G7" s="142" t="s">
        <v>8</v>
      </c>
      <c r="H7" s="143" t="s">
        <v>9</v>
      </c>
      <c r="I7" s="23" t="s">
        <v>113</v>
      </c>
      <c r="J7" s="23" t="s">
        <v>114</v>
      </c>
      <c r="K7" s="23" t="s">
        <v>115</v>
      </c>
      <c r="L7" s="23" t="s">
        <v>116</v>
      </c>
      <c r="M7" s="23" t="s">
        <v>136</v>
      </c>
      <c r="N7" s="23" t="s">
        <v>117</v>
      </c>
      <c r="O7" s="23" t="s">
        <v>118</v>
      </c>
      <c r="P7" s="23" t="s">
        <v>119</v>
      </c>
      <c r="Q7" s="23" t="s">
        <v>120</v>
      </c>
      <c r="R7" s="23" t="s">
        <v>121</v>
      </c>
      <c r="S7" s="23" t="s">
        <v>122</v>
      </c>
      <c r="T7" s="23" t="s">
        <v>123</v>
      </c>
      <c r="U7" s="23" t="s">
        <v>130</v>
      </c>
    </row>
    <row r="8" spans="1:21">
      <c r="A8" s="144">
        <v>1</v>
      </c>
      <c r="B8" s="7">
        <v>2</v>
      </c>
      <c r="C8" s="24">
        <v>3</v>
      </c>
      <c r="D8" s="7">
        <v>4</v>
      </c>
      <c r="E8" s="7">
        <v>5</v>
      </c>
      <c r="F8" s="24">
        <v>6</v>
      </c>
      <c r="G8" s="24">
        <v>7</v>
      </c>
      <c r="H8" s="25">
        <v>8</v>
      </c>
      <c r="I8" s="26">
        <v>9</v>
      </c>
      <c r="J8" s="26">
        <v>10</v>
      </c>
      <c r="K8" s="26">
        <v>11</v>
      </c>
      <c r="L8" s="26">
        <v>12</v>
      </c>
      <c r="M8" s="26">
        <v>13</v>
      </c>
      <c r="N8" s="26">
        <v>14</v>
      </c>
      <c r="O8" s="26">
        <v>15</v>
      </c>
      <c r="P8" s="26">
        <v>16</v>
      </c>
      <c r="Q8" s="26">
        <v>17</v>
      </c>
      <c r="R8" s="26">
        <v>18</v>
      </c>
      <c r="S8" s="26">
        <v>19</v>
      </c>
      <c r="T8" s="26">
        <v>20</v>
      </c>
      <c r="U8" s="26">
        <v>21</v>
      </c>
    </row>
    <row r="9" spans="1:21" ht="38.25">
      <c r="A9" s="144"/>
      <c r="B9" s="9" t="s">
        <v>10</v>
      </c>
      <c r="C9" s="24"/>
      <c r="D9" s="10"/>
      <c r="E9" s="10"/>
      <c r="F9" s="24"/>
      <c r="G9" s="24"/>
      <c r="H9" s="28"/>
      <c r="I9" s="29"/>
      <c r="J9" s="29"/>
      <c r="K9" s="29"/>
      <c r="L9" s="29"/>
      <c r="M9" s="30"/>
      <c r="N9" s="27"/>
      <c r="O9" s="27"/>
      <c r="P9" s="27"/>
      <c r="Q9" s="27"/>
      <c r="R9" s="27"/>
      <c r="S9" s="27"/>
      <c r="T9" s="27"/>
      <c r="U9" s="27"/>
    </row>
    <row r="10" spans="1:21">
      <c r="A10" s="144"/>
      <c r="B10" s="9" t="s">
        <v>11</v>
      </c>
      <c r="C10" s="24"/>
      <c r="D10" s="10"/>
      <c r="E10" s="10"/>
      <c r="F10" s="24"/>
      <c r="G10" s="24"/>
      <c r="H10" s="28"/>
      <c r="I10" s="29"/>
      <c r="J10" s="29"/>
      <c r="K10" s="29"/>
      <c r="L10" s="29"/>
      <c r="M10" s="30"/>
      <c r="N10" s="27"/>
      <c r="O10" s="27"/>
      <c r="P10" s="27"/>
      <c r="Q10" s="27"/>
      <c r="R10" s="27"/>
      <c r="S10" s="27"/>
      <c r="T10" s="27"/>
      <c r="U10" s="27"/>
    </row>
    <row r="11" spans="1:21" ht="25.5">
      <c r="A11" s="144" t="s">
        <v>165</v>
      </c>
      <c r="B11" s="10" t="s">
        <v>12</v>
      </c>
      <c r="C11" s="24" t="s">
        <v>13</v>
      </c>
      <c r="D11" s="10" t="s">
        <v>14</v>
      </c>
      <c r="E11" s="31">
        <v>54</v>
      </c>
      <c r="F11" s="32">
        <f>SUM(E11*156/100)</f>
        <v>84.24</v>
      </c>
      <c r="G11" s="32">
        <v>175.38</v>
      </c>
      <c r="H11" s="33">
        <f t="shared" ref="H11:H20" si="0">SUM(F11*G11/1000)</f>
        <v>14.774011199999999</v>
      </c>
      <c r="I11" s="34">
        <f>F11/12*G11</f>
        <v>1231.1676</v>
      </c>
      <c r="J11" s="34">
        <f>F11/12*G11</f>
        <v>1231.1676</v>
      </c>
      <c r="K11" s="34">
        <f>F11/12*G11</f>
        <v>1231.1676</v>
      </c>
      <c r="L11" s="34">
        <f>F11/12*G11</f>
        <v>1231.1676</v>
      </c>
      <c r="M11" s="34">
        <f>F11/12*G11</f>
        <v>1231.1676</v>
      </c>
      <c r="N11" s="34">
        <f>F11/12*G11</f>
        <v>1231.1676</v>
      </c>
      <c r="O11" s="34">
        <f>F11/12*G11</f>
        <v>1231.1676</v>
      </c>
      <c r="P11" s="34">
        <f>F11/12*G11</f>
        <v>1231.1676</v>
      </c>
      <c r="Q11" s="34">
        <f>F11/12*G11</f>
        <v>1231.1676</v>
      </c>
      <c r="R11" s="34">
        <f>F11/12*G11</f>
        <v>1231.1676</v>
      </c>
      <c r="S11" s="34">
        <f>F11/12*G11</f>
        <v>1231.1676</v>
      </c>
      <c r="T11" s="34">
        <f>F11/12*G11</f>
        <v>1231.1676</v>
      </c>
      <c r="U11" s="34">
        <f>SUM(I11:S11)</f>
        <v>13542.843600000002</v>
      </c>
    </row>
    <row r="12" spans="1:21" ht="25.5">
      <c r="A12" s="144" t="s">
        <v>165</v>
      </c>
      <c r="B12" s="10" t="s">
        <v>15</v>
      </c>
      <c r="C12" s="24" t="s">
        <v>13</v>
      </c>
      <c r="D12" s="10" t="s">
        <v>16</v>
      </c>
      <c r="E12" s="31">
        <v>216</v>
      </c>
      <c r="F12" s="32">
        <f>SUM(E12*104/100)</f>
        <v>224.64</v>
      </c>
      <c r="G12" s="32">
        <v>175.38</v>
      </c>
      <c r="H12" s="33">
        <f t="shared" si="0"/>
        <v>39.397363200000001</v>
      </c>
      <c r="I12" s="34">
        <f>F12/12*G12</f>
        <v>3283.1135999999997</v>
      </c>
      <c r="J12" s="34">
        <f>F12/12*G12</f>
        <v>3283.1135999999997</v>
      </c>
      <c r="K12" s="34">
        <f>F12/12*G12</f>
        <v>3283.1135999999997</v>
      </c>
      <c r="L12" s="34">
        <f>F12/12*G12</f>
        <v>3283.1135999999997</v>
      </c>
      <c r="M12" s="34">
        <f>F12/12*G12</f>
        <v>3283.1135999999997</v>
      </c>
      <c r="N12" s="34">
        <f>F12/12*G12</f>
        <v>3283.1135999999997</v>
      </c>
      <c r="O12" s="34">
        <f>F12/12*G12</f>
        <v>3283.1135999999997</v>
      </c>
      <c r="P12" s="34">
        <f>F12/12*G12</f>
        <v>3283.1135999999997</v>
      </c>
      <c r="Q12" s="34">
        <f>F12/12*G12</f>
        <v>3283.1135999999997</v>
      </c>
      <c r="R12" s="34">
        <f>F12/12*G12</f>
        <v>3283.1135999999997</v>
      </c>
      <c r="S12" s="34">
        <f>F12/12*G12</f>
        <v>3283.1135999999997</v>
      </c>
      <c r="T12" s="34">
        <f>F12/12*G12</f>
        <v>3283.1135999999997</v>
      </c>
      <c r="U12" s="34">
        <f t="shared" ref="U12:U20" si="1">SUM(I12:S12)</f>
        <v>36114.249599999996</v>
      </c>
    </row>
    <row r="13" spans="1:21" ht="25.5">
      <c r="A13" s="144" t="s">
        <v>166</v>
      </c>
      <c r="B13" s="10" t="s">
        <v>17</v>
      </c>
      <c r="C13" s="24" t="s">
        <v>13</v>
      </c>
      <c r="D13" s="10" t="s">
        <v>18</v>
      </c>
      <c r="E13" s="31">
        <f>SUM(E11+E12)</f>
        <v>270</v>
      </c>
      <c r="F13" s="32">
        <f>SUM(E13*24/100)</f>
        <v>64.8</v>
      </c>
      <c r="G13" s="32">
        <v>504.5</v>
      </c>
      <c r="H13" s="33">
        <f t="shared" si="0"/>
        <v>32.691600000000001</v>
      </c>
      <c r="I13" s="34">
        <f>F13/12*G13</f>
        <v>2724.2999999999997</v>
      </c>
      <c r="J13" s="34">
        <f>F13/12*G13</f>
        <v>2724.2999999999997</v>
      </c>
      <c r="K13" s="34">
        <f>F13/12*G13</f>
        <v>2724.2999999999997</v>
      </c>
      <c r="L13" s="34">
        <f>F13/12*G13</f>
        <v>2724.2999999999997</v>
      </c>
      <c r="M13" s="34">
        <f>F13/12*G13</f>
        <v>2724.2999999999997</v>
      </c>
      <c r="N13" s="34">
        <f>F13/12*G13</f>
        <v>2724.2999999999997</v>
      </c>
      <c r="O13" s="34">
        <f>F13/12*G13</f>
        <v>2724.2999999999997</v>
      </c>
      <c r="P13" s="34">
        <f>F13/12*G13</f>
        <v>2724.2999999999997</v>
      </c>
      <c r="Q13" s="34">
        <f>F13/12*G13</f>
        <v>2724.2999999999997</v>
      </c>
      <c r="R13" s="34">
        <f>F13/12*G13</f>
        <v>2724.2999999999997</v>
      </c>
      <c r="S13" s="34">
        <f>F13/12*G13</f>
        <v>2724.2999999999997</v>
      </c>
      <c r="T13" s="34">
        <f>F13/12*G13</f>
        <v>2724.2999999999997</v>
      </c>
      <c r="U13" s="34">
        <f t="shared" si="1"/>
        <v>29967.299999999996</v>
      </c>
    </row>
    <row r="14" spans="1:21">
      <c r="A14" s="144" t="s">
        <v>167</v>
      </c>
      <c r="B14" s="10" t="s">
        <v>19</v>
      </c>
      <c r="C14" s="24" t="s">
        <v>20</v>
      </c>
      <c r="D14" s="10" t="s">
        <v>98</v>
      </c>
      <c r="E14" s="31">
        <v>40</v>
      </c>
      <c r="F14" s="32">
        <f>SUM(E14/10)</f>
        <v>4</v>
      </c>
      <c r="G14" s="32">
        <v>170.16</v>
      </c>
      <c r="H14" s="33">
        <f t="shared" si="0"/>
        <v>0.68064000000000002</v>
      </c>
      <c r="I14" s="34">
        <v>0</v>
      </c>
      <c r="J14" s="34">
        <v>0</v>
      </c>
      <c r="K14" s="34">
        <v>0</v>
      </c>
      <c r="L14" s="34">
        <v>0</v>
      </c>
      <c r="M14" s="34">
        <f>F14/2*G14</f>
        <v>340.32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f t="shared" si="1"/>
        <v>340.32</v>
      </c>
    </row>
    <row r="15" spans="1:21">
      <c r="A15" s="144" t="s">
        <v>168</v>
      </c>
      <c r="B15" s="10" t="s">
        <v>21</v>
      </c>
      <c r="C15" s="24" t="s">
        <v>13</v>
      </c>
      <c r="D15" s="10" t="s">
        <v>33</v>
      </c>
      <c r="E15" s="31">
        <v>10.5</v>
      </c>
      <c r="F15" s="32">
        <f t="shared" ref="F15:F20" si="2">SUM(E15/100)</f>
        <v>0.105</v>
      </c>
      <c r="G15" s="32">
        <v>217.88</v>
      </c>
      <c r="H15" s="33">
        <f t="shared" si="0"/>
        <v>2.2877399999999999E-2</v>
      </c>
      <c r="I15" s="34">
        <v>0</v>
      </c>
      <c r="J15" s="34">
        <v>0</v>
      </c>
      <c r="K15" s="34">
        <v>0</v>
      </c>
      <c r="L15" s="34">
        <v>0</v>
      </c>
      <c r="M15" s="34">
        <f t="shared" ref="M15:M20" si="3">G15*F15</f>
        <v>22.877399999999998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f t="shared" si="1"/>
        <v>22.877399999999998</v>
      </c>
    </row>
    <row r="16" spans="1:21">
      <c r="A16" s="144" t="s">
        <v>169</v>
      </c>
      <c r="B16" s="10" t="s">
        <v>22</v>
      </c>
      <c r="C16" s="24" t="s">
        <v>13</v>
      </c>
      <c r="D16" s="10" t="s">
        <v>33</v>
      </c>
      <c r="E16" s="31">
        <v>2.7</v>
      </c>
      <c r="F16" s="32">
        <f t="shared" si="2"/>
        <v>2.7000000000000003E-2</v>
      </c>
      <c r="G16" s="32">
        <v>203.5</v>
      </c>
      <c r="H16" s="33">
        <f t="shared" si="0"/>
        <v>5.4945000000000003E-3</v>
      </c>
      <c r="I16" s="34">
        <v>0</v>
      </c>
      <c r="J16" s="34">
        <v>0</v>
      </c>
      <c r="K16" s="34">
        <v>0</v>
      </c>
      <c r="L16" s="34">
        <v>0</v>
      </c>
      <c r="M16" s="34">
        <f t="shared" si="3"/>
        <v>5.4945000000000004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f t="shared" si="1"/>
        <v>5.4945000000000004</v>
      </c>
    </row>
    <row r="17" spans="1:21">
      <c r="A17" s="144" t="s">
        <v>170</v>
      </c>
      <c r="B17" s="10" t="s">
        <v>23</v>
      </c>
      <c r="C17" s="24" t="s">
        <v>24</v>
      </c>
      <c r="D17" s="10" t="s">
        <v>98</v>
      </c>
      <c r="E17" s="31">
        <v>357</v>
      </c>
      <c r="F17" s="32">
        <f t="shared" si="2"/>
        <v>3.57</v>
      </c>
      <c r="G17" s="32">
        <v>269.26</v>
      </c>
      <c r="H17" s="33">
        <f t="shared" si="0"/>
        <v>0.96125819999999984</v>
      </c>
      <c r="I17" s="34">
        <v>0</v>
      </c>
      <c r="J17" s="34">
        <v>0</v>
      </c>
      <c r="K17" s="34">
        <v>0</v>
      </c>
      <c r="L17" s="34">
        <v>0</v>
      </c>
      <c r="M17" s="34">
        <f t="shared" si="3"/>
        <v>961.25819999999987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f t="shared" si="1"/>
        <v>961.25819999999987</v>
      </c>
    </row>
    <row r="18" spans="1:21">
      <c r="A18" s="144" t="s">
        <v>171</v>
      </c>
      <c r="B18" s="10" t="s">
        <v>25</v>
      </c>
      <c r="C18" s="24" t="s">
        <v>24</v>
      </c>
      <c r="D18" s="10" t="s">
        <v>98</v>
      </c>
      <c r="E18" s="36">
        <v>38.64</v>
      </c>
      <c r="F18" s="32">
        <f t="shared" si="2"/>
        <v>0.38640000000000002</v>
      </c>
      <c r="G18" s="32">
        <v>44.29</v>
      </c>
      <c r="H18" s="33">
        <f t="shared" si="0"/>
        <v>1.7113655999999998E-2</v>
      </c>
      <c r="I18" s="34">
        <v>0</v>
      </c>
      <c r="J18" s="34">
        <v>0</v>
      </c>
      <c r="K18" s="34">
        <v>0</v>
      </c>
      <c r="L18" s="34">
        <v>0</v>
      </c>
      <c r="M18" s="34">
        <f t="shared" si="3"/>
        <v>17.113655999999999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f t="shared" si="1"/>
        <v>17.113655999999999</v>
      </c>
    </row>
    <row r="19" spans="1:21">
      <c r="A19" s="144" t="s">
        <v>172</v>
      </c>
      <c r="B19" s="10" t="s">
        <v>110</v>
      </c>
      <c r="C19" s="24" t="s">
        <v>24</v>
      </c>
      <c r="D19" s="37" t="s">
        <v>98</v>
      </c>
      <c r="E19" s="38">
        <v>15</v>
      </c>
      <c r="F19" s="39">
        <f t="shared" si="2"/>
        <v>0.15</v>
      </c>
      <c r="G19" s="32">
        <v>389.72</v>
      </c>
      <c r="H19" s="33">
        <f t="shared" ref="H19" si="4">SUM(F19*G19/1000)</f>
        <v>5.8457999999999996E-2</v>
      </c>
      <c r="I19" s="34">
        <v>0</v>
      </c>
      <c r="J19" s="34">
        <v>0</v>
      </c>
      <c r="K19" s="34">
        <v>0</v>
      </c>
      <c r="L19" s="34">
        <v>0</v>
      </c>
      <c r="M19" s="34">
        <f t="shared" si="3"/>
        <v>58.457999999999998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f t="shared" si="1"/>
        <v>58.457999999999998</v>
      </c>
    </row>
    <row r="20" spans="1:21">
      <c r="A20" s="144" t="s">
        <v>173</v>
      </c>
      <c r="B20" s="10" t="s">
        <v>26</v>
      </c>
      <c r="C20" s="24" t="s">
        <v>24</v>
      </c>
      <c r="D20" s="10" t="s">
        <v>98</v>
      </c>
      <c r="E20" s="40">
        <v>6.38</v>
      </c>
      <c r="F20" s="32">
        <f t="shared" si="2"/>
        <v>6.3799999999999996E-2</v>
      </c>
      <c r="G20" s="32">
        <v>520.79999999999995</v>
      </c>
      <c r="H20" s="33">
        <f t="shared" si="0"/>
        <v>3.3227039999999992E-2</v>
      </c>
      <c r="I20" s="34">
        <v>0</v>
      </c>
      <c r="J20" s="34">
        <v>0</v>
      </c>
      <c r="K20" s="34">
        <v>0</v>
      </c>
      <c r="L20" s="34">
        <v>0</v>
      </c>
      <c r="M20" s="34">
        <f t="shared" si="3"/>
        <v>33.227039999999995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f t="shared" si="1"/>
        <v>33.227039999999995</v>
      </c>
    </row>
    <row r="21" spans="1:21" s="18" customFormat="1">
      <c r="A21" s="145"/>
      <c r="B21" s="19" t="s">
        <v>27</v>
      </c>
      <c r="C21" s="41"/>
      <c r="D21" s="19"/>
      <c r="E21" s="42"/>
      <c r="F21" s="43"/>
      <c r="G21" s="43"/>
      <c r="H21" s="44">
        <f>SUM(H11:H20)</f>
        <v>88.642043196000003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>
        <f>SUM(U11:U20)</f>
        <v>81063.141995999991</v>
      </c>
    </row>
    <row r="22" spans="1:21">
      <c r="A22" s="144"/>
      <c r="B22" s="11" t="s">
        <v>28</v>
      </c>
      <c r="C22" s="24"/>
      <c r="D22" s="10"/>
      <c r="E22" s="31"/>
      <c r="F22" s="32"/>
      <c r="G22" s="32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25.5" customHeight="1">
      <c r="A23" s="144" t="s">
        <v>174</v>
      </c>
      <c r="B23" s="10" t="s">
        <v>144</v>
      </c>
      <c r="C23" s="24" t="s">
        <v>30</v>
      </c>
      <c r="D23" s="10" t="s">
        <v>29</v>
      </c>
      <c r="E23" s="32">
        <v>691.65</v>
      </c>
      <c r="F23" s="32">
        <f>SUM(E23*52/1000)</f>
        <v>35.965799999999994</v>
      </c>
      <c r="G23" s="32">
        <v>155.88999999999999</v>
      </c>
      <c r="H23" s="33">
        <f t="shared" ref="H23:H30" si="5">SUM(F23*G23/1000)</f>
        <v>5.6067085619999988</v>
      </c>
      <c r="I23" s="34">
        <v>0</v>
      </c>
      <c r="J23" s="34">
        <v>0</v>
      </c>
      <c r="K23" s="34">
        <v>0</v>
      </c>
      <c r="L23" s="34">
        <v>0</v>
      </c>
      <c r="M23" s="34">
        <f>F23/6*G23</f>
        <v>934.45142699999974</v>
      </c>
      <c r="N23" s="34">
        <f>F23/6*G23</f>
        <v>934.45142699999974</v>
      </c>
      <c r="O23" s="34">
        <f>F23/6*G23</f>
        <v>934.45142699999974</v>
      </c>
      <c r="P23" s="34">
        <f>F23/6*G23</f>
        <v>934.45142699999974</v>
      </c>
      <c r="Q23" s="34">
        <f>F23/6*G23</f>
        <v>934.45142699999974</v>
      </c>
      <c r="R23" s="34">
        <f>F23/6*G23</f>
        <v>934.45142699999974</v>
      </c>
      <c r="S23" s="34">
        <v>0</v>
      </c>
      <c r="T23" s="34">
        <v>0</v>
      </c>
      <c r="U23" s="34">
        <f>SUM(I23:S23)</f>
        <v>5606.7085619999989</v>
      </c>
    </row>
    <row r="24" spans="1:21" ht="38.25" customHeight="1">
      <c r="A24" s="144" t="s">
        <v>175</v>
      </c>
      <c r="B24" s="10" t="s">
        <v>146</v>
      </c>
      <c r="C24" s="24" t="s">
        <v>30</v>
      </c>
      <c r="D24" s="10" t="s">
        <v>31</v>
      </c>
      <c r="E24" s="32">
        <v>67.650000000000006</v>
      </c>
      <c r="F24" s="32">
        <f>SUM(E24*78/1000)</f>
        <v>5.2767000000000008</v>
      </c>
      <c r="G24" s="32">
        <v>258.63</v>
      </c>
      <c r="H24" s="33">
        <f t="shared" si="5"/>
        <v>1.3647129210000002</v>
      </c>
      <c r="I24" s="34">
        <v>0</v>
      </c>
      <c r="J24" s="34">
        <v>0</v>
      </c>
      <c r="K24" s="34">
        <v>0</v>
      </c>
      <c r="L24" s="34">
        <v>0</v>
      </c>
      <c r="M24" s="34">
        <f>F24/6*G24</f>
        <v>227.45215350000004</v>
      </c>
      <c r="N24" s="34">
        <f>F24/6*G24</f>
        <v>227.45215350000004</v>
      </c>
      <c r="O24" s="34">
        <f>F24/6*G24</f>
        <v>227.45215350000004</v>
      </c>
      <c r="P24" s="34">
        <f>F24/6*G24</f>
        <v>227.45215350000004</v>
      </c>
      <c r="Q24" s="34">
        <f>F24/6*G24</f>
        <v>227.45215350000004</v>
      </c>
      <c r="R24" s="34">
        <f>F24/6*G24</f>
        <v>227.45215350000004</v>
      </c>
      <c r="S24" s="34">
        <v>0</v>
      </c>
      <c r="T24" s="34">
        <v>0</v>
      </c>
      <c r="U24" s="34">
        <f t="shared" ref="U24:U30" si="6">SUM(I24:S24)</f>
        <v>1364.7129210000003</v>
      </c>
    </row>
    <row r="25" spans="1:21">
      <c r="A25" s="144" t="s">
        <v>176</v>
      </c>
      <c r="B25" s="10" t="s">
        <v>32</v>
      </c>
      <c r="C25" s="24" t="s">
        <v>30</v>
      </c>
      <c r="D25" s="10" t="s">
        <v>33</v>
      </c>
      <c r="E25" s="32">
        <v>691.65</v>
      </c>
      <c r="F25" s="32">
        <f>SUM(E25/1000)</f>
        <v>0.69164999999999999</v>
      </c>
      <c r="G25" s="32">
        <v>3020.33</v>
      </c>
      <c r="H25" s="33">
        <f t="shared" si="5"/>
        <v>2.0890112445</v>
      </c>
      <c r="I25" s="34">
        <v>0</v>
      </c>
      <c r="J25" s="34">
        <v>0</v>
      </c>
      <c r="K25" s="34">
        <v>0</v>
      </c>
      <c r="L25" s="34">
        <v>0</v>
      </c>
      <c r="M25" s="34">
        <f>F25*G25</f>
        <v>2089.0112445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f t="shared" si="6"/>
        <v>2089.0112445</v>
      </c>
    </row>
    <row r="26" spans="1:21">
      <c r="A26" s="144" t="s">
        <v>177</v>
      </c>
      <c r="B26" s="10" t="s">
        <v>34</v>
      </c>
      <c r="C26" s="24" t="s">
        <v>35</v>
      </c>
      <c r="D26" s="10" t="s">
        <v>36</v>
      </c>
      <c r="E26" s="47">
        <v>0.33333333333333331</v>
      </c>
      <c r="F26" s="32">
        <f>155/3</f>
        <v>51.666666666666664</v>
      </c>
      <c r="G26" s="32">
        <v>56.69</v>
      </c>
      <c r="H26" s="33">
        <f>SUM(G26*155/3/1000)</f>
        <v>2.9289833333333331</v>
      </c>
      <c r="I26" s="34">
        <v>0</v>
      </c>
      <c r="J26" s="34">
        <v>0</v>
      </c>
      <c r="K26" s="34">
        <v>0</v>
      </c>
      <c r="L26" s="34">
        <v>0</v>
      </c>
      <c r="M26" s="34">
        <f>F26/6*G26</f>
        <v>488.16388888888883</v>
      </c>
      <c r="N26" s="34">
        <f>F26/6*G26</f>
        <v>488.16388888888883</v>
      </c>
      <c r="O26" s="34">
        <f>F26/6*G26</f>
        <v>488.16388888888883</v>
      </c>
      <c r="P26" s="34">
        <f>F26/6*G26</f>
        <v>488.16388888888883</v>
      </c>
      <c r="Q26" s="34">
        <f>F26/6*G26</f>
        <v>488.16388888888883</v>
      </c>
      <c r="R26" s="34">
        <f>F26/6*G26</f>
        <v>488.16388888888883</v>
      </c>
      <c r="S26" s="34">
        <v>0</v>
      </c>
      <c r="T26" s="34">
        <v>0</v>
      </c>
      <c r="U26" s="34">
        <f t="shared" si="6"/>
        <v>2928.9833333333331</v>
      </c>
    </row>
    <row r="27" spans="1:21" ht="12.75" customHeight="1">
      <c r="A27" s="144" t="s">
        <v>178</v>
      </c>
      <c r="B27" s="10" t="s">
        <v>37</v>
      </c>
      <c r="C27" s="24" t="s">
        <v>38</v>
      </c>
      <c r="D27" s="10" t="s">
        <v>39</v>
      </c>
      <c r="E27" s="48">
        <v>0.1</v>
      </c>
      <c r="F27" s="32">
        <f>SUM(E27*365)</f>
        <v>36.5</v>
      </c>
      <c r="G27" s="32">
        <v>147.03</v>
      </c>
      <c r="H27" s="33">
        <f t="shared" si="5"/>
        <v>5.3665950000000002</v>
      </c>
      <c r="I27" s="34">
        <f>F27/12*G27</f>
        <v>447.21625</v>
      </c>
      <c r="J27" s="34">
        <f>F27/12*G27</f>
        <v>447.21625</v>
      </c>
      <c r="K27" s="34">
        <f>F27/12*G27</f>
        <v>447.21625</v>
      </c>
      <c r="L27" s="34">
        <f>F27/12*G27</f>
        <v>447.21625</v>
      </c>
      <c r="M27" s="34">
        <f>F27/12*G27</f>
        <v>447.21625</v>
      </c>
      <c r="N27" s="34">
        <f>F27/12*G27</f>
        <v>447.21625</v>
      </c>
      <c r="O27" s="34">
        <f>F27/12*G27</f>
        <v>447.21625</v>
      </c>
      <c r="P27" s="34">
        <f>F27/12*G27</f>
        <v>447.21625</v>
      </c>
      <c r="Q27" s="34">
        <f>F27/12*G27</f>
        <v>447.21625</v>
      </c>
      <c r="R27" s="34">
        <f>F27/12*G27</f>
        <v>447.21625</v>
      </c>
      <c r="S27" s="34">
        <f>F27/12*G27</f>
        <v>447.21625</v>
      </c>
      <c r="T27" s="34">
        <f>F27/12*G27</f>
        <v>447.21625</v>
      </c>
      <c r="U27" s="34">
        <f t="shared" si="6"/>
        <v>4919.3787500000008</v>
      </c>
    </row>
    <row r="28" spans="1:21" ht="12.75" customHeight="1">
      <c r="A28" s="144" t="s">
        <v>179</v>
      </c>
      <c r="B28" s="10" t="s">
        <v>145</v>
      </c>
      <c r="C28" s="24" t="s">
        <v>38</v>
      </c>
      <c r="D28" s="10" t="s">
        <v>40</v>
      </c>
      <c r="E28" s="31"/>
      <c r="F28" s="32">
        <v>3</v>
      </c>
      <c r="G28" s="32">
        <v>191.32</v>
      </c>
      <c r="H28" s="33">
        <f t="shared" si="5"/>
        <v>0.57396000000000003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f t="shared" si="6"/>
        <v>0</v>
      </c>
    </row>
    <row r="29" spans="1:21" ht="12.75" customHeight="1">
      <c r="A29" s="144" t="s">
        <v>125</v>
      </c>
      <c r="B29" s="10" t="s">
        <v>153</v>
      </c>
      <c r="C29" s="24" t="s">
        <v>41</v>
      </c>
      <c r="D29" s="10" t="s">
        <v>40</v>
      </c>
      <c r="E29" s="31"/>
      <c r="F29" s="32">
        <v>2</v>
      </c>
      <c r="G29" s="32">
        <v>1136.33</v>
      </c>
      <c r="H29" s="33">
        <f t="shared" si="5"/>
        <v>2.2726599999999997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f t="shared" si="6"/>
        <v>0</v>
      </c>
    </row>
    <row r="30" spans="1:21">
      <c r="A30" s="144"/>
      <c r="B30" s="49" t="s">
        <v>42</v>
      </c>
      <c r="C30" s="24" t="s">
        <v>43</v>
      </c>
      <c r="D30" s="49" t="s">
        <v>44</v>
      </c>
      <c r="E30" s="31">
        <v>3216.2</v>
      </c>
      <c r="F30" s="32">
        <f>SUM(E30*12)</f>
        <v>38594.399999999994</v>
      </c>
      <c r="G30" s="32">
        <v>4.53</v>
      </c>
      <c r="H30" s="33">
        <f t="shared" si="5"/>
        <v>174.83263199999999</v>
      </c>
      <c r="I30" s="34">
        <f>F30/12*G30</f>
        <v>14569.385999999999</v>
      </c>
      <c r="J30" s="34">
        <f>F30/12*G30</f>
        <v>14569.385999999999</v>
      </c>
      <c r="K30" s="34">
        <f>F30/12*G30</f>
        <v>14569.385999999999</v>
      </c>
      <c r="L30" s="34">
        <f>F30/12*G30</f>
        <v>14569.385999999999</v>
      </c>
      <c r="M30" s="34">
        <f>F30/12*G30</f>
        <v>14569.385999999999</v>
      </c>
      <c r="N30" s="34">
        <f>F30/12*G30</f>
        <v>14569.385999999999</v>
      </c>
      <c r="O30" s="34">
        <f>F30/12*G30</f>
        <v>14569.385999999999</v>
      </c>
      <c r="P30" s="34">
        <f>F30/12*G30</f>
        <v>14569.385999999999</v>
      </c>
      <c r="Q30" s="34">
        <f>F30/12*G30</f>
        <v>14569.385999999999</v>
      </c>
      <c r="R30" s="34">
        <f>F30/12*G30</f>
        <v>14569.385999999999</v>
      </c>
      <c r="S30" s="34">
        <f>F30/12*G30</f>
        <v>14569.385999999999</v>
      </c>
      <c r="T30" s="34">
        <f>F30/12*G30</f>
        <v>14569.385999999999</v>
      </c>
      <c r="U30" s="34">
        <f t="shared" si="6"/>
        <v>160263.24599999998</v>
      </c>
    </row>
    <row r="31" spans="1:21" s="18" customFormat="1">
      <c r="A31" s="145"/>
      <c r="B31" s="19" t="s">
        <v>27</v>
      </c>
      <c r="C31" s="41"/>
      <c r="D31" s="19"/>
      <c r="E31" s="42"/>
      <c r="F31" s="43"/>
      <c r="G31" s="43"/>
      <c r="H31" s="50">
        <f>SUM(H23:H30)</f>
        <v>195.03526306083333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>
        <f>SUM(U23:U30)</f>
        <v>177172.04081083331</v>
      </c>
    </row>
    <row r="32" spans="1:21">
      <c r="A32" s="144"/>
      <c r="B32" s="11" t="s">
        <v>45</v>
      </c>
      <c r="C32" s="24"/>
      <c r="D32" s="10"/>
      <c r="E32" s="31"/>
      <c r="F32" s="32"/>
      <c r="G32" s="32"/>
      <c r="H32" s="33" t="s">
        <v>44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2.75" customHeight="1">
      <c r="A33" s="144" t="s">
        <v>125</v>
      </c>
      <c r="B33" s="12" t="s">
        <v>46</v>
      </c>
      <c r="C33" s="24" t="s">
        <v>41</v>
      </c>
      <c r="D33" s="10"/>
      <c r="E33" s="31"/>
      <c r="F33" s="32">
        <v>8</v>
      </c>
      <c r="G33" s="32">
        <v>1527.22</v>
      </c>
      <c r="H33" s="33">
        <f t="shared" ref="H33:H40" si="7">SUM(F33*G33/1000)</f>
        <v>12.21776</v>
      </c>
      <c r="I33" s="34">
        <f>F33/6*G33</f>
        <v>2036.2933333333333</v>
      </c>
      <c r="J33" s="34">
        <f>F33/6*G33</f>
        <v>2036.2933333333333</v>
      </c>
      <c r="K33" s="34">
        <f>F33/6*G33</f>
        <v>2036.2933333333333</v>
      </c>
      <c r="L33" s="34">
        <f>F33/6*G33</f>
        <v>2036.2933333333333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f>F33/6*G33</f>
        <v>2036.2933333333333</v>
      </c>
      <c r="T33" s="34">
        <f>F33/6*G33</f>
        <v>2036.2933333333333</v>
      </c>
      <c r="U33" s="34">
        <f>SUM(I33:S33)</f>
        <v>10181.466666666667</v>
      </c>
    </row>
    <row r="34" spans="1:21">
      <c r="A34" s="146" t="s">
        <v>180</v>
      </c>
      <c r="B34" s="12" t="s">
        <v>107</v>
      </c>
      <c r="C34" s="52" t="s">
        <v>47</v>
      </c>
      <c r="D34" s="10" t="s">
        <v>106</v>
      </c>
      <c r="E34" s="31">
        <v>417.3</v>
      </c>
      <c r="F34" s="51">
        <f>E34*12/1000</f>
        <v>5.0076000000000001</v>
      </c>
      <c r="G34" s="32">
        <v>2102.71</v>
      </c>
      <c r="H34" s="33">
        <f>G34*F34/1000</f>
        <v>10.529530596000001</v>
      </c>
      <c r="I34" s="34">
        <f>F34/6*G34</f>
        <v>1754.9217660000002</v>
      </c>
      <c r="J34" s="34">
        <f>F34/6*G34</f>
        <v>1754.9217660000002</v>
      </c>
      <c r="K34" s="34">
        <f>F34/6*G34</f>
        <v>1754.9217660000002</v>
      </c>
      <c r="L34" s="34">
        <f>F34/6*G34</f>
        <v>1754.9217660000002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f>F34/6*G34</f>
        <v>1754.9217660000002</v>
      </c>
      <c r="T34" s="34">
        <f>F34/6*G34</f>
        <v>1754.9217660000002</v>
      </c>
      <c r="U34" s="34">
        <f t="shared" ref="U34:U40" si="8">SUM(I34:S34)</f>
        <v>8774.608830000001</v>
      </c>
    </row>
    <row r="35" spans="1:21" ht="25.5">
      <c r="A35" s="146" t="s">
        <v>180</v>
      </c>
      <c r="B35" s="12" t="s">
        <v>154</v>
      </c>
      <c r="C35" s="52" t="s">
        <v>47</v>
      </c>
      <c r="D35" s="10" t="s">
        <v>105</v>
      </c>
      <c r="E35" s="31">
        <v>67.650000000000006</v>
      </c>
      <c r="F35" s="51">
        <f>E35*30/1000</f>
        <v>2.0295000000000001</v>
      </c>
      <c r="G35" s="32">
        <v>2102.71</v>
      </c>
      <c r="H35" s="33">
        <f>G35*F35/1000</f>
        <v>4.2674499450000001</v>
      </c>
      <c r="I35" s="34">
        <f>F35/6*G35</f>
        <v>711.24165749999997</v>
      </c>
      <c r="J35" s="34">
        <f>F35/6*G35</f>
        <v>711.24165749999997</v>
      </c>
      <c r="K35" s="34">
        <f>F35/6*G35</f>
        <v>711.24165749999997</v>
      </c>
      <c r="L35" s="34">
        <f>F35/6*G35</f>
        <v>711.24165749999997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f>F35/6*G35</f>
        <v>711.24165749999997</v>
      </c>
      <c r="T35" s="34">
        <f>F35/6*G35</f>
        <v>711.24165749999997</v>
      </c>
      <c r="U35" s="34">
        <f t="shared" si="8"/>
        <v>3556.2082874999996</v>
      </c>
    </row>
    <row r="36" spans="1:21">
      <c r="A36" s="144" t="s">
        <v>125</v>
      </c>
      <c r="B36" s="10" t="s">
        <v>104</v>
      </c>
      <c r="C36" s="24" t="s">
        <v>68</v>
      </c>
      <c r="D36" s="10" t="s">
        <v>40</v>
      </c>
      <c r="E36" s="31"/>
      <c r="F36" s="51">
        <v>100</v>
      </c>
      <c r="G36" s="32">
        <v>213.2</v>
      </c>
      <c r="H36" s="33">
        <f>G36*F36/1000</f>
        <v>21.32</v>
      </c>
      <c r="I36" s="34">
        <v>0</v>
      </c>
      <c r="J36" s="34">
        <v>0</v>
      </c>
      <c r="K36" s="34">
        <v>0</v>
      </c>
      <c r="L36" s="34">
        <f>G36*26</f>
        <v>5543.2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f t="shared" si="8"/>
        <v>5543.2</v>
      </c>
    </row>
    <row r="37" spans="1:21" ht="24.75" customHeight="1">
      <c r="A37" s="144" t="s">
        <v>181</v>
      </c>
      <c r="B37" s="10" t="s">
        <v>155</v>
      </c>
      <c r="C37" s="24" t="s">
        <v>47</v>
      </c>
      <c r="D37" s="10" t="s">
        <v>48</v>
      </c>
      <c r="E37" s="32">
        <v>67.650000000000006</v>
      </c>
      <c r="F37" s="51">
        <f>SUM(E37*155/1000)</f>
        <v>10.485749999999999</v>
      </c>
      <c r="G37" s="32">
        <v>350.75</v>
      </c>
      <c r="H37" s="33">
        <f t="shared" si="7"/>
        <v>3.6778768124999996</v>
      </c>
      <c r="I37" s="34">
        <f>F37/6*G37</f>
        <v>612.97946875000002</v>
      </c>
      <c r="J37" s="34">
        <f>F37/6*G37</f>
        <v>612.97946875000002</v>
      </c>
      <c r="K37" s="34">
        <f>F37/6*G37</f>
        <v>612.97946875000002</v>
      </c>
      <c r="L37" s="34">
        <f>F37/6*G37</f>
        <v>612.97946875000002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f>F37/6*G37</f>
        <v>612.97946875000002</v>
      </c>
      <c r="T37" s="34">
        <f>F37/6*G37</f>
        <v>612.97946875000002</v>
      </c>
      <c r="U37" s="34">
        <f t="shared" si="8"/>
        <v>3064.8973437499999</v>
      </c>
    </row>
    <row r="38" spans="1:21" ht="51" customHeight="1">
      <c r="A38" s="144" t="s">
        <v>182</v>
      </c>
      <c r="B38" s="10" t="s">
        <v>156</v>
      </c>
      <c r="C38" s="24" t="s">
        <v>30</v>
      </c>
      <c r="D38" s="10" t="s">
        <v>108</v>
      </c>
      <c r="E38" s="32">
        <v>67.650000000000006</v>
      </c>
      <c r="F38" s="51">
        <f>SUM(E38*24/1000)</f>
        <v>1.6236000000000002</v>
      </c>
      <c r="G38" s="32">
        <v>5803.28</v>
      </c>
      <c r="H38" s="33">
        <f t="shared" si="7"/>
        <v>9.4222054079999999</v>
      </c>
      <c r="I38" s="34">
        <f>F38/6*G38</f>
        <v>1570.3675679999999</v>
      </c>
      <c r="J38" s="34">
        <f>F38/6*G38</f>
        <v>1570.3675679999999</v>
      </c>
      <c r="K38" s="34">
        <f>F38/6*G38</f>
        <v>1570.3675679999999</v>
      </c>
      <c r="L38" s="34">
        <f>F38/6*G38</f>
        <v>1570.3675679999999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f>F38/6*G38</f>
        <v>1570.3675679999999</v>
      </c>
      <c r="T38" s="34">
        <f>F38/6*G38</f>
        <v>1570.3675679999999</v>
      </c>
      <c r="U38" s="34">
        <f t="shared" si="8"/>
        <v>7851.8378399999992</v>
      </c>
    </row>
    <row r="39" spans="1:21" ht="12.75" customHeight="1">
      <c r="A39" s="144" t="s">
        <v>183</v>
      </c>
      <c r="B39" s="10" t="s">
        <v>157</v>
      </c>
      <c r="C39" s="24" t="s">
        <v>30</v>
      </c>
      <c r="D39" s="10" t="s">
        <v>49</v>
      </c>
      <c r="E39" s="32">
        <v>67.650000000000006</v>
      </c>
      <c r="F39" s="51">
        <f>SUM(E39*45/1000)</f>
        <v>3.0442500000000003</v>
      </c>
      <c r="G39" s="32">
        <v>428.7</v>
      </c>
      <c r="H39" s="33">
        <f t="shared" si="7"/>
        <v>1.3050699750000001</v>
      </c>
      <c r="I39" s="34">
        <f>F39/6*G39</f>
        <v>217.5116625</v>
      </c>
      <c r="J39" s="34">
        <f>F39/6*G39</f>
        <v>217.5116625</v>
      </c>
      <c r="K39" s="34">
        <f>F39/6*G39</f>
        <v>217.5116625</v>
      </c>
      <c r="L39" s="34">
        <f>F39/6*G39</f>
        <v>217.5116625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f>F39/6*G39</f>
        <v>217.5116625</v>
      </c>
      <c r="T39" s="34">
        <f>F39/6*G39</f>
        <v>217.5116625</v>
      </c>
      <c r="U39" s="34">
        <f t="shared" si="8"/>
        <v>1087.5583125000001</v>
      </c>
    </row>
    <row r="40" spans="1:21" s="1" customFormat="1">
      <c r="A40" s="146"/>
      <c r="B40" s="12" t="s">
        <v>158</v>
      </c>
      <c r="C40" s="52" t="s">
        <v>38</v>
      </c>
      <c r="D40" s="12"/>
      <c r="E40" s="48"/>
      <c r="F40" s="51">
        <v>0.8</v>
      </c>
      <c r="G40" s="51">
        <v>798</v>
      </c>
      <c r="H40" s="33">
        <f t="shared" si="7"/>
        <v>0.63840000000000008</v>
      </c>
      <c r="I40" s="53">
        <f>F40/6*G40</f>
        <v>106.39999999999999</v>
      </c>
      <c r="J40" s="53">
        <f>F40/6*G40</f>
        <v>106.39999999999999</v>
      </c>
      <c r="K40" s="53">
        <f>F40/6*G40</f>
        <v>106.39999999999999</v>
      </c>
      <c r="L40" s="53">
        <f>F40/6*G40</f>
        <v>106.39999999999999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f>F40/6*G40</f>
        <v>106.39999999999999</v>
      </c>
      <c r="T40" s="53">
        <f>F40/6*G40</f>
        <v>106.39999999999999</v>
      </c>
      <c r="U40" s="34">
        <f t="shared" si="8"/>
        <v>532</v>
      </c>
    </row>
    <row r="41" spans="1:21" s="18" customFormat="1">
      <c r="A41" s="145"/>
      <c r="B41" s="19" t="s">
        <v>27</v>
      </c>
      <c r="C41" s="41"/>
      <c r="D41" s="19"/>
      <c r="E41" s="42"/>
      <c r="F41" s="43" t="s">
        <v>44</v>
      </c>
      <c r="G41" s="43"/>
      <c r="H41" s="50">
        <f>SUM(H33:H40)</f>
        <v>63.378292736500001</v>
      </c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>
        <f>SUM(U33:U40)</f>
        <v>40591.777280416667</v>
      </c>
    </row>
    <row r="42" spans="1:21">
      <c r="A42" s="144"/>
      <c r="B42" s="13" t="s">
        <v>50</v>
      </c>
      <c r="C42" s="24"/>
      <c r="D42" s="10"/>
      <c r="E42" s="31"/>
      <c r="F42" s="32"/>
      <c r="G42" s="32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>
      <c r="A43" s="144" t="s">
        <v>184</v>
      </c>
      <c r="B43" s="10" t="s">
        <v>112</v>
      </c>
      <c r="C43" s="24" t="s">
        <v>30</v>
      </c>
      <c r="D43" s="10" t="s">
        <v>51</v>
      </c>
      <c r="E43" s="31">
        <v>1113.125</v>
      </c>
      <c r="F43" s="32">
        <f>SUM(E43*2/1000)</f>
        <v>2.2262499999999998</v>
      </c>
      <c r="G43" s="54">
        <v>809.74</v>
      </c>
      <c r="H43" s="33">
        <f t="shared" ref="H43:H52" si="9">SUM(F43*G43/1000)</f>
        <v>1.8026836749999999</v>
      </c>
      <c r="I43" s="34">
        <v>0</v>
      </c>
      <c r="J43" s="34">
        <v>0</v>
      </c>
      <c r="K43" s="34">
        <v>0</v>
      </c>
      <c r="L43" s="34">
        <v>0</v>
      </c>
      <c r="M43" s="34">
        <f>F43/2*G43</f>
        <v>901.3418375</v>
      </c>
      <c r="N43" s="34">
        <v>0</v>
      </c>
      <c r="O43" s="34">
        <v>0</v>
      </c>
      <c r="P43" s="34">
        <v>0</v>
      </c>
      <c r="Q43" s="34">
        <f>F43/2*G43</f>
        <v>901.3418375</v>
      </c>
      <c r="R43" s="34">
        <v>0</v>
      </c>
      <c r="S43" s="34">
        <v>0</v>
      </c>
      <c r="T43" s="34">
        <v>0</v>
      </c>
      <c r="U43" s="34">
        <f>SUM(I43:S43)</f>
        <v>1802.683675</v>
      </c>
    </row>
    <row r="44" spans="1:21">
      <c r="A44" s="144" t="s">
        <v>185</v>
      </c>
      <c r="B44" s="10" t="s">
        <v>52</v>
      </c>
      <c r="C44" s="24" t="s">
        <v>30</v>
      </c>
      <c r="D44" s="10" t="s">
        <v>51</v>
      </c>
      <c r="E44" s="31">
        <v>106</v>
      </c>
      <c r="F44" s="32">
        <f>E44*2/1000</f>
        <v>0.21199999999999999</v>
      </c>
      <c r="G44" s="54">
        <v>579.48</v>
      </c>
      <c r="H44" s="33">
        <f t="shared" si="9"/>
        <v>0.12284976</v>
      </c>
      <c r="I44" s="34">
        <v>0</v>
      </c>
      <c r="J44" s="34">
        <v>0</v>
      </c>
      <c r="K44" s="34">
        <v>0</v>
      </c>
      <c r="L44" s="34">
        <v>0</v>
      </c>
      <c r="M44" s="34">
        <f t="shared" ref="M44:M47" si="10">F44/2*G44</f>
        <v>61.424880000000002</v>
      </c>
      <c r="N44" s="34">
        <v>0</v>
      </c>
      <c r="O44" s="34">
        <v>0</v>
      </c>
      <c r="P44" s="34">
        <v>0</v>
      </c>
      <c r="Q44" s="34">
        <f>F44/2*G44</f>
        <v>61.424880000000002</v>
      </c>
      <c r="R44" s="34">
        <v>0</v>
      </c>
      <c r="S44" s="34">
        <v>0</v>
      </c>
      <c r="T44" s="34">
        <v>0</v>
      </c>
      <c r="U44" s="34">
        <f t="shared" ref="U44:U52" si="11">SUM(I44:S44)</f>
        <v>122.84976</v>
      </c>
    </row>
    <row r="45" spans="1:21" ht="12.75" customHeight="1">
      <c r="A45" s="144" t="s">
        <v>186</v>
      </c>
      <c r="B45" s="10" t="s">
        <v>53</v>
      </c>
      <c r="C45" s="24" t="s">
        <v>30</v>
      </c>
      <c r="D45" s="10" t="s">
        <v>51</v>
      </c>
      <c r="E45" s="31">
        <v>1563.28</v>
      </c>
      <c r="F45" s="32">
        <f>SUM(E45*2/1000)</f>
        <v>3.12656</v>
      </c>
      <c r="G45" s="54">
        <v>579.48</v>
      </c>
      <c r="H45" s="33">
        <f t="shared" si="9"/>
        <v>1.8117789888</v>
      </c>
      <c r="I45" s="34">
        <v>0</v>
      </c>
      <c r="J45" s="34">
        <v>0</v>
      </c>
      <c r="K45" s="34">
        <v>0</v>
      </c>
      <c r="L45" s="34">
        <v>0</v>
      </c>
      <c r="M45" s="34">
        <f t="shared" si="10"/>
        <v>905.88949439999999</v>
      </c>
      <c r="N45" s="34">
        <v>0</v>
      </c>
      <c r="O45" s="34">
        <v>0</v>
      </c>
      <c r="P45" s="34">
        <v>0</v>
      </c>
      <c r="Q45" s="34">
        <f>F45/2*G45</f>
        <v>905.88949439999999</v>
      </c>
      <c r="R45" s="34">
        <v>0</v>
      </c>
      <c r="S45" s="34">
        <v>0</v>
      </c>
      <c r="T45" s="34">
        <v>0</v>
      </c>
      <c r="U45" s="34">
        <f t="shared" si="11"/>
        <v>1811.7789888</v>
      </c>
    </row>
    <row r="46" spans="1:21">
      <c r="A46" s="144" t="s">
        <v>187</v>
      </c>
      <c r="B46" s="10" t="s">
        <v>54</v>
      </c>
      <c r="C46" s="24" t="s">
        <v>30</v>
      </c>
      <c r="D46" s="10" t="s">
        <v>51</v>
      </c>
      <c r="E46" s="31">
        <v>1619.6</v>
      </c>
      <c r="F46" s="32">
        <f>SUM(E46*2/1000)</f>
        <v>3.2391999999999999</v>
      </c>
      <c r="G46" s="54">
        <v>606.77</v>
      </c>
      <c r="H46" s="33">
        <f t="shared" si="9"/>
        <v>1.9654493839999998</v>
      </c>
      <c r="I46" s="34">
        <v>0</v>
      </c>
      <c r="J46" s="34">
        <v>0</v>
      </c>
      <c r="K46" s="34">
        <v>0</v>
      </c>
      <c r="L46" s="34">
        <v>0</v>
      </c>
      <c r="M46" s="34">
        <f t="shared" si="10"/>
        <v>982.72469199999989</v>
      </c>
      <c r="N46" s="34">
        <v>0</v>
      </c>
      <c r="O46" s="34">
        <v>0</v>
      </c>
      <c r="P46" s="34">
        <v>0</v>
      </c>
      <c r="Q46" s="34">
        <f>F46/2*G46</f>
        <v>982.72469199999989</v>
      </c>
      <c r="R46" s="34">
        <v>0</v>
      </c>
      <c r="S46" s="34">
        <v>0</v>
      </c>
      <c r="T46" s="34">
        <v>0</v>
      </c>
      <c r="U46" s="34">
        <f t="shared" si="11"/>
        <v>1965.4493839999998</v>
      </c>
    </row>
    <row r="47" spans="1:21">
      <c r="A47" s="144" t="s">
        <v>188</v>
      </c>
      <c r="B47" s="10" t="s">
        <v>111</v>
      </c>
      <c r="C47" s="24" t="s">
        <v>159</v>
      </c>
      <c r="D47" s="10" t="s">
        <v>51</v>
      </c>
      <c r="E47" s="31">
        <v>85.84</v>
      </c>
      <c r="F47" s="32">
        <f>SUM(E47*2/100)</f>
        <v>1.7168000000000001</v>
      </c>
      <c r="G47" s="54">
        <v>72.81</v>
      </c>
      <c r="H47" s="33">
        <f t="shared" ref="H47" si="12">SUM(F47*G47/1000)</f>
        <v>0.125000208</v>
      </c>
      <c r="I47" s="34">
        <v>0</v>
      </c>
      <c r="J47" s="34">
        <v>0</v>
      </c>
      <c r="K47" s="34">
        <v>0</v>
      </c>
      <c r="L47" s="34">
        <v>0</v>
      </c>
      <c r="M47" s="34">
        <f t="shared" si="10"/>
        <v>62.500104000000007</v>
      </c>
      <c r="N47" s="34">
        <v>0</v>
      </c>
      <c r="O47" s="34">
        <v>0</v>
      </c>
      <c r="P47" s="34">
        <v>0</v>
      </c>
      <c r="Q47" s="34">
        <f>F47/2*G47</f>
        <v>62.500104000000007</v>
      </c>
      <c r="R47" s="34">
        <v>0</v>
      </c>
      <c r="S47" s="34">
        <v>0</v>
      </c>
      <c r="T47" s="34">
        <v>0</v>
      </c>
      <c r="U47" s="34">
        <f t="shared" si="11"/>
        <v>125.00020800000001</v>
      </c>
    </row>
    <row r="48" spans="1:21" ht="25.5">
      <c r="A48" s="144" t="s">
        <v>189</v>
      </c>
      <c r="B48" s="10" t="s">
        <v>55</v>
      </c>
      <c r="C48" s="24" t="s">
        <v>30</v>
      </c>
      <c r="D48" s="10" t="s">
        <v>56</v>
      </c>
      <c r="E48" s="31">
        <v>902</v>
      </c>
      <c r="F48" s="32">
        <f>SUM(E48*5/1000)</f>
        <v>4.51</v>
      </c>
      <c r="G48" s="54">
        <v>1213.55</v>
      </c>
      <c r="H48" s="33">
        <f t="shared" si="9"/>
        <v>5.4731104999999998</v>
      </c>
      <c r="I48" s="34">
        <f>F48/5*G48</f>
        <v>1094.6220999999998</v>
      </c>
      <c r="J48" s="34">
        <f>F48/5*G48</f>
        <v>1094.6220999999998</v>
      </c>
      <c r="K48" s="34">
        <v>0</v>
      </c>
      <c r="L48" s="34">
        <v>0</v>
      </c>
      <c r="M48" s="34">
        <f>F48/5*G48</f>
        <v>1094.6220999999998</v>
      </c>
      <c r="N48" s="34">
        <v>0</v>
      </c>
      <c r="O48" s="34">
        <v>0</v>
      </c>
      <c r="P48" s="34">
        <v>0</v>
      </c>
      <c r="Q48" s="34">
        <f>F48/5*G48</f>
        <v>1094.6220999999998</v>
      </c>
      <c r="R48" s="34">
        <v>0</v>
      </c>
      <c r="S48" s="34">
        <v>0</v>
      </c>
      <c r="T48" s="34">
        <f>F48/5*G48</f>
        <v>1094.6220999999998</v>
      </c>
      <c r="U48" s="34">
        <f t="shared" si="11"/>
        <v>4378.4883999999993</v>
      </c>
    </row>
    <row r="49" spans="1:21" ht="38.25" customHeight="1">
      <c r="A49" s="144" t="s">
        <v>190</v>
      </c>
      <c r="B49" s="10" t="s">
        <v>57</v>
      </c>
      <c r="C49" s="24" t="s">
        <v>30</v>
      </c>
      <c r="D49" s="10" t="s">
        <v>51</v>
      </c>
      <c r="E49" s="31">
        <v>902</v>
      </c>
      <c r="F49" s="32">
        <f>SUM(E49*2/1000)</f>
        <v>1.804</v>
      </c>
      <c r="G49" s="54">
        <v>1213.55</v>
      </c>
      <c r="H49" s="33">
        <f t="shared" si="9"/>
        <v>2.1892442000000001</v>
      </c>
      <c r="I49" s="34">
        <v>0</v>
      </c>
      <c r="J49" s="34">
        <v>0</v>
      </c>
      <c r="K49" s="34">
        <f>F49/2*G49</f>
        <v>1094.6221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f>F49/2*G49</f>
        <v>1094.6221</v>
      </c>
      <c r="R49" s="34">
        <v>0</v>
      </c>
      <c r="S49" s="34">
        <v>0</v>
      </c>
      <c r="T49" s="34">
        <v>0</v>
      </c>
      <c r="U49" s="34">
        <f t="shared" si="11"/>
        <v>2189.2442000000001</v>
      </c>
    </row>
    <row r="50" spans="1:21" ht="25.5" customHeight="1">
      <c r="A50" s="144" t="s">
        <v>191</v>
      </c>
      <c r="B50" s="10" t="s">
        <v>58</v>
      </c>
      <c r="C50" s="24" t="s">
        <v>59</v>
      </c>
      <c r="D50" s="10" t="s">
        <v>51</v>
      </c>
      <c r="E50" s="31">
        <v>16</v>
      </c>
      <c r="F50" s="32">
        <f>SUM(E50*2/100)</f>
        <v>0.32</v>
      </c>
      <c r="G50" s="54">
        <v>2730.49</v>
      </c>
      <c r="H50" s="33">
        <f t="shared" si="9"/>
        <v>0.8737568</v>
      </c>
      <c r="I50" s="34">
        <v>0</v>
      </c>
      <c r="J50" s="34">
        <v>0</v>
      </c>
      <c r="K50" s="34">
        <f>F50/2*G50</f>
        <v>436.8784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f>F50/2*G50</f>
        <v>436.8784</v>
      </c>
      <c r="R50" s="34">
        <v>0</v>
      </c>
      <c r="S50" s="34">
        <v>0</v>
      </c>
      <c r="T50" s="34">
        <v>0</v>
      </c>
      <c r="U50" s="34">
        <f t="shared" si="11"/>
        <v>873.7568</v>
      </c>
    </row>
    <row r="51" spans="1:21">
      <c r="A51" s="144" t="s">
        <v>192</v>
      </c>
      <c r="B51" s="10" t="s">
        <v>60</v>
      </c>
      <c r="C51" s="24" t="s">
        <v>61</v>
      </c>
      <c r="D51" s="10" t="s">
        <v>51</v>
      </c>
      <c r="E51" s="31">
        <v>1</v>
      </c>
      <c r="F51" s="32">
        <v>0.02</v>
      </c>
      <c r="G51" s="54">
        <v>5652.13</v>
      </c>
      <c r="H51" s="33">
        <f t="shared" si="9"/>
        <v>0.11304260000000001</v>
      </c>
      <c r="I51" s="34">
        <v>0</v>
      </c>
      <c r="J51" s="34">
        <v>0</v>
      </c>
      <c r="K51" s="34">
        <f>F51/2*G51</f>
        <v>56.521300000000004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f>F51/2*G51</f>
        <v>56.521300000000004</v>
      </c>
      <c r="R51" s="34">
        <v>0</v>
      </c>
      <c r="S51" s="34">
        <v>0</v>
      </c>
      <c r="T51" s="34">
        <v>0</v>
      </c>
      <c r="U51" s="34">
        <f t="shared" si="11"/>
        <v>113.04260000000001</v>
      </c>
    </row>
    <row r="52" spans="1:21" ht="13.5" customHeight="1">
      <c r="A52" s="144" t="s">
        <v>63</v>
      </c>
      <c r="B52" s="10" t="s">
        <v>64</v>
      </c>
      <c r="C52" s="24" t="s">
        <v>62</v>
      </c>
      <c r="D52" s="10" t="s">
        <v>124</v>
      </c>
      <c r="E52" s="31">
        <v>128</v>
      </c>
      <c r="F52" s="32">
        <f>SUM(E52)*3</f>
        <v>384</v>
      </c>
      <c r="G52" s="55">
        <v>65.67</v>
      </c>
      <c r="H52" s="33">
        <f t="shared" si="9"/>
        <v>25.217279999999999</v>
      </c>
      <c r="I52" s="34">
        <f>G52*E52</f>
        <v>8405.76</v>
      </c>
      <c r="J52" s="34">
        <v>0</v>
      </c>
      <c r="K52" s="34">
        <v>0</v>
      </c>
      <c r="L52" s="34">
        <f>I52</f>
        <v>8405.76</v>
      </c>
      <c r="M52" s="34">
        <v>0</v>
      </c>
      <c r="N52" s="34">
        <v>0</v>
      </c>
      <c r="O52" s="34">
        <v>0</v>
      </c>
      <c r="P52" s="34">
        <f>E52*G52</f>
        <v>8405.76</v>
      </c>
      <c r="Q52" s="34">
        <v>0</v>
      </c>
      <c r="R52" s="34">
        <v>0</v>
      </c>
      <c r="S52" s="34">
        <v>0</v>
      </c>
      <c r="T52" s="34">
        <v>0</v>
      </c>
      <c r="U52" s="34">
        <f t="shared" si="11"/>
        <v>25217.279999999999</v>
      </c>
    </row>
    <row r="53" spans="1:21" s="20" customFormat="1">
      <c r="A53" s="145"/>
      <c r="B53" s="19" t="s">
        <v>27</v>
      </c>
      <c r="C53" s="56"/>
      <c r="D53" s="19"/>
      <c r="E53" s="57"/>
      <c r="F53" s="58"/>
      <c r="G53" s="58"/>
      <c r="H53" s="50">
        <f>SUM(H43:H52)</f>
        <v>39.694196115799997</v>
      </c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>
        <f>SUM(U43:U52)</f>
        <v>38599.574015799997</v>
      </c>
    </row>
    <row r="54" spans="1:21">
      <c r="A54" s="144"/>
      <c r="B54" s="11" t="s">
        <v>65</v>
      </c>
      <c r="C54" s="24"/>
      <c r="D54" s="10"/>
      <c r="E54" s="31"/>
      <c r="F54" s="32"/>
      <c r="G54" s="32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ht="38.25" customHeight="1">
      <c r="A55" s="144" t="s">
        <v>193</v>
      </c>
      <c r="B55" s="10" t="s">
        <v>147</v>
      </c>
      <c r="C55" s="24" t="s">
        <v>13</v>
      </c>
      <c r="D55" s="10" t="s">
        <v>66</v>
      </c>
      <c r="E55" s="31">
        <v>123.31</v>
      </c>
      <c r="F55" s="32">
        <f>SUM(E55*6/100)</f>
        <v>7.3986000000000001</v>
      </c>
      <c r="G55" s="54">
        <v>1547.28</v>
      </c>
      <c r="H55" s="33">
        <f>SUM(F55*G55/1000)</f>
        <v>11.447705808</v>
      </c>
      <c r="I55" s="34">
        <f>F55/6*G55</f>
        <v>1907.9509680000001</v>
      </c>
      <c r="J55" s="34">
        <f>F55/6*G55</f>
        <v>1907.9509680000001</v>
      </c>
      <c r="K55" s="34">
        <f>F55/6*G55</f>
        <v>1907.9509680000001</v>
      </c>
      <c r="L55" s="34">
        <f>F55/6*G55</f>
        <v>1907.9509680000001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f>F55/6*G55</f>
        <v>1907.9509680000001</v>
      </c>
      <c r="T55" s="34">
        <f>F55/6*G55</f>
        <v>1907.9509680000001</v>
      </c>
      <c r="U55" s="34">
        <f>SUM(I55:S55)</f>
        <v>9539.7548400000014</v>
      </c>
    </row>
    <row r="56" spans="1:21" ht="12.75" customHeight="1">
      <c r="A56" s="147"/>
      <c r="B56" s="22" t="s">
        <v>67</v>
      </c>
      <c r="C56" s="60"/>
      <c r="D56" s="21"/>
      <c r="E56" s="61"/>
      <c r="F56" s="62"/>
      <c r="G56" s="54"/>
      <c r="H56" s="6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ht="12.75" customHeight="1">
      <c r="A57" s="147" t="s">
        <v>194</v>
      </c>
      <c r="B57" s="21" t="s">
        <v>109</v>
      </c>
      <c r="C57" s="60" t="s">
        <v>24</v>
      </c>
      <c r="D57" s="21" t="s">
        <v>33</v>
      </c>
      <c r="E57" s="61">
        <v>902</v>
      </c>
      <c r="F57" s="62">
        <v>8.9</v>
      </c>
      <c r="G57" s="54">
        <v>793.61</v>
      </c>
      <c r="H57" s="63">
        <f>F57*G57/1000</f>
        <v>7.0631290000000009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f>SUM(I57:S57)</f>
        <v>0</v>
      </c>
    </row>
    <row r="58" spans="1:21">
      <c r="A58" s="147"/>
      <c r="B58" s="14" t="s">
        <v>69</v>
      </c>
      <c r="C58" s="60"/>
      <c r="D58" s="21"/>
      <c r="E58" s="61"/>
      <c r="F58" s="64"/>
      <c r="G58" s="64"/>
      <c r="H58" s="62" t="s">
        <v>44</v>
      </c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 ht="12.75" customHeight="1">
      <c r="A59" s="65" t="s">
        <v>195</v>
      </c>
      <c r="B59" s="15" t="s">
        <v>70</v>
      </c>
      <c r="C59" s="65" t="s">
        <v>62</v>
      </c>
      <c r="D59" s="8" t="s">
        <v>40</v>
      </c>
      <c r="E59" s="38">
        <v>5</v>
      </c>
      <c r="F59" s="32">
        <v>5</v>
      </c>
      <c r="G59" s="54">
        <v>222.4</v>
      </c>
      <c r="H59" s="130">
        <f t="shared" ref="H59:H72" si="13">SUM(F59*G59/1000)</f>
        <v>1.1120000000000001</v>
      </c>
      <c r="I59" s="34">
        <v>0</v>
      </c>
      <c r="J59" s="34">
        <f>G59</f>
        <v>222.4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>G59*3</f>
        <v>667.2</v>
      </c>
      <c r="S59" s="34">
        <v>0</v>
      </c>
      <c r="T59" s="34">
        <v>0</v>
      </c>
      <c r="U59" s="34">
        <f>SUM(I59:S59)</f>
        <v>889.6</v>
      </c>
    </row>
    <row r="60" spans="1:21" ht="12.75" customHeight="1">
      <c r="A60" s="65" t="s">
        <v>196</v>
      </c>
      <c r="B60" s="15" t="s">
        <v>71</v>
      </c>
      <c r="C60" s="65" t="s">
        <v>62</v>
      </c>
      <c r="D60" s="8" t="s">
        <v>40</v>
      </c>
      <c r="E60" s="38">
        <v>5</v>
      </c>
      <c r="F60" s="32">
        <v>5</v>
      </c>
      <c r="G60" s="54">
        <v>76.25</v>
      </c>
      <c r="H60" s="130">
        <f t="shared" si="13"/>
        <v>0.38124999999999998</v>
      </c>
      <c r="I60" s="34">
        <v>0</v>
      </c>
      <c r="J60" s="34">
        <f>G60*5</f>
        <v>381.25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f t="shared" ref="U60:U66" si="14">SUM(I60:S60)</f>
        <v>381.25</v>
      </c>
    </row>
    <row r="61" spans="1:21" s="1" customFormat="1">
      <c r="A61" s="66" t="s">
        <v>197</v>
      </c>
      <c r="B61" s="15" t="s">
        <v>72</v>
      </c>
      <c r="C61" s="66" t="s">
        <v>73</v>
      </c>
      <c r="D61" s="8" t="s">
        <v>33</v>
      </c>
      <c r="E61" s="31">
        <v>13447</v>
      </c>
      <c r="F61" s="55">
        <f>SUM(E61/100)</f>
        <v>134.47</v>
      </c>
      <c r="G61" s="54">
        <v>212.15</v>
      </c>
      <c r="H61" s="130">
        <f t="shared" si="13"/>
        <v>28.527810500000001</v>
      </c>
      <c r="I61" s="53">
        <v>0</v>
      </c>
      <c r="J61" s="53">
        <v>0</v>
      </c>
      <c r="K61" s="53">
        <v>0</v>
      </c>
      <c r="L61" s="53">
        <v>0</v>
      </c>
      <c r="M61" s="53">
        <f>F61*G61</f>
        <v>28527.8105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34">
        <f t="shared" si="14"/>
        <v>28527.8105</v>
      </c>
    </row>
    <row r="62" spans="1:21" ht="12.75" customHeight="1">
      <c r="A62" s="65" t="s">
        <v>198</v>
      </c>
      <c r="B62" s="15" t="s">
        <v>74</v>
      </c>
      <c r="C62" s="65" t="s">
        <v>75</v>
      </c>
      <c r="D62" s="8"/>
      <c r="E62" s="31">
        <v>13447</v>
      </c>
      <c r="F62" s="54">
        <f>SUM(E62/1000)</f>
        <v>13.446999999999999</v>
      </c>
      <c r="G62" s="54">
        <v>165.21</v>
      </c>
      <c r="H62" s="130">
        <f t="shared" si="13"/>
        <v>2.2215788699999997</v>
      </c>
      <c r="I62" s="34">
        <v>0</v>
      </c>
      <c r="J62" s="34">
        <v>0</v>
      </c>
      <c r="K62" s="34">
        <v>0</v>
      </c>
      <c r="L62" s="34">
        <v>0</v>
      </c>
      <c r="M62" s="34">
        <f>F62*G62</f>
        <v>2221.5788699999998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f t="shared" si="14"/>
        <v>2221.5788699999998</v>
      </c>
    </row>
    <row r="63" spans="1:21">
      <c r="A63" s="65" t="s">
        <v>199</v>
      </c>
      <c r="B63" s="15" t="s">
        <v>76</v>
      </c>
      <c r="C63" s="65" t="s">
        <v>77</v>
      </c>
      <c r="D63" s="8" t="s">
        <v>33</v>
      </c>
      <c r="E63" s="31">
        <v>2200</v>
      </c>
      <c r="F63" s="54">
        <f>SUM(E63/100)</f>
        <v>22</v>
      </c>
      <c r="G63" s="54">
        <v>2074.63</v>
      </c>
      <c r="H63" s="130">
        <f t="shared" si="13"/>
        <v>45.641860000000001</v>
      </c>
      <c r="I63" s="34">
        <v>0</v>
      </c>
      <c r="J63" s="34">
        <v>0</v>
      </c>
      <c r="K63" s="34">
        <v>0</v>
      </c>
      <c r="L63" s="34">
        <v>0</v>
      </c>
      <c r="M63" s="34">
        <f>F63*G63</f>
        <v>45641.86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f t="shared" si="14"/>
        <v>45641.86</v>
      </c>
    </row>
    <row r="64" spans="1:21">
      <c r="A64" s="65"/>
      <c r="B64" s="16" t="s">
        <v>99</v>
      </c>
      <c r="C64" s="65" t="s">
        <v>38</v>
      </c>
      <c r="D64" s="8"/>
      <c r="E64" s="31">
        <v>12</v>
      </c>
      <c r="F64" s="54">
        <f>SUM(E64)</f>
        <v>12</v>
      </c>
      <c r="G64" s="54">
        <v>42.67</v>
      </c>
      <c r="H64" s="130">
        <f t="shared" si="13"/>
        <v>0.51203999999999994</v>
      </c>
      <c r="I64" s="34">
        <v>0</v>
      </c>
      <c r="J64" s="34">
        <v>0</v>
      </c>
      <c r="K64" s="34">
        <v>0</v>
      </c>
      <c r="L64" s="34">
        <v>0</v>
      </c>
      <c r="M64" s="34">
        <f>F64*G64</f>
        <v>512.04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f t="shared" si="14"/>
        <v>512.04</v>
      </c>
    </row>
    <row r="65" spans="1:27" ht="12.75" customHeight="1">
      <c r="A65" s="148"/>
      <c r="B65" s="16" t="s">
        <v>100</v>
      </c>
      <c r="C65" s="65" t="s">
        <v>38</v>
      </c>
      <c r="D65" s="8"/>
      <c r="E65" s="31">
        <v>12</v>
      </c>
      <c r="F65" s="54">
        <f>SUM(E65)</f>
        <v>12</v>
      </c>
      <c r="G65" s="54">
        <v>39.81</v>
      </c>
      <c r="H65" s="130">
        <f t="shared" si="13"/>
        <v>0.47772000000000003</v>
      </c>
      <c r="I65" s="34">
        <v>0</v>
      </c>
      <c r="J65" s="34">
        <v>0</v>
      </c>
      <c r="K65" s="34">
        <v>0</v>
      </c>
      <c r="L65" s="34">
        <v>0</v>
      </c>
      <c r="M65" s="34">
        <f>F65*G65</f>
        <v>477.72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f t="shared" si="14"/>
        <v>477.72</v>
      </c>
    </row>
    <row r="66" spans="1:27">
      <c r="A66" s="65" t="s">
        <v>200</v>
      </c>
      <c r="B66" s="8" t="s">
        <v>78</v>
      </c>
      <c r="C66" s="65" t="s">
        <v>79</v>
      </c>
      <c r="D66" s="8" t="s">
        <v>33</v>
      </c>
      <c r="E66" s="38">
        <v>5</v>
      </c>
      <c r="F66" s="32">
        <v>5</v>
      </c>
      <c r="G66" s="54">
        <v>49.88</v>
      </c>
      <c r="H66" s="130">
        <f t="shared" si="13"/>
        <v>0.24940000000000001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>F66*G66</f>
        <v>249.4</v>
      </c>
      <c r="R66" s="34">
        <v>0</v>
      </c>
      <c r="S66" s="34">
        <v>0</v>
      </c>
      <c r="T66" s="34">
        <v>0</v>
      </c>
      <c r="U66" s="34">
        <f t="shared" si="14"/>
        <v>249.4</v>
      </c>
    </row>
    <row r="67" spans="1:27">
      <c r="A67" s="148"/>
      <c r="B67" s="17" t="s">
        <v>80</v>
      </c>
      <c r="C67" s="65"/>
      <c r="D67" s="8"/>
      <c r="E67" s="38"/>
      <c r="F67" s="54"/>
      <c r="G67" s="54"/>
      <c r="H67" s="130" t="s">
        <v>44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7">
      <c r="A68" s="65" t="s">
        <v>201</v>
      </c>
      <c r="B68" s="8" t="s">
        <v>81</v>
      </c>
      <c r="C68" s="65" t="s">
        <v>82</v>
      </c>
      <c r="D68" s="8"/>
      <c r="E68" s="38">
        <v>10</v>
      </c>
      <c r="F68" s="54">
        <v>0.1</v>
      </c>
      <c r="G68" s="54">
        <v>501.62</v>
      </c>
      <c r="H68" s="130">
        <f t="shared" si="13"/>
        <v>5.0162000000000005E-2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f>SUM(I68:S68)</f>
        <v>0</v>
      </c>
    </row>
    <row r="69" spans="1:27">
      <c r="A69" s="65" t="s">
        <v>202</v>
      </c>
      <c r="B69" s="8" t="s">
        <v>101</v>
      </c>
      <c r="C69" s="65" t="s">
        <v>35</v>
      </c>
      <c r="D69" s="8"/>
      <c r="E69" s="38">
        <v>1</v>
      </c>
      <c r="F69" s="68">
        <v>1</v>
      </c>
      <c r="G69" s="54">
        <v>852.99</v>
      </c>
      <c r="H69" s="130">
        <f>F69*G69/1000</f>
        <v>0.85299000000000003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f t="shared" ref="U69:U70" si="15">SUM(I69:S69)</f>
        <v>0</v>
      </c>
    </row>
    <row r="70" spans="1:27">
      <c r="A70" s="65" t="s">
        <v>203</v>
      </c>
      <c r="B70" s="8" t="s">
        <v>103</v>
      </c>
      <c r="C70" s="65" t="s">
        <v>35</v>
      </c>
      <c r="D70" s="8"/>
      <c r="E70" s="38">
        <v>1</v>
      </c>
      <c r="F70" s="54">
        <v>1</v>
      </c>
      <c r="G70" s="54">
        <v>358.51</v>
      </c>
      <c r="H70" s="130">
        <f>G70*F70/1000</f>
        <v>0.35851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f t="shared" si="15"/>
        <v>0</v>
      </c>
    </row>
    <row r="71" spans="1:27">
      <c r="A71" s="148"/>
      <c r="B71" s="69" t="s">
        <v>83</v>
      </c>
      <c r="C71" s="65"/>
      <c r="D71" s="8"/>
      <c r="E71" s="38"/>
      <c r="F71" s="54"/>
      <c r="G71" s="54" t="s">
        <v>44</v>
      </c>
      <c r="H71" s="130" t="s">
        <v>44</v>
      </c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1:27" s="1" customFormat="1">
      <c r="A72" s="66" t="s">
        <v>84</v>
      </c>
      <c r="B72" s="70" t="s">
        <v>85</v>
      </c>
      <c r="C72" s="66" t="s">
        <v>77</v>
      </c>
      <c r="D72" s="15"/>
      <c r="E72" s="71"/>
      <c r="F72" s="55">
        <v>0.1</v>
      </c>
      <c r="G72" s="55">
        <v>2759.44</v>
      </c>
      <c r="H72" s="130">
        <f t="shared" si="13"/>
        <v>0.27594400000000002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34">
        <f>SUM(I72:S72)</f>
        <v>0</v>
      </c>
    </row>
    <row r="73" spans="1:27" s="20" customFormat="1">
      <c r="A73" s="149"/>
      <c r="B73" s="19" t="s">
        <v>27</v>
      </c>
      <c r="C73" s="72"/>
      <c r="D73" s="73"/>
      <c r="E73" s="74"/>
      <c r="F73" s="59"/>
      <c r="G73" s="59"/>
      <c r="H73" s="75">
        <f>SUM(H55:H72)</f>
        <v>99.172100178000008</v>
      </c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>
        <f>SUM(U55:U72)</f>
        <v>88441.014209999979</v>
      </c>
    </row>
    <row r="74" spans="1:27">
      <c r="A74" s="150" t="s">
        <v>131</v>
      </c>
      <c r="B74" s="10" t="s">
        <v>132</v>
      </c>
      <c r="C74" s="77"/>
      <c r="D74" s="78"/>
      <c r="E74" s="127"/>
      <c r="F74" s="79">
        <v>1</v>
      </c>
      <c r="G74" s="80">
        <v>12960</v>
      </c>
      <c r="H74" s="130">
        <f>G74*F74/1000</f>
        <v>12.96</v>
      </c>
      <c r="I74" s="34">
        <v>0</v>
      </c>
      <c r="J74" s="34">
        <v>0</v>
      </c>
      <c r="K74" s="34">
        <v>0</v>
      </c>
      <c r="L74" s="34">
        <v>0</v>
      </c>
      <c r="M74" s="35">
        <v>0</v>
      </c>
      <c r="N74" s="35">
        <v>0</v>
      </c>
      <c r="O74" s="34">
        <v>0</v>
      </c>
      <c r="P74" s="34">
        <v>0</v>
      </c>
      <c r="Q74" s="34">
        <v>0</v>
      </c>
      <c r="R74" s="34">
        <f>G74</f>
        <v>12960</v>
      </c>
      <c r="S74" s="34">
        <v>0</v>
      </c>
      <c r="T74" s="34">
        <v>0</v>
      </c>
      <c r="U74" s="34">
        <f>SUM(I74:S74)</f>
        <v>12960</v>
      </c>
    </row>
    <row r="75" spans="1:27" ht="12.75" customHeight="1">
      <c r="A75" s="65"/>
      <c r="B75" s="76" t="s">
        <v>86</v>
      </c>
      <c r="C75" s="65" t="s">
        <v>87</v>
      </c>
      <c r="D75" s="81"/>
      <c r="E75" s="54">
        <v>3216.2</v>
      </c>
      <c r="F75" s="54">
        <f>SUM(E75*12)</f>
        <v>38594.399999999994</v>
      </c>
      <c r="G75" s="82">
        <v>2.1</v>
      </c>
      <c r="H75" s="130">
        <f>SUM(F75*G75/1000)</f>
        <v>81.048239999999993</v>
      </c>
      <c r="I75" s="34">
        <f>F75/12*G75</f>
        <v>6754.0199999999986</v>
      </c>
      <c r="J75" s="34">
        <f>F75/12*G75</f>
        <v>6754.0199999999986</v>
      </c>
      <c r="K75" s="34">
        <f>F75/12*G75</f>
        <v>6754.0199999999986</v>
      </c>
      <c r="L75" s="34">
        <f>F75/12*G75</f>
        <v>6754.0199999999986</v>
      </c>
      <c r="M75" s="34">
        <f>F75/12*G75</f>
        <v>6754.0199999999986</v>
      </c>
      <c r="N75" s="34">
        <f>F75/12*G75</f>
        <v>6754.0199999999986</v>
      </c>
      <c r="O75" s="34">
        <f>F75/12*G75</f>
        <v>6754.0199999999986</v>
      </c>
      <c r="P75" s="34">
        <f>F75/12*G75</f>
        <v>6754.0199999999986</v>
      </c>
      <c r="Q75" s="34">
        <f>F75/12*G75</f>
        <v>6754.0199999999986</v>
      </c>
      <c r="R75" s="34">
        <f>F75/12*G75</f>
        <v>6754.0199999999986</v>
      </c>
      <c r="S75" s="34">
        <f>F75/12*G75</f>
        <v>6754.0199999999986</v>
      </c>
      <c r="T75" s="34">
        <f>F75/12*G75</f>
        <v>6754.0199999999986</v>
      </c>
      <c r="U75" s="34">
        <f>SUM(I75:S75)</f>
        <v>74294.219999999987</v>
      </c>
    </row>
    <row r="76" spans="1:27" s="18" customFormat="1">
      <c r="A76" s="83"/>
      <c r="B76" s="19" t="s">
        <v>27</v>
      </c>
      <c r="C76" s="84"/>
      <c r="D76" s="85"/>
      <c r="E76" s="86"/>
      <c r="F76" s="45"/>
      <c r="G76" s="87"/>
      <c r="H76" s="46">
        <f>SUM(H74:H75)</f>
        <v>94.008240000000001</v>
      </c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>
        <f>SUM(U74:U75)</f>
        <v>87254.219999999987</v>
      </c>
    </row>
    <row r="77" spans="1:27" ht="25.5" customHeight="1">
      <c r="A77" s="148"/>
      <c r="B77" s="8" t="s">
        <v>88</v>
      </c>
      <c r="C77" s="65"/>
      <c r="D77" s="88"/>
      <c r="E77" s="31">
        <f>E75</f>
        <v>3216.2</v>
      </c>
      <c r="F77" s="54">
        <f>E77*12</f>
        <v>38594.399999999994</v>
      </c>
      <c r="G77" s="54">
        <v>1.63</v>
      </c>
      <c r="H77" s="130">
        <f>F77*G77/1000</f>
        <v>62.908871999999988</v>
      </c>
      <c r="I77" s="34">
        <f>F77/12*G77</f>
        <v>5242.405999999999</v>
      </c>
      <c r="J77" s="34">
        <f>F77/12*G77</f>
        <v>5242.405999999999</v>
      </c>
      <c r="K77" s="34">
        <f>F77/12*G77</f>
        <v>5242.405999999999</v>
      </c>
      <c r="L77" s="34">
        <f>F77/12*G77</f>
        <v>5242.405999999999</v>
      </c>
      <c r="M77" s="34">
        <f>F77/12*G77</f>
        <v>5242.405999999999</v>
      </c>
      <c r="N77" s="34">
        <f>F77/12*G77</f>
        <v>5242.405999999999</v>
      </c>
      <c r="O77" s="34">
        <f>F77/12*G77</f>
        <v>5242.405999999999</v>
      </c>
      <c r="P77" s="34">
        <f>F77/12*G77</f>
        <v>5242.405999999999</v>
      </c>
      <c r="Q77" s="34">
        <f>F77/12*G77</f>
        <v>5242.405999999999</v>
      </c>
      <c r="R77" s="34">
        <f>F77/12*G77</f>
        <v>5242.405999999999</v>
      </c>
      <c r="S77" s="34">
        <f>F77/12*G77</f>
        <v>5242.405999999999</v>
      </c>
      <c r="T77" s="34">
        <f>F77/12*G77</f>
        <v>5242.405999999999</v>
      </c>
      <c r="U77" s="34">
        <f>SUM(I77:S77)</f>
        <v>57666.466</v>
      </c>
    </row>
    <row r="78" spans="1:27" s="18" customFormat="1">
      <c r="A78" s="83"/>
      <c r="B78" s="89" t="s">
        <v>89</v>
      </c>
      <c r="C78" s="90"/>
      <c r="D78" s="89"/>
      <c r="E78" s="45"/>
      <c r="F78" s="45"/>
      <c r="G78" s="45"/>
      <c r="H78" s="75">
        <f>H77</f>
        <v>62.908871999999988</v>
      </c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123">
        <f>U77</f>
        <v>57666.466</v>
      </c>
      <c r="X78" s="173"/>
      <c r="Y78" s="173"/>
      <c r="Z78" s="173"/>
      <c r="AA78" s="173"/>
    </row>
    <row r="79" spans="1:27" s="18" customFormat="1">
      <c r="A79" s="83"/>
      <c r="B79" s="89" t="s">
        <v>90</v>
      </c>
      <c r="C79" s="91"/>
      <c r="D79" s="92"/>
      <c r="E79" s="93"/>
      <c r="F79" s="93"/>
      <c r="G79" s="93"/>
      <c r="H79" s="75">
        <f>SUM(H78+H76+H73+H53+H41+H31+H21)</f>
        <v>642.83900728713331</v>
      </c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123">
        <f>SUM(U78+U76+U73+U53+U41+U31+U21)*1.094</f>
        <v>624442.32833847671</v>
      </c>
    </row>
    <row r="80" spans="1:27" s="118" customFormat="1" ht="51" customHeight="1">
      <c r="A80" s="151"/>
      <c r="B80" s="69"/>
      <c r="C80" s="65"/>
      <c r="D80" s="88"/>
      <c r="E80" s="54"/>
      <c r="F80" s="54"/>
      <c r="G80" s="54"/>
      <c r="H80" s="117"/>
      <c r="I80" s="54"/>
      <c r="J80" s="54"/>
      <c r="K80" s="54"/>
      <c r="L80" s="54"/>
      <c r="M80" s="54"/>
      <c r="N80" s="54"/>
      <c r="O80" s="54"/>
      <c r="P80" s="54"/>
      <c r="Q80" s="54"/>
      <c r="R80" s="133"/>
      <c r="S80" s="133"/>
      <c r="T80" s="133"/>
      <c r="U80" s="132" t="s">
        <v>164</v>
      </c>
    </row>
    <row r="81" spans="1:21">
      <c r="A81" s="152"/>
      <c r="B81" s="88" t="s">
        <v>91</v>
      </c>
      <c r="C81" s="65"/>
      <c r="D81" s="88"/>
      <c r="E81" s="54"/>
      <c r="F81" s="54"/>
      <c r="G81" s="54" t="s">
        <v>92</v>
      </c>
      <c r="H81" s="94">
        <f>E77</f>
        <v>3216.2</v>
      </c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1:21" s="18" customFormat="1">
      <c r="A82" s="83"/>
      <c r="B82" s="92" t="s">
        <v>93</v>
      </c>
      <c r="C82" s="91"/>
      <c r="D82" s="92"/>
      <c r="E82" s="93"/>
      <c r="F82" s="93"/>
      <c r="G82" s="93"/>
      <c r="H82" s="95">
        <f>SUM(H79/H81/12*1000)</f>
        <v>16.656276747070386</v>
      </c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124"/>
    </row>
    <row r="83" spans="1:21">
      <c r="A83" s="96"/>
      <c r="B83" s="88"/>
      <c r="C83" s="65"/>
      <c r="D83" s="88"/>
      <c r="E83" s="54"/>
      <c r="F83" s="54"/>
      <c r="G83" s="54"/>
      <c r="H83" s="97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125"/>
    </row>
    <row r="84" spans="1:21">
      <c r="A84" s="148"/>
      <c r="B84" s="69" t="s">
        <v>94</v>
      </c>
      <c r="C84" s="65"/>
      <c r="D84" s="88"/>
      <c r="E84" s="54"/>
      <c r="F84" s="54"/>
      <c r="G84" s="54"/>
      <c r="H84" s="5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spans="1:21" ht="25.5">
      <c r="A85" s="119" t="s">
        <v>125</v>
      </c>
      <c r="B85" s="120" t="s">
        <v>126</v>
      </c>
      <c r="C85" s="121" t="s">
        <v>127</v>
      </c>
      <c r="D85" s="88"/>
      <c r="E85" s="54"/>
      <c r="F85" s="54">
        <v>3</v>
      </c>
      <c r="G85" s="54">
        <v>383.01</v>
      </c>
      <c r="H85" s="130">
        <f>G85*F85/1000</f>
        <v>1.14903</v>
      </c>
      <c r="I85" s="34">
        <f>G85*2</f>
        <v>766.02</v>
      </c>
      <c r="J85" s="34">
        <v>0</v>
      </c>
      <c r="K85" s="34">
        <v>0</v>
      </c>
      <c r="L85" s="34">
        <f>G85</f>
        <v>383.01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f>SUM(I85:S85)</f>
        <v>1149.03</v>
      </c>
    </row>
    <row r="86" spans="1:21" ht="25.5">
      <c r="A86" s="134" t="s">
        <v>204</v>
      </c>
      <c r="B86" s="135" t="s">
        <v>133</v>
      </c>
      <c r="C86" s="129" t="s">
        <v>62</v>
      </c>
      <c r="D86" s="88"/>
      <c r="E86" s="54"/>
      <c r="F86" s="54">
        <v>1</v>
      </c>
      <c r="G86" s="54">
        <v>180.15</v>
      </c>
      <c r="H86" s="130">
        <f t="shared" ref="H86" si="16">G86*F86/1000</f>
        <v>0.18015</v>
      </c>
      <c r="I86" s="34">
        <f>G86</f>
        <v>180.15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f t="shared" ref="U86:U109" si="17">SUM(I86:S86)</f>
        <v>180.15</v>
      </c>
    </row>
    <row r="87" spans="1:21" ht="12.75" customHeight="1">
      <c r="A87" s="131" t="s">
        <v>205</v>
      </c>
      <c r="B87" s="136" t="s">
        <v>142</v>
      </c>
      <c r="C87" s="131" t="s">
        <v>143</v>
      </c>
      <c r="D87" s="88"/>
      <c r="E87" s="54"/>
      <c r="F87" s="54">
        <v>1</v>
      </c>
      <c r="G87" s="54">
        <v>290.91000000000003</v>
      </c>
      <c r="H87" s="130">
        <f>G87*F87/1000</f>
        <v>0.29091</v>
      </c>
      <c r="I87" s="34">
        <f>G87</f>
        <v>290.91000000000003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/>
      <c r="U87" s="34">
        <f t="shared" si="17"/>
        <v>290.91000000000003</v>
      </c>
    </row>
    <row r="88" spans="1:21" ht="25.5">
      <c r="A88" s="119" t="s">
        <v>125</v>
      </c>
      <c r="B88" s="120" t="s">
        <v>128</v>
      </c>
      <c r="C88" s="121" t="s">
        <v>127</v>
      </c>
      <c r="D88" s="88"/>
      <c r="E88" s="54"/>
      <c r="F88" s="54">
        <v>3</v>
      </c>
      <c r="G88" s="54">
        <v>1835.8</v>
      </c>
      <c r="H88" s="130">
        <f t="shared" ref="H88" si="18">G88*F88/1000</f>
        <v>5.5073999999999996</v>
      </c>
      <c r="I88" s="34">
        <v>0</v>
      </c>
      <c r="J88" s="34">
        <f>G88</f>
        <v>1835.8</v>
      </c>
      <c r="K88" s="34">
        <f>G88</f>
        <v>1835.8</v>
      </c>
      <c r="L88" s="34">
        <f>G88</f>
        <v>1835.8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f t="shared" si="17"/>
        <v>5507.4</v>
      </c>
    </row>
    <row r="89" spans="1:21">
      <c r="A89" s="134" t="s">
        <v>206</v>
      </c>
      <c r="B89" s="135" t="s">
        <v>141</v>
      </c>
      <c r="C89" s="129" t="s">
        <v>139</v>
      </c>
      <c r="D89" s="88"/>
      <c r="E89" s="54"/>
      <c r="F89" s="54">
        <v>2</v>
      </c>
      <c r="G89" s="54">
        <v>185.81</v>
      </c>
      <c r="H89" s="130">
        <f t="shared" ref="H89:H97" si="19">G89*F89/1000</f>
        <v>0.37162000000000001</v>
      </c>
      <c r="I89" s="34">
        <v>0</v>
      </c>
      <c r="J89" s="34">
        <f>G89</f>
        <v>185.81</v>
      </c>
      <c r="K89" s="34">
        <v>0</v>
      </c>
      <c r="L89" s="34">
        <v>0</v>
      </c>
      <c r="M89" s="34">
        <f>G89</f>
        <v>185.81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f t="shared" si="17"/>
        <v>371.62</v>
      </c>
    </row>
    <row r="90" spans="1:21" ht="25.5">
      <c r="A90" s="134" t="s">
        <v>204</v>
      </c>
      <c r="B90" s="135" t="s">
        <v>133</v>
      </c>
      <c r="C90" s="129" t="s">
        <v>62</v>
      </c>
      <c r="D90" s="88"/>
      <c r="E90" s="54"/>
      <c r="F90" s="54">
        <v>4</v>
      </c>
      <c r="G90" s="54">
        <v>180.15</v>
      </c>
      <c r="H90" s="130">
        <f t="shared" si="19"/>
        <v>0.72060000000000002</v>
      </c>
      <c r="I90" s="34">
        <v>0</v>
      </c>
      <c r="J90" s="34">
        <f>G90</f>
        <v>180.15</v>
      </c>
      <c r="K90" s="34">
        <v>0</v>
      </c>
      <c r="L90" s="34">
        <f>G90*3</f>
        <v>540.45000000000005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f t="shared" si="17"/>
        <v>720.6</v>
      </c>
    </row>
    <row r="91" spans="1:21" ht="25.5" customHeight="1">
      <c r="A91" s="131" t="s">
        <v>207</v>
      </c>
      <c r="B91" s="136" t="s">
        <v>151</v>
      </c>
      <c r="C91" s="131" t="s">
        <v>148</v>
      </c>
      <c r="D91" s="88"/>
      <c r="E91" s="54"/>
      <c r="F91" s="54">
        <v>1</v>
      </c>
      <c r="G91" s="54">
        <v>771.29</v>
      </c>
      <c r="H91" s="130">
        <f t="shared" si="19"/>
        <v>0.77128999999999992</v>
      </c>
      <c r="I91" s="34">
        <v>0</v>
      </c>
      <c r="J91" s="34">
        <v>0</v>
      </c>
      <c r="K91" s="34">
        <v>0</v>
      </c>
      <c r="L91" s="34">
        <f>G91+(78.89+27.36+92.74+109.73*2)</f>
        <v>1189.74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/>
      <c r="U91" s="34">
        <f t="shared" si="17"/>
        <v>1189.74</v>
      </c>
    </row>
    <row r="92" spans="1:21" ht="25.5" customHeight="1">
      <c r="A92" s="131" t="s">
        <v>207</v>
      </c>
      <c r="B92" s="136" t="s">
        <v>152</v>
      </c>
      <c r="C92" s="131" t="s">
        <v>148</v>
      </c>
      <c r="D92" s="88"/>
      <c r="E92" s="54"/>
      <c r="F92" s="54">
        <v>1</v>
      </c>
      <c r="G92" s="54">
        <v>960.74</v>
      </c>
      <c r="H92" s="130">
        <f t="shared" si="19"/>
        <v>0.96074000000000004</v>
      </c>
      <c r="I92" s="34">
        <v>0</v>
      </c>
      <c r="J92" s="34">
        <v>0</v>
      </c>
      <c r="K92" s="34">
        <v>0</v>
      </c>
      <c r="L92" s="34">
        <f>G92</f>
        <v>960.74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/>
      <c r="U92" s="34">
        <f t="shared" si="17"/>
        <v>960.74</v>
      </c>
    </row>
    <row r="93" spans="1:21" ht="25.5">
      <c r="A93" s="131" t="s">
        <v>208</v>
      </c>
      <c r="B93" s="136" t="s">
        <v>150</v>
      </c>
      <c r="C93" s="137" t="s">
        <v>149</v>
      </c>
      <c r="D93" s="88"/>
      <c r="E93" s="54"/>
      <c r="F93" s="54">
        <v>1</v>
      </c>
      <c r="G93" s="54">
        <f>228.27</f>
        <v>228.27</v>
      </c>
      <c r="H93" s="130">
        <f t="shared" si="19"/>
        <v>0.22827</v>
      </c>
      <c r="I93" s="34">
        <v>0</v>
      </c>
      <c r="J93" s="34">
        <v>0</v>
      </c>
      <c r="K93" s="34">
        <v>0</v>
      </c>
      <c r="L93" s="34">
        <f>G93</f>
        <v>228.27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/>
      <c r="U93" s="34">
        <f t="shared" si="17"/>
        <v>228.27</v>
      </c>
    </row>
    <row r="94" spans="1:21">
      <c r="A94" s="131" t="s">
        <v>209</v>
      </c>
      <c r="B94" s="136" t="s">
        <v>160</v>
      </c>
      <c r="C94" s="131" t="s">
        <v>140</v>
      </c>
      <c r="D94" s="88"/>
      <c r="E94" s="54"/>
      <c r="F94" s="54">
        <v>1</v>
      </c>
      <c r="G94" s="54">
        <v>238.63</v>
      </c>
      <c r="H94" s="130">
        <f t="shared" si="19"/>
        <v>0.23863000000000001</v>
      </c>
      <c r="I94" s="34">
        <v>0</v>
      </c>
      <c r="J94" s="34">
        <v>0</v>
      </c>
      <c r="K94" s="34">
        <v>0</v>
      </c>
      <c r="L94" s="34">
        <v>0</v>
      </c>
      <c r="M94" s="34">
        <f>G94</f>
        <v>238.63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/>
      <c r="U94" s="34">
        <f t="shared" si="17"/>
        <v>238.63</v>
      </c>
    </row>
    <row r="95" spans="1:21" ht="38.25">
      <c r="A95" s="138" t="s">
        <v>210</v>
      </c>
      <c r="B95" s="139" t="s">
        <v>161</v>
      </c>
      <c r="C95" s="140" t="s">
        <v>20</v>
      </c>
      <c r="D95" s="88"/>
      <c r="E95" s="54"/>
      <c r="F95" s="54">
        <f>2/10</f>
        <v>0.2</v>
      </c>
      <c r="G95" s="54">
        <v>39222.99</v>
      </c>
      <c r="H95" s="130">
        <f t="shared" si="19"/>
        <v>7.8445979999999995</v>
      </c>
      <c r="I95" s="34">
        <v>0</v>
      </c>
      <c r="J95" s="34">
        <v>0</v>
      </c>
      <c r="K95" s="34">
        <v>0</v>
      </c>
      <c r="L95" s="34">
        <v>0</v>
      </c>
      <c r="M95" s="34">
        <f>G95*0.2</f>
        <v>7844.598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/>
      <c r="U95" s="34">
        <f t="shared" si="17"/>
        <v>7844.598</v>
      </c>
    </row>
    <row r="96" spans="1:21" ht="25.5">
      <c r="A96" s="131" t="s">
        <v>215</v>
      </c>
      <c r="B96" s="136" t="s">
        <v>216</v>
      </c>
      <c r="C96" s="131" t="s">
        <v>217</v>
      </c>
      <c r="D96" s="8"/>
      <c r="E96" s="38"/>
      <c r="F96" s="54">
        <v>5</v>
      </c>
      <c r="G96" s="54">
        <v>195.95</v>
      </c>
      <c r="H96" s="130">
        <f>G96*F96/1000</f>
        <v>0.97975000000000001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f>G96*2</f>
        <v>391.9</v>
      </c>
      <c r="O96" s="34">
        <v>0</v>
      </c>
      <c r="P96" s="34">
        <v>0</v>
      </c>
      <c r="Q96" s="34">
        <v>0</v>
      </c>
      <c r="R96" s="34">
        <v>0</v>
      </c>
      <c r="S96" s="34">
        <f>G96*3</f>
        <v>587.84999999999991</v>
      </c>
      <c r="T96" s="34"/>
      <c r="U96" s="34">
        <f t="shared" si="17"/>
        <v>979.74999999999989</v>
      </c>
    </row>
    <row r="97" spans="1:21" ht="25.5">
      <c r="A97" s="131" t="s">
        <v>192</v>
      </c>
      <c r="B97" s="136" t="s">
        <v>163</v>
      </c>
      <c r="C97" s="131" t="s">
        <v>162</v>
      </c>
      <c r="D97" s="88"/>
      <c r="E97" s="54"/>
      <c r="F97" s="54">
        <f>2/100</f>
        <v>0.02</v>
      </c>
      <c r="G97" s="54">
        <v>7033.13</v>
      </c>
      <c r="H97" s="130">
        <f t="shared" si="19"/>
        <v>0.1406626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f>G97*0.01</f>
        <v>70.331299999999999</v>
      </c>
      <c r="O97" s="34">
        <v>0</v>
      </c>
      <c r="P97" s="34">
        <v>0</v>
      </c>
      <c r="Q97" s="34">
        <v>0</v>
      </c>
      <c r="R97" s="34">
        <f>G97*0.01</f>
        <v>70.331299999999999</v>
      </c>
      <c r="S97" s="34">
        <v>0</v>
      </c>
      <c r="T97" s="34"/>
      <c r="U97" s="34">
        <f t="shared" si="17"/>
        <v>140.6626</v>
      </c>
    </row>
    <row r="98" spans="1:21" ht="38.25">
      <c r="A98" s="134" t="s">
        <v>211</v>
      </c>
      <c r="B98" s="135" t="s">
        <v>134</v>
      </c>
      <c r="C98" s="129" t="s">
        <v>135</v>
      </c>
      <c r="D98" s="88"/>
      <c r="E98" s="54"/>
      <c r="F98" s="54">
        <v>1</v>
      </c>
      <c r="G98" s="54">
        <v>51.39</v>
      </c>
      <c r="H98" s="130">
        <f>G98*F98/1000</f>
        <v>5.1389999999999998E-2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f>G98</f>
        <v>51.39</v>
      </c>
      <c r="Q98" s="34">
        <v>0</v>
      </c>
      <c r="R98" s="34">
        <v>0</v>
      </c>
      <c r="S98" s="34">
        <v>0</v>
      </c>
      <c r="T98" s="34">
        <v>0</v>
      </c>
      <c r="U98" s="34">
        <f t="shared" si="17"/>
        <v>51.39</v>
      </c>
    </row>
    <row r="99" spans="1:21">
      <c r="A99" s="134" t="s">
        <v>212</v>
      </c>
      <c r="B99" s="135" t="s">
        <v>213</v>
      </c>
      <c r="C99" s="129" t="s">
        <v>214</v>
      </c>
      <c r="D99" s="88"/>
      <c r="E99" s="54"/>
      <c r="F99" s="54">
        <f>12/3</f>
        <v>4</v>
      </c>
      <c r="G99" s="54">
        <v>1063.47</v>
      </c>
      <c r="H99" s="130">
        <v>3.54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f>G99</f>
        <v>1063.47</v>
      </c>
      <c r="Q99" s="34">
        <f>G99</f>
        <v>1063.47</v>
      </c>
      <c r="R99" s="34">
        <f>G99*((3+3)/3)</f>
        <v>2126.94</v>
      </c>
      <c r="S99" s="34">
        <v>0</v>
      </c>
      <c r="T99" s="34"/>
      <c r="U99" s="34">
        <f t="shared" si="17"/>
        <v>4253.88</v>
      </c>
    </row>
    <row r="100" spans="1:21">
      <c r="A100" s="157" t="s">
        <v>224</v>
      </c>
      <c r="B100" s="135" t="s">
        <v>225</v>
      </c>
      <c r="C100" s="134" t="s">
        <v>226</v>
      </c>
      <c r="D100" s="158"/>
      <c r="E100" s="159"/>
      <c r="F100" s="159">
        <v>3.1</v>
      </c>
      <c r="G100" s="159">
        <v>3210.77</v>
      </c>
      <c r="H100" s="160">
        <f t="shared" ref="H100:H102" si="20">G100*F100/1000</f>
        <v>9.9533870000000011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f>G100*0.1</f>
        <v>321.077</v>
      </c>
      <c r="R100" s="34">
        <f>G100*3</f>
        <v>9632.31</v>
      </c>
      <c r="S100" s="34">
        <v>0</v>
      </c>
      <c r="T100" s="34"/>
      <c r="U100" s="34">
        <f>SUM(I100:S100)</f>
        <v>9953.3869999999988</v>
      </c>
    </row>
    <row r="101" spans="1:21">
      <c r="A101" s="134" t="s">
        <v>239</v>
      </c>
      <c r="B101" s="135" t="s">
        <v>240</v>
      </c>
      <c r="C101" s="134" t="s">
        <v>140</v>
      </c>
      <c r="D101" s="158"/>
      <c r="E101" s="159"/>
      <c r="F101" s="159">
        <v>1</v>
      </c>
      <c r="G101" s="159">
        <v>835</v>
      </c>
      <c r="H101" s="160">
        <f t="shared" si="20"/>
        <v>0.83499999999999996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>G101</f>
        <v>835</v>
      </c>
      <c r="S101" s="34">
        <v>0</v>
      </c>
      <c r="T101" s="34"/>
      <c r="U101" s="34">
        <f t="shared" ref="U101:U102" si="21">SUM(I101:S101)</f>
        <v>835</v>
      </c>
    </row>
    <row r="102" spans="1:21" ht="25.5">
      <c r="A102" s="131" t="s">
        <v>238</v>
      </c>
      <c r="B102" s="136" t="s">
        <v>237</v>
      </c>
      <c r="C102" s="131" t="s">
        <v>236</v>
      </c>
      <c r="D102" s="158"/>
      <c r="E102" s="159"/>
      <c r="F102" s="159">
        <v>1</v>
      </c>
      <c r="G102" s="159">
        <v>286.55</v>
      </c>
      <c r="H102" s="160">
        <f t="shared" si="20"/>
        <v>0.28655000000000003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>G102</f>
        <v>286.55</v>
      </c>
      <c r="S102" s="34">
        <v>0</v>
      </c>
      <c r="T102" s="34"/>
      <c r="U102" s="34">
        <f t="shared" si="21"/>
        <v>286.55</v>
      </c>
    </row>
    <row r="103" spans="1:21" ht="25.5">
      <c r="A103" s="134" t="s">
        <v>191</v>
      </c>
      <c r="B103" s="135" t="s">
        <v>137</v>
      </c>
      <c r="C103" s="131" t="s">
        <v>59</v>
      </c>
      <c r="D103" s="88"/>
      <c r="E103" s="54"/>
      <c r="F103" s="54">
        <v>0.01</v>
      </c>
      <c r="G103" s="54">
        <v>3397.65</v>
      </c>
      <c r="H103" s="130">
        <f>G103*F103/1000</f>
        <v>3.39765E-2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f>G103*0.01</f>
        <v>33.976500000000001</v>
      </c>
      <c r="S103" s="34">
        <v>0</v>
      </c>
      <c r="T103" s="34">
        <v>0</v>
      </c>
      <c r="U103" s="34">
        <f t="shared" si="17"/>
        <v>33.976500000000001</v>
      </c>
    </row>
    <row r="104" spans="1:21" ht="25.5">
      <c r="A104" s="134" t="s">
        <v>232</v>
      </c>
      <c r="B104" s="135" t="s">
        <v>233</v>
      </c>
      <c r="C104" s="129" t="s">
        <v>148</v>
      </c>
      <c r="D104" s="8"/>
      <c r="E104" s="38"/>
      <c r="F104" s="54">
        <v>5</v>
      </c>
      <c r="G104" s="54">
        <v>1187</v>
      </c>
      <c r="H104" s="130">
        <f t="shared" ref="H104:H107" si="22">G104*F104/1000</f>
        <v>5.9349999999999996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f>G104*5</f>
        <v>5935</v>
      </c>
      <c r="T104" s="34"/>
      <c r="U104" s="34">
        <f t="shared" si="17"/>
        <v>5935</v>
      </c>
    </row>
    <row r="105" spans="1:21">
      <c r="A105" s="134" t="s">
        <v>234</v>
      </c>
      <c r="B105" s="135" t="s">
        <v>235</v>
      </c>
      <c r="C105" s="129" t="s">
        <v>62</v>
      </c>
      <c r="D105" s="8"/>
      <c r="E105" s="38"/>
      <c r="F105" s="54">
        <v>1</v>
      </c>
      <c r="G105" s="54">
        <v>310</v>
      </c>
      <c r="H105" s="130">
        <f t="shared" si="22"/>
        <v>0.31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f>G105</f>
        <v>310</v>
      </c>
      <c r="T105" s="34"/>
      <c r="U105" s="34">
        <f t="shared" si="17"/>
        <v>310</v>
      </c>
    </row>
    <row r="106" spans="1:21" ht="25.5">
      <c r="A106" s="157" t="s">
        <v>242</v>
      </c>
      <c r="B106" s="135" t="s">
        <v>241</v>
      </c>
      <c r="C106" s="134" t="s">
        <v>140</v>
      </c>
      <c r="D106" s="8"/>
      <c r="E106" s="38"/>
      <c r="F106" s="54">
        <v>1</v>
      </c>
      <c r="G106" s="54">
        <v>559.62</v>
      </c>
      <c r="H106" s="130">
        <f t="shared" si="22"/>
        <v>0.55962000000000001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f>G106</f>
        <v>559.62</v>
      </c>
      <c r="T106" s="34"/>
      <c r="U106" s="34">
        <f t="shared" si="17"/>
        <v>559.62</v>
      </c>
    </row>
    <row r="107" spans="1:21" ht="25.5">
      <c r="A107" s="131" t="s">
        <v>245</v>
      </c>
      <c r="B107" s="136" t="s">
        <v>243</v>
      </c>
      <c r="C107" s="137" t="s">
        <v>244</v>
      </c>
      <c r="D107" s="8"/>
      <c r="E107" s="38"/>
      <c r="F107" s="54">
        <v>1</v>
      </c>
      <c r="G107" s="54">
        <v>133.16999999999999</v>
      </c>
      <c r="H107" s="130">
        <f t="shared" si="22"/>
        <v>0.13316999999999998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f>G107</f>
        <v>133.16999999999999</v>
      </c>
      <c r="T107" s="34"/>
      <c r="U107" s="34">
        <f t="shared" si="17"/>
        <v>133.16999999999999</v>
      </c>
    </row>
    <row r="108" spans="1:21">
      <c r="A108" s="119" t="s">
        <v>223</v>
      </c>
      <c r="B108" s="156" t="s">
        <v>222</v>
      </c>
      <c r="C108" s="134" t="s">
        <v>62</v>
      </c>
      <c r="D108" s="88"/>
      <c r="E108" s="54"/>
      <c r="F108" s="54">
        <v>2</v>
      </c>
      <c r="G108" s="54">
        <v>179.96</v>
      </c>
      <c r="H108" s="130">
        <f>G108*F108/1000</f>
        <v>0.35992000000000002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f>G108*2</f>
        <v>359.92</v>
      </c>
      <c r="T108" s="34"/>
      <c r="U108" s="34">
        <f t="shared" si="17"/>
        <v>359.92</v>
      </c>
    </row>
    <row r="109" spans="1:21" ht="25.5">
      <c r="A109" s="119" t="s">
        <v>221</v>
      </c>
      <c r="B109" s="135" t="s">
        <v>220</v>
      </c>
      <c r="C109" s="134" t="s">
        <v>87</v>
      </c>
      <c r="D109" s="88"/>
      <c r="E109" s="54"/>
      <c r="F109" s="54">
        <v>4.2</v>
      </c>
      <c r="G109" s="54">
        <v>666.39</v>
      </c>
      <c r="H109" s="130">
        <f>G109*F109/1000</f>
        <v>2.7988380000000004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f>G109*F109</f>
        <v>2798.8380000000002</v>
      </c>
      <c r="T109" s="34"/>
      <c r="U109" s="34">
        <f t="shared" si="17"/>
        <v>2798.8380000000002</v>
      </c>
    </row>
    <row r="110" spans="1:21">
      <c r="A110" s="98"/>
      <c r="B110" s="99" t="s">
        <v>95</v>
      </c>
      <c r="C110" s="98"/>
      <c r="D110" s="98"/>
      <c r="E110" s="93"/>
      <c r="F110" s="93"/>
      <c r="G110" s="93"/>
      <c r="H110" s="46">
        <f>SUM(H85:H109)</f>
        <v>44.180502100000012</v>
      </c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45">
        <f>SUM(U85:U109)</f>
        <v>45312.8321</v>
      </c>
    </row>
    <row r="111" spans="1:21" ht="12" customHeight="1">
      <c r="A111" s="96"/>
      <c r="B111" s="100"/>
      <c r="C111" s="101"/>
      <c r="D111" s="101"/>
      <c r="E111" s="54"/>
      <c r="F111" s="54"/>
      <c r="G111" s="54"/>
      <c r="H111" s="102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126"/>
    </row>
    <row r="112" spans="1:21" s="18" customFormat="1" ht="25.5">
      <c r="A112" s="148"/>
      <c r="B112" s="17" t="s">
        <v>96</v>
      </c>
      <c r="C112" s="65"/>
      <c r="D112" s="88"/>
      <c r="E112" s="54"/>
      <c r="F112" s="54"/>
      <c r="G112" s="54"/>
      <c r="H112" s="103">
        <f>H110/E113/12*1000</f>
        <v>1.1447386693406303</v>
      </c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126"/>
    </row>
    <row r="113" spans="1:21">
      <c r="A113" s="83"/>
      <c r="B113" s="104" t="s">
        <v>97</v>
      </c>
      <c r="C113" s="105"/>
      <c r="D113" s="104"/>
      <c r="E113" s="153">
        <v>3216.2</v>
      </c>
      <c r="F113" s="106">
        <f>SUM(E113*12)</f>
        <v>38594.399999999994</v>
      </c>
      <c r="G113" s="107">
        <f>H82+H112</f>
        <v>17.801015416411015</v>
      </c>
      <c r="H113" s="108">
        <f>SUM(F113*G113/1000)</f>
        <v>687.01950938713321</v>
      </c>
      <c r="I113" s="93">
        <f t="shared" ref="I113:T113" si="23">SUM(I11:I112)</f>
        <v>53906.737974083328</v>
      </c>
      <c r="J113" s="93">
        <f t="shared" si="23"/>
        <v>47069.307974083327</v>
      </c>
      <c r="K113" s="93">
        <f t="shared" si="23"/>
        <v>46593.097674083343</v>
      </c>
      <c r="L113" s="93">
        <f t="shared" si="23"/>
        <v>62256.245874083324</v>
      </c>
      <c r="M113" s="93">
        <f t="shared" si="23"/>
        <v>129087.98743778888</v>
      </c>
      <c r="N113" s="93">
        <f t="shared" si="23"/>
        <v>36363.908219388875</v>
      </c>
      <c r="O113" s="93">
        <f t="shared" si="23"/>
        <v>35901.676919388876</v>
      </c>
      <c r="P113" s="93">
        <f t="shared" si="23"/>
        <v>45422.296919388886</v>
      </c>
      <c r="Q113" s="93">
        <f t="shared" si="23"/>
        <v>43132.148827288875</v>
      </c>
      <c r="R113" s="93">
        <f t="shared" si="23"/>
        <v>62513.984719388871</v>
      </c>
      <c r="S113" s="93">
        <f t="shared" si="23"/>
        <v>53853.673874083339</v>
      </c>
      <c r="T113" s="93">
        <f t="shared" si="23"/>
        <v>44263.897974083331</v>
      </c>
      <c r="U113" s="45">
        <f>U79+U110</f>
        <v>669755.16043847671</v>
      </c>
    </row>
    <row r="114" spans="1:21">
      <c r="A114" s="67"/>
      <c r="B114" s="67"/>
      <c r="C114" s="67"/>
      <c r="D114" s="67"/>
      <c r="E114" s="109"/>
      <c r="F114" s="109"/>
      <c r="G114" s="109"/>
      <c r="H114" s="109"/>
      <c r="I114" s="109"/>
      <c r="J114" s="109"/>
      <c r="K114" s="109"/>
      <c r="L114" s="109"/>
      <c r="M114" s="67"/>
      <c r="N114" s="109"/>
      <c r="O114" s="67"/>
      <c r="P114" s="67"/>
      <c r="Q114" s="67"/>
      <c r="R114" s="67"/>
      <c r="S114" s="67"/>
      <c r="T114" s="67"/>
      <c r="U114" s="67"/>
    </row>
    <row r="115" spans="1:21">
      <c r="A115" s="67"/>
      <c r="B115" s="67"/>
      <c r="C115" s="67"/>
      <c r="D115" s="67"/>
      <c r="E115" s="109"/>
      <c r="F115" s="109"/>
      <c r="G115" s="109"/>
      <c r="H115" s="109"/>
      <c r="I115" s="109"/>
      <c r="J115" s="110"/>
      <c r="K115" s="111"/>
      <c r="L115" s="110"/>
      <c r="M115" s="109"/>
      <c r="N115" s="67"/>
      <c r="O115" s="67"/>
      <c r="P115" s="67"/>
      <c r="Q115" s="67"/>
      <c r="R115" s="67"/>
      <c r="S115" s="67"/>
      <c r="T115" s="67"/>
      <c r="U115" s="67"/>
    </row>
    <row r="116" spans="1:21" ht="51.75" customHeight="1">
      <c r="A116" s="67"/>
      <c r="B116" s="116" t="s">
        <v>138</v>
      </c>
      <c r="C116" s="161">
        <v>204383.21</v>
      </c>
      <c r="D116" s="162"/>
      <c r="E116" s="162"/>
      <c r="F116" s="163"/>
      <c r="G116" s="109"/>
      <c r="H116" s="109"/>
      <c r="I116" s="109"/>
      <c r="J116" s="110"/>
      <c r="K116" s="111"/>
      <c r="L116" s="110"/>
      <c r="M116" s="109"/>
      <c r="N116" s="67"/>
      <c r="O116" s="67"/>
      <c r="P116" s="67"/>
      <c r="Q116" s="67"/>
      <c r="R116" s="67"/>
      <c r="S116" s="67"/>
      <c r="T116" s="67"/>
      <c r="U116" s="67"/>
    </row>
    <row r="117" spans="1:21" ht="33.75" customHeight="1">
      <c r="A117" s="67"/>
      <c r="B117" s="116" t="s">
        <v>228</v>
      </c>
      <c r="C117" s="161">
        <f>61361.45*11</f>
        <v>674975.95</v>
      </c>
      <c r="D117" s="162"/>
      <c r="E117" s="162"/>
      <c r="F117" s="163"/>
      <c r="G117" s="109"/>
      <c r="H117" s="109"/>
      <c r="I117" s="109"/>
      <c r="J117" s="110"/>
      <c r="K117" s="111"/>
      <c r="L117" s="110"/>
      <c r="M117" s="109"/>
      <c r="N117" s="67"/>
      <c r="O117" s="67"/>
      <c r="P117" s="67"/>
      <c r="Q117" s="67"/>
      <c r="R117" s="67"/>
      <c r="S117" s="67"/>
      <c r="T117" s="67"/>
      <c r="U117" s="67"/>
    </row>
    <row r="118" spans="1:21" ht="33.75" customHeight="1">
      <c r="A118" s="67"/>
      <c r="B118" s="116" t="s">
        <v>229</v>
      </c>
      <c r="C118" s="161">
        <f>SUM(U113-U110)</f>
        <v>624442.32833847671</v>
      </c>
      <c r="D118" s="162"/>
      <c r="E118" s="162"/>
      <c r="F118" s="163"/>
      <c r="G118" s="109"/>
      <c r="H118" s="109"/>
      <c r="I118" s="109"/>
      <c r="J118" s="110"/>
      <c r="K118" s="111"/>
      <c r="L118" s="110"/>
      <c r="M118" s="109"/>
      <c r="N118" s="67"/>
      <c r="O118" s="67"/>
      <c r="P118" s="67"/>
      <c r="Q118" s="67"/>
      <c r="R118" s="67"/>
      <c r="S118" s="67"/>
      <c r="T118" s="67"/>
      <c r="U118" s="67"/>
    </row>
    <row r="119" spans="1:21" ht="33.75" customHeight="1">
      <c r="A119" s="67"/>
      <c r="B119" s="116" t="s">
        <v>230</v>
      </c>
      <c r="C119" s="161">
        <f>SUM(U110)</f>
        <v>45312.8321</v>
      </c>
      <c r="D119" s="162"/>
      <c r="E119" s="162"/>
      <c r="F119" s="163"/>
      <c r="G119" s="109"/>
      <c r="H119" s="109"/>
      <c r="I119" s="109"/>
      <c r="J119" s="110"/>
      <c r="K119" s="111"/>
      <c r="L119" s="110"/>
      <c r="M119" s="109"/>
      <c r="N119" s="67"/>
      <c r="O119" s="67"/>
      <c r="P119" s="67"/>
      <c r="Q119" s="67"/>
      <c r="R119" s="67"/>
      <c r="S119" s="67"/>
      <c r="T119" s="67"/>
      <c r="U119" s="67"/>
    </row>
    <row r="120" spans="1:21" ht="30">
      <c r="A120" s="67"/>
      <c r="B120" s="122" t="s">
        <v>231</v>
      </c>
      <c r="C120" s="161">
        <f>46074.74+50144.5+68778.08+47911.67+61464.61+46575.85+53527.17+60795.4+51222.5+48723.83+67987.75</f>
        <v>603206.1</v>
      </c>
      <c r="D120" s="162"/>
      <c r="E120" s="162"/>
      <c r="F120" s="163"/>
      <c r="G120" s="67"/>
      <c r="I120" s="112" t="s">
        <v>102</v>
      </c>
      <c r="J120" s="113"/>
      <c r="K120" s="114"/>
      <c r="L120" s="115"/>
      <c r="M120" s="112"/>
      <c r="N120" s="112"/>
      <c r="O120" s="67"/>
      <c r="P120" s="67"/>
      <c r="Q120" s="67"/>
      <c r="R120" s="67"/>
      <c r="S120" s="67"/>
      <c r="T120" s="67"/>
      <c r="U120" s="67"/>
    </row>
    <row r="121" spans="1:21" ht="78.75">
      <c r="A121" s="67"/>
      <c r="B121" s="155" t="s">
        <v>218</v>
      </c>
      <c r="C121" s="167">
        <v>360875.96</v>
      </c>
      <c r="D121" s="168"/>
      <c r="E121" s="168"/>
      <c r="F121" s="169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</row>
    <row r="122" spans="1:21" ht="51.75" customHeight="1">
      <c r="A122" s="67"/>
      <c r="B122" s="116" t="s">
        <v>219</v>
      </c>
      <c r="C122" s="164">
        <f>SUM(U113-C117)+C116</f>
        <v>199162.42043847675</v>
      </c>
      <c r="D122" s="165"/>
      <c r="E122" s="165"/>
      <c r="F122" s="166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</row>
    <row r="124" spans="1:21">
      <c r="J124" s="3"/>
      <c r="K124" s="4"/>
      <c r="L124" s="4"/>
      <c r="M124" s="2"/>
    </row>
    <row r="125" spans="1:21">
      <c r="G125" s="5"/>
      <c r="H125" s="5"/>
    </row>
    <row r="126" spans="1:21">
      <c r="G126" s="6"/>
    </row>
  </sheetData>
  <mergeCells count="12">
    <mergeCell ref="B3:L3"/>
    <mergeCell ref="B4:L4"/>
    <mergeCell ref="B5:L5"/>
    <mergeCell ref="B6:L6"/>
    <mergeCell ref="X78:AA78"/>
    <mergeCell ref="C116:F116"/>
    <mergeCell ref="C122:F122"/>
    <mergeCell ref="C117:F117"/>
    <mergeCell ref="C118:F118"/>
    <mergeCell ref="C119:F119"/>
    <mergeCell ref="C120:F120"/>
    <mergeCell ref="C121:F121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Косм.,5</vt:lpstr>
      <vt:lpstr>'Косм.,5'!Область_печати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2015-08-06T12:22:17Z</cp:lastPrinted>
  <dcterms:created xsi:type="dcterms:W3CDTF">2014-02-05T12:20:20Z</dcterms:created>
  <dcterms:modified xsi:type="dcterms:W3CDTF">2017-03-07T05:39:59Z</dcterms:modified>
</cp:coreProperties>
</file>