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40" windowWidth="15480" windowHeight="11280" activeTab="11"/>
  </bookViews>
  <sheets>
    <sheet name="01.21" sheetId="8" r:id="rId1"/>
    <sheet name="02.21" sheetId="17" r:id="rId2"/>
    <sheet name="03.21" sheetId="18" r:id="rId3"/>
    <sheet name="04.21" sheetId="19" r:id="rId4"/>
    <sheet name="05.21" sheetId="20" r:id="rId5"/>
    <sheet name="06.21" sheetId="21" r:id="rId6"/>
    <sheet name="07.21" sheetId="22" r:id="rId7"/>
    <sheet name="08.21" sheetId="23" r:id="rId8"/>
    <sheet name="09.21" sheetId="24" r:id="rId9"/>
    <sheet name="10.21" sheetId="25" r:id="rId10"/>
    <sheet name="11.21" sheetId="26" r:id="rId11"/>
    <sheet name="12.21" sheetId="27" r:id="rId12"/>
  </sheets>
  <definedNames>
    <definedName name="_xlnm._FilterDatabase" localSheetId="0" hidden="1">'01.21'!$I$12:$I$66</definedName>
    <definedName name="_xlnm._FilterDatabase" localSheetId="1" hidden="1">'02.21'!$I$12:$I$66</definedName>
    <definedName name="_xlnm._FilterDatabase" localSheetId="2" hidden="1">'03.21'!$I$12:$I$66</definedName>
    <definedName name="_xlnm._FilterDatabase" localSheetId="3" hidden="1">'04.21'!$I$12:$I$66</definedName>
    <definedName name="_xlnm._FilterDatabase" localSheetId="4" hidden="1">'05.21'!$I$12:$I$65</definedName>
    <definedName name="_xlnm._FilterDatabase" localSheetId="5" hidden="1">'06.21'!$I$12:$I$65</definedName>
    <definedName name="_xlnm._FilterDatabase" localSheetId="6" hidden="1">'07.21'!$I$12:$I$65</definedName>
    <definedName name="_xlnm._FilterDatabase" localSheetId="7" hidden="1">'08.21'!$I$12:$I$65</definedName>
    <definedName name="_xlnm._FilterDatabase" localSheetId="8" hidden="1">'09.21'!$I$12:$I$65</definedName>
    <definedName name="_xlnm._FilterDatabase" localSheetId="9" hidden="1">'10.21'!$I$12:$I$65</definedName>
    <definedName name="_xlnm._FilterDatabase" localSheetId="10" hidden="1">'11.21'!$I$12:$I$67</definedName>
    <definedName name="_xlnm._FilterDatabase" localSheetId="11" hidden="1">'12.21'!$I$12:$I$67</definedName>
    <definedName name="_xlnm.Print_Area" localSheetId="0">'01.21'!$A$1:$I$113</definedName>
    <definedName name="_xlnm.Print_Area" localSheetId="1">'02.21'!$A$1:$I$114</definedName>
    <definedName name="_xlnm.Print_Area" localSheetId="2">'03.21'!$A$1:$I$115</definedName>
    <definedName name="_xlnm.Print_Area" localSheetId="3">'04.21'!$A$1:$I$113</definedName>
    <definedName name="_xlnm.Print_Area" localSheetId="4">'05.21'!$A$1:$I$112</definedName>
    <definedName name="_xlnm.Print_Area" localSheetId="5">'06.21'!$A$1:$I$113</definedName>
    <definedName name="_xlnm.Print_Area" localSheetId="6">'07.21'!$A$1:$I$111</definedName>
    <definedName name="_xlnm.Print_Area" localSheetId="7">'08.21'!$A$1:$I$113</definedName>
    <definedName name="_xlnm.Print_Area" localSheetId="8">'09.21'!$A$1:$I$114</definedName>
    <definedName name="_xlnm.Print_Area" localSheetId="9">'10.21'!$A$1:$I$116</definedName>
    <definedName name="_xlnm.Print_Area" localSheetId="10">'11.21'!$A$1:$I$116</definedName>
    <definedName name="_xlnm.Print_Area" localSheetId="11">'12.21'!$A$1:$I$116</definedName>
  </definedNames>
  <calcPr calcId="125725"/>
</workbook>
</file>

<file path=xl/calcChain.xml><?xml version="1.0" encoding="utf-8"?>
<calcChain xmlns="http://schemas.openxmlformats.org/spreadsheetml/2006/main">
  <c r="I86" i="27"/>
  <c r="I93"/>
  <c r="I91"/>
  <c r="I90"/>
  <c r="I39"/>
  <c r="I89" i="26"/>
  <c r="I86" l="1"/>
  <c r="I93"/>
  <c r="I91"/>
  <c r="I90"/>
  <c r="F91"/>
  <c r="I76"/>
  <c r="I39"/>
  <c r="I84" i="25" l="1"/>
  <c r="I93"/>
  <c r="I91"/>
  <c r="I90"/>
  <c r="I87"/>
  <c r="F87"/>
  <c r="I74"/>
  <c r="I91" i="24"/>
  <c r="I90"/>
  <c r="I84" l="1"/>
  <c r="I89"/>
  <c r="I84" i="23"/>
  <c r="I90"/>
  <c r="I89"/>
  <c r="I88"/>
  <c r="I84" i="22"/>
  <c r="I80"/>
  <c r="I88"/>
  <c r="I89" i="21"/>
  <c r="I88"/>
  <c r="I87"/>
  <c r="I87" i="20" l="1"/>
  <c r="I89" i="19" l="1"/>
  <c r="I89" i="18"/>
  <c r="I88"/>
  <c r="F88"/>
  <c r="I58"/>
  <c r="I43"/>
  <c r="I38"/>
  <c r="I90" i="17"/>
  <c r="I89"/>
  <c r="I43"/>
  <c r="I38"/>
  <c r="I58" i="8"/>
  <c r="I43"/>
  <c r="I38"/>
  <c r="I82" i="27" l="1"/>
  <c r="I44" i="26"/>
  <c r="I88" i="19" l="1"/>
  <c r="F88"/>
  <c r="I59"/>
  <c r="I58" i="17"/>
  <c r="I60" i="27" l="1"/>
  <c r="I59"/>
  <c r="I44"/>
  <c r="H44"/>
  <c r="F43"/>
  <c r="H43" s="1"/>
  <c r="F42"/>
  <c r="I42" s="1"/>
  <c r="F41"/>
  <c r="I41" s="1"/>
  <c r="F40"/>
  <c r="I40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64" i="26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22" l="1"/>
  <c r="H17"/>
  <c r="H20"/>
  <c r="H26"/>
  <c r="H22" i="27"/>
  <c r="H41"/>
  <c r="H17"/>
  <c r="H20"/>
  <c r="H26"/>
  <c r="H40"/>
  <c r="H42"/>
  <c r="I43"/>
  <c r="I18"/>
  <c r="H18"/>
  <c r="I16"/>
  <c r="I19"/>
  <c r="I21"/>
  <c r="I23"/>
  <c r="I27"/>
  <c r="I18" i="26"/>
  <c r="H18"/>
  <c r="I16"/>
  <c r="I19"/>
  <c r="I21"/>
  <c r="I23"/>
  <c r="I27"/>
  <c r="F33" i="25"/>
  <c r="H33" s="1"/>
  <c r="E32"/>
  <c r="F32" s="1"/>
  <c r="F31"/>
  <c r="I31" s="1"/>
  <c r="F30"/>
  <c r="H30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62" i="24"/>
  <c r="H17" i="25" l="1"/>
  <c r="H20"/>
  <c r="H22"/>
  <c r="I32"/>
  <c r="H32"/>
  <c r="I30"/>
  <c r="H31"/>
  <c r="I33"/>
  <c r="I18"/>
  <c r="H18"/>
  <c r="I16"/>
  <c r="I19"/>
  <c r="I21"/>
  <c r="I23"/>
  <c r="H26"/>
  <c r="I27"/>
  <c r="F33" i="24"/>
  <c r="H33" s="1"/>
  <c r="E32"/>
  <c r="F32" s="1"/>
  <c r="F31"/>
  <c r="I31" s="1"/>
  <c r="F30"/>
  <c r="H30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33" i="23"/>
  <c r="H33" s="1"/>
  <c r="E32"/>
  <c r="F32" s="1"/>
  <c r="F31"/>
  <c r="I31" s="1"/>
  <c r="F30"/>
  <c r="H30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17" i="24" l="1"/>
  <c r="H20"/>
  <c r="I32"/>
  <c r="H32"/>
  <c r="I30"/>
  <c r="H31"/>
  <c r="I33"/>
  <c r="I18"/>
  <c r="H18"/>
  <c r="I16"/>
  <c r="I19"/>
  <c r="I21"/>
  <c r="H22"/>
  <c r="I23"/>
  <c r="H26"/>
  <c r="I27"/>
  <c r="I32" i="23"/>
  <c r="H32"/>
  <c r="I30"/>
  <c r="H31"/>
  <c r="I33"/>
  <c r="H17"/>
  <c r="H20"/>
  <c r="H22"/>
  <c r="I18"/>
  <c r="H18"/>
  <c r="I16"/>
  <c r="I19"/>
  <c r="I21"/>
  <c r="I23"/>
  <c r="H26"/>
  <c r="I27"/>
  <c r="F27" i="22" l="1"/>
  <c r="H27" s="1"/>
  <c r="F26"/>
  <c r="I26" s="1"/>
  <c r="I25"/>
  <c r="H25"/>
  <c r="I24"/>
  <c r="H24"/>
  <c r="F23"/>
  <c r="I23" s="1"/>
  <c r="F22"/>
  <c r="I22" s="1"/>
  <c r="F21"/>
  <c r="H21" s="1"/>
  <c r="F20"/>
  <c r="I20" s="1"/>
  <c r="F19"/>
  <c r="H19" s="1"/>
  <c r="E18"/>
  <c r="F18" s="1"/>
  <c r="F17"/>
  <c r="I17" s="1"/>
  <c r="F16"/>
  <c r="H16" s="1"/>
  <c r="F27" i="21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E18"/>
  <c r="F18" s="1"/>
  <c r="F17"/>
  <c r="I17" s="1"/>
  <c r="F16"/>
  <c r="H16" s="1"/>
  <c r="F27" i="20"/>
  <c r="H27" s="1"/>
  <c r="E18"/>
  <c r="F18" s="1"/>
  <c r="F17"/>
  <c r="H17" s="1"/>
  <c r="F16"/>
  <c r="I16" s="1"/>
  <c r="F27" i="19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27" i="18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27" i="17"/>
  <c r="H27" s="1"/>
  <c r="F26"/>
  <c r="I26" s="1"/>
  <c r="I25"/>
  <c r="H25"/>
  <c r="I24"/>
  <c r="H24"/>
  <c r="F23"/>
  <c r="H23" s="1"/>
  <c r="H22"/>
  <c r="F22"/>
  <c r="I22" s="1"/>
  <c r="F21"/>
  <c r="H21" s="1"/>
  <c r="F20"/>
  <c r="I20" s="1"/>
  <c r="F19"/>
  <c r="H19" s="1"/>
  <c r="E18"/>
  <c r="F18" s="1"/>
  <c r="F17"/>
  <c r="I17" s="1"/>
  <c r="F16"/>
  <c r="H16" s="1"/>
  <c r="F27" i="8"/>
  <c r="I62" i="20"/>
  <c r="I88" i="17"/>
  <c r="F88"/>
  <c r="I89" i="8"/>
  <c r="H19" i="21" l="1"/>
  <c r="I19"/>
  <c r="H26" i="18"/>
  <c r="H26" i="17"/>
  <c r="H20" i="18"/>
  <c r="H20" i="17"/>
  <c r="H17"/>
  <c r="H17" i="18"/>
  <c r="H22"/>
  <c r="H22" i="19"/>
  <c r="H20"/>
  <c r="H26"/>
  <c r="H23" i="22"/>
  <c r="I18"/>
  <c r="H18"/>
  <c r="I16"/>
  <c r="H17"/>
  <c r="I19"/>
  <c r="H20"/>
  <c r="I21"/>
  <c r="H22"/>
  <c r="H26"/>
  <c r="I27"/>
  <c r="H17" i="21"/>
  <c r="I18"/>
  <c r="H18"/>
  <c r="I16"/>
  <c r="H20"/>
  <c r="I21"/>
  <c r="H22"/>
  <c r="I23"/>
  <c r="H26"/>
  <c r="I27"/>
  <c r="H16" i="20"/>
  <c r="I27"/>
  <c r="H18"/>
  <c r="I18"/>
  <c r="I17"/>
  <c r="I18" i="19"/>
  <c r="H18"/>
  <c r="I16"/>
  <c r="H17"/>
  <c r="I19"/>
  <c r="I21"/>
  <c r="I23"/>
  <c r="I27"/>
  <c r="I18" i="18"/>
  <c r="H18"/>
  <c r="I16"/>
  <c r="I19"/>
  <c r="I21"/>
  <c r="I23"/>
  <c r="I27"/>
  <c r="I18" i="17"/>
  <c r="H18"/>
  <c r="I16"/>
  <c r="I19"/>
  <c r="I21"/>
  <c r="I23"/>
  <c r="I27"/>
  <c r="I88" i="27"/>
  <c r="I89"/>
  <c r="H89"/>
  <c r="I82" i="26" l="1"/>
  <c r="I88" l="1"/>
  <c r="I86" i="25"/>
  <c r="I62"/>
  <c r="I86" i="24" l="1"/>
  <c r="I86" i="23"/>
  <c r="H86"/>
  <c r="I86" i="22" l="1"/>
  <c r="H86"/>
  <c r="I86" i="21"/>
  <c r="I90" s="1"/>
  <c r="H86"/>
  <c r="I80" i="20"/>
  <c r="I86"/>
  <c r="I89" s="1"/>
  <c r="H86"/>
  <c r="I53" i="19"/>
  <c r="I87"/>
  <c r="I90" s="1"/>
  <c r="H87"/>
  <c r="I43"/>
  <c r="I87" i="18"/>
  <c r="I92" s="1"/>
  <c r="H87"/>
  <c r="I87" i="17" l="1"/>
  <c r="I91" s="1"/>
  <c r="H87"/>
  <c r="H89" i="8"/>
  <c r="I88"/>
  <c r="I90" s="1"/>
  <c r="H88"/>
  <c r="I64" i="27" l="1"/>
  <c r="F85"/>
  <c r="I85" s="1"/>
  <c r="F84"/>
  <c r="H84" s="1"/>
  <c r="H82"/>
  <c r="H80"/>
  <c r="F78"/>
  <c r="H78" s="1"/>
  <c r="H77"/>
  <c r="F76"/>
  <c r="H76" s="1"/>
  <c r="H75"/>
  <c r="F74"/>
  <c r="H74" s="1"/>
  <c r="F72"/>
  <c r="I72" s="1"/>
  <c r="F71"/>
  <c r="H71" s="1"/>
  <c r="F70"/>
  <c r="I70" s="1"/>
  <c r="F69"/>
  <c r="H69" s="1"/>
  <c r="F68"/>
  <c r="I68" s="1"/>
  <c r="F67"/>
  <c r="H67" s="1"/>
  <c r="F66"/>
  <c r="I66" s="1"/>
  <c r="H65"/>
  <c r="F64"/>
  <c r="H64" s="1"/>
  <c r="F62"/>
  <c r="H62" s="1"/>
  <c r="H60"/>
  <c r="F59"/>
  <c r="I56"/>
  <c r="F56"/>
  <c r="H56" s="1"/>
  <c r="I55"/>
  <c r="F55"/>
  <c r="H55" s="1"/>
  <c r="I54"/>
  <c r="H54"/>
  <c r="F53"/>
  <c r="I53" s="1"/>
  <c r="F52"/>
  <c r="I52" s="1"/>
  <c r="F51"/>
  <c r="I51" s="1"/>
  <c r="F50"/>
  <c r="I50" s="1"/>
  <c r="F49"/>
  <c r="I49" s="1"/>
  <c r="F48"/>
  <c r="I48" s="1"/>
  <c r="F47"/>
  <c r="I47" s="1"/>
  <c r="F46"/>
  <c r="I46" s="1"/>
  <c r="H39"/>
  <c r="H37"/>
  <c r="H36"/>
  <c r="H35"/>
  <c r="F35"/>
  <c r="I35" s="1"/>
  <c r="E35"/>
  <c r="F34"/>
  <c r="I34" s="1"/>
  <c r="E33"/>
  <c r="F33" s="1"/>
  <c r="F32"/>
  <c r="I32" s="1"/>
  <c r="F31"/>
  <c r="I31" s="1"/>
  <c r="F28"/>
  <c r="I28" s="1"/>
  <c r="F85" i="26"/>
  <c r="I85" s="1"/>
  <c r="F84"/>
  <c r="H84" s="1"/>
  <c r="H82"/>
  <c r="H80"/>
  <c r="F78"/>
  <c r="H78" s="1"/>
  <c r="H77"/>
  <c r="F76"/>
  <c r="H76" s="1"/>
  <c r="H75"/>
  <c r="F74"/>
  <c r="H74" s="1"/>
  <c r="F72"/>
  <c r="I72" s="1"/>
  <c r="F71"/>
  <c r="H71" s="1"/>
  <c r="F70"/>
  <c r="I70" s="1"/>
  <c r="F69"/>
  <c r="H69" s="1"/>
  <c r="F68"/>
  <c r="I68" s="1"/>
  <c r="F67"/>
  <c r="H67" s="1"/>
  <c r="H66"/>
  <c r="F66"/>
  <c r="I66" s="1"/>
  <c r="H65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H44"/>
  <c r="F43"/>
  <c r="I43" s="1"/>
  <c r="F42"/>
  <c r="H42" s="1"/>
  <c r="F41"/>
  <c r="I41" s="1"/>
  <c r="F40"/>
  <c r="H40" s="1"/>
  <c r="H39"/>
  <c r="H37"/>
  <c r="H36"/>
  <c r="H35"/>
  <c r="F35"/>
  <c r="I35" s="1"/>
  <c r="E35"/>
  <c r="F34"/>
  <c r="I34" s="1"/>
  <c r="E33"/>
  <c r="F33" s="1"/>
  <c r="H33" s="1"/>
  <c r="F32"/>
  <c r="H32" s="1"/>
  <c r="F31"/>
  <c r="I31" s="1"/>
  <c r="F28"/>
  <c r="H28" s="1"/>
  <c r="H47" l="1"/>
  <c r="H51"/>
  <c r="H85"/>
  <c r="H70"/>
  <c r="H68"/>
  <c r="H72"/>
  <c r="H32" i="27"/>
  <c r="H59"/>
  <c r="H28"/>
  <c r="H50"/>
  <c r="H46"/>
  <c r="H48"/>
  <c r="H52"/>
  <c r="H33"/>
  <c r="I33"/>
  <c r="H31"/>
  <c r="H34"/>
  <c r="H47"/>
  <c r="H49"/>
  <c r="H51"/>
  <c r="H53"/>
  <c r="H66"/>
  <c r="I67"/>
  <c r="H68"/>
  <c r="I69"/>
  <c r="H70"/>
  <c r="I71"/>
  <c r="H72"/>
  <c r="I84"/>
  <c r="H85"/>
  <c r="H49" i="26"/>
  <c r="H53"/>
  <c r="H31"/>
  <c r="H34"/>
  <c r="H43"/>
  <c r="H41"/>
  <c r="I28"/>
  <c r="I32"/>
  <c r="I33"/>
  <c r="I40"/>
  <c r="I42"/>
  <c r="I46"/>
  <c r="I48"/>
  <c r="I50"/>
  <c r="I52"/>
  <c r="I59"/>
  <c r="I67"/>
  <c r="I69"/>
  <c r="I71"/>
  <c r="I84"/>
  <c r="I95" i="27" l="1"/>
  <c r="I95" i="26"/>
  <c r="F83" i="25"/>
  <c r="I83" s="1"/>
  <c r="F82"/>
  <c r="H82" s="1"/>
  <c r="H80"/>
  <c r="H78"/>
  <c r="F76"/>
  <c r="H76" s="1"/>
  <c r="H75"/>
  <c r="F74"/>
  <c r="H74" s="1"/>
  <c r="H73"/>
  <c r="F72"/>
  <c r="H72" s="1"/>
  <c r="F70"/>
  <c r="I70" s="1"/>
  <c r="F69"/>
  <c r="H69" s="1"/>
  <c r="F68"/>
  <c r="I68" s="1"/>
  <c r="F67"/>
  <c r="H67" s="1"/>
  <c r="F66"/>
  <c r="I66" s="1"/>
  <c r="F65"/>
  <c r="H65" s="1"/>
  <c r="F64"/>
  <c r="I64" s="1"/>
  <c r="H63"/>
  <c r="F62"/>
  <c r="H62" s="1"/>
  <c r="F60"/>
  <c r="H60" s="1"/>
  <c r="H58"/>
  <c r="F57"/>
  <c r="I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F83" i="24"/>
  <c r="H83" s="1"/>
  <c r="F82"/>
  <c r="I82" s="1"/>
  <c r="H80"/>
  <c r="H78"/>
  <c r="F76"/>
  <c r="H76" s="1"/>
  <c r="H75"/>
  <c r="F74"/>
  <c r="H74" s="1"/>
  <c r="H73"/>
  <c r="F72"/>
  <c r="H72" s="1"/>
  <c r="F70"/>
  <c r="H70" s="1"/>
  <c r="F69"/>
  <c r="H69" s="1"/>
  <c r="F68"/>
  <c r="I68" s="1"/>
  <c r="F67"/>
  <c r="H67" s="1"/>
  <c r="F66"/>
  <c r="I66" s="1"/>
  <c r="F65"/>
  <c r="H65" s="1"/>
  <c r="F64"/>
  <c r="I64" s="1"/>
  <c r="H63"/>
  <c r="F62"/>
  <c r="H62" s="1"/>
  <c r="F60"/>
  <c r="H60" s="1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F83" i="23"/>
  <c r="I83" s="1"/>
  <c r="F82"/>
  <c r="H82" s="1"/>
  <c r="H80"/>
  <c r="H78"/>
  <c r="F76"/>
  <c r="H76" s="1"/>
  <c r="H75"/>
  <c r="F74"/>
  <c r="H74" s="1"/>
  <c r="H73"/>
  <c r="F72"/>
  <c r="H72" s="1"/>
  <c r="F70"/>
  <c r="I70" s="1"/>
  <c r="F69"/>
  <c r="H69" s="1"/>
  <c r="F68"/>
  <c r="H68" s="1"/>
  <c r="F67"/>
  <c r="I67" s="1"/>
  <c r="F66"/>
  <c r="H66" s="1"/>
  <c r="F65"/>
  <c r="I65" s="1"/>
  <c r="F64"/>
  <c r="H64" s="1"/>
  <c r="H63"/>
  <c r="F62"/>
  <c r="H62" s="1"/>
  <c r="F60"/>
  <c r="H60" s="1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F38"/>
  <c r="I38" s="1"/>
  <c r="I37"/>
  <c r="H37"/>
  <c r="H35"/>
  <c r="H34"/>
  <c r="F83" i="22"/>
  <c r="I83" s="1"/>
  <c r="F82"/>
  <c r="H82" s="1"/>
  <c r="H80"/>
  <c r="H78"/>
  <c r="F76"/>
  <c r="H76" s="1"/>
  <c r="H75"/>
  <c r="F74"/>
  <c r="H74" s="1"/>
  <c r="H73"/>
  <c r="F72"/>
  <c r="H72" s="1"/>
  <c r="F70"/>
  <c r="I70" s="1"/>
  <c r="F69"/>
  <c r="H69" s="1"/>
  <c r="F68"/>
  <c r="H68" s="1"/>
  <c r="F67"/>
  <c r="I67" s="1"/>
  <c r="F66"/>
  <c r="H66" s="1"/>
  <c r="F65"/>
  <c r="I65" s="1"/>
  <c r="F64"/>
  <c r="H64" s="1"/>
  <c r="H63"/>
  <c r="F62"/>
  <c r="H62" s="1"/>
  <c r="F60"/>
  <c r="H60" s="1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F38"/>
  <c r="I38" s="1"/>
  <c r="I37"/>
  <c r="H37"/>
  <c r="H35"/>
  <c r="H34"/>
  <c r="F33"/>
  <c r="H33" s="1"/>
  <c r="E32"/>
  <c r="F32" s="1"/>
  <c r="F31"/>
  <c r="I31" s="1"/>
  <c r="F30"/>
  <c r="H30" s="1"/>
  <c r="F83" i="21"/>
  <c r="I83" s="1"/>
  <c r="F82"/>
  <c r="I82" s="1"/>
  <c r="H80"/>
  <c r="H78"/>
  <c r="F76"/>
  <c r="H76" s="1"/>
  <c r="H75"/>
  <c r="F74"/>
  <c r="H74" s="1"/>
  <c r="H73"/>
  <c r="F72"/>
  <c r="H72" s="1"/>
  <c r="F70"/>
  <c r="H70" s="1"/>
  <c r="F69"/>
  <c r="H69" s="1"/>
  <c r="F68"/>
  <c r="I68" s="1"/>
  <c r="F67"/>
  <c r="H67" s="1"/>
  <c r="F66"/>
  <c r="I66" s="1"/>
  <c r="F65"/>
  <c r="H65" s="1"/>
  <c r="F64"/>
  <c r="I64" s="1"/>
  <c r="H63"/>
  <c r="F62"/>
  <c r="H62" s="1"/>
  <c r="F60"/>
  <c r="H60" s="1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F33"/>
  <c r="I33" s="1"/>
  <c r="E32"/>
  <c r="F32" s="1"/>
  <c r="F31"/>
  <c r="H31" s="1"/>
  <c r="F30"/>
  <c r="I30" s="1"/>
  <c r="I52" i="20"/>
  <c r="F83"/>
  <c r="I83" s="1"/>
  <c r="F82"/>
  <c r="H82" s="1"/>
  <c r="H80"/>
  <c r="H78"/>
  <c r="F76"/>
  <c r="H76" s="1"/>
  <c r="H75"/>
  <c r="F74"/>
  <c r="H74" s="1"/>
  <c r="H73"/>
  <c r="F72"/>
  <c r="H72" s="1"/>
  <c r="F70"/>
  <c r="I70" s="1"/>
  <c r="F69"/>
  <c r="H69" s="1"/>
  <c r="F68"/>
  <c r="H68" s="1"/>
  <c r="F67"/>
  <c r="H67" s="1"/>
  <c r="F66"/>
  <c r="H66" s="1"/>
  <c r="F65"/>
  <c r="H65" s="1"/>
  <c r="F64"/>
  <c r="H64" s="1"/>
  <c r="H63"/>
  <c r="F62"/>
  <c r="H62" s="1"/>
  <c r="F60"/>
  <c r="H60" s="1"/>
  <c r="H58"/>
  <c r="F57"/>
  <c r="I57" s="1"/>
  <c r="I54"/>
  <c r="F54"/>
  <c r="H54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I40" s="1"/>
  <c r="F39"/>
  <c r="I39" s="1"/>
  <c r="F38"/>
  <c r="I38" s="1"/>
  <c r="I37"/>
  <c r="H37"/>
  <c r="H35"/>
  <c r="H34"/>
  <c r="F33"/>
  <c r="I33" s="1"/>
  <c r="E32"/>
  <c r="F32" s="1"/>
  <c r="F31"/>
  <c r="H31" s="1"/>
  <c r="F30"/>
  <c r="I30" s="1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F84" i="19"/>
  <c r="I84" s="1"/>
  <c r="F83"/>
  <c r="H83" s="1"/>
  <c r="H81"/>
  <c r="H79"/>
  <c r="F77"/>
  <c r="H77" s="1"/>
  <c r="H76"/>
  <c r="F75"/>
  <c r="H75" s="1"/>
  <c r="H74"/>
  <c r="F73"/>
  <c r="H73" s="1"/>
  <c r="F71"/>
  <c r="I71" s="1"/>
  <c r="F70"/>
  <c r="H70" s="1"/>
  <c r="F69"/>
  <c r="H69" s="1"/>
  <c r="F68"/>
  <c r="H68" s="1"/>
  <c r="F67"/>
  <c r="H67" s="1"/>
  <c r="F66"/>
  <c r="H66" s="1"/>
  <c r="F65"/>
  <c r="H65" s="1"/>
  <c r="H64"/>
  <c r="F63"/>
  <c r="H63" s="1"/>
  <c r="F61"/>
  <c r="H61" s="1"/>
  <c r="H59"/>
  <c r="F58"/>
  <c r="H58" s="1"/>
  <c r="I55"/>
  <c r="F55"/>
  <c r="H55" s="1"/>
  <c r="I54"/>
  <c r="F54"/>
  <c r="H54" s="1"/>
  <c r="H53"/>
  <c r="F52"/>
  <c r="F51"/>
  <c r="F50"/>
  <c r="H50" s="1"/>
  <c r="F49"/>
  <c r="H49" s="1"/>
  <c r="F48"/>
  <c r="H48" s="1"/>
  <c r="F47"/>
  <c r="H47" s="1"/>
  <c r="F46"/>
  <c r="H46" s="1"/>
  <c r="F45"/>
  <c r="H45" s="1"/>
  <c r="H43"/>
  <c r="F42"/>
  <c r="I42" s="1"/>
  <c r="F41"/>
  <c r="H41" s="1"/>
  <c r="F40"/>
  <c r="I40" s="1"/>
  <c r="F39"/>
  <c r="H39" s="1"/>
  <c r="I38"/>
  <c r="H38"/>
  <c r="H36"/>
  <c r="H35"/>
  <c r="H34"/>
  <c r="F34"/>
  <c r="I34" s="1"/>
  <c r="E34"/>
  <c r="F33"/>
  <c r="I33" s="1"/>
  <c r="E32"/>
  <c r="F32" s="1"/>
  <c r="H32" s="1"/>
  <c r="F31"/>
  <c r="H31" s="1"/>
  <c r="F30"/>
  <c r="I30" s="1"/>
  <c r="F84" i="18"/>
  <c r="I84" s="1"/>
  <c r="F83"/>
  <c r="H83" s="1"/>
  <c r="H81"/>
  <c r="H79"/>
  <c r="F77"/>
  <c r="H77" s="1"/>
  <c r="H76"/>
  <c r="F75"/>
  <c r="H75" s="1"/>
  <c r="H74"/>
  <c r="F73"/>
  <c r="H73" s="1"/>
  <c r="F71"/>
  <c r="I71" s="1"/>
  <c r="F70"/>
  <c r="H70" s="1"/>
  <c r="F69"/>
  <c r="H69" s="1"/>
  <c r="F68"/>
  <c r="H68" s="1"/>
  <c r="F67"/>
  <c r="H67" s="1"/>
  <c r="F66"/>
  <c r="H66" s="1"/>
  <c r="F65"/>
  <c r="H65" s="1"/>
  <c r="H64"/>
  <c r="F63"/>
  <c r="H63" s="1"/>
  <c r="F61"/>
  <c r="H59"/>
  <c r="F58"/>
  <c r="H58" s="1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I42" s="1"/>
  <c r="F41"/>
  <c r="H41" s="1"/>
  <c r="F40"/>
  <c r="I40" s="1"/>
  <c r="F39"/>
  <c r="H39" s="1"/>
  <c r="H38"/>
  <c r="H36"/>
  <c r="H35"/>
  <c r="H34"/>
  <c r="F34"/>
  <c r="I34" s="1"/>
  <c r="E34"/>
  <c r="F33"/>
  <c r="I33" s="1"/>
  <c r="E32"/>
  <c r="F32" s="1"/>
  <c r="F31"/>
  <c r="H31" s="1"/>
  <c r="F30"/>
  <c r="I30" s="1"/>
  <c r="F84" i="17"/>
  <c r="I84" s="1"/>
  <c r="F83"/>
  <c r="H83" s="1"/>
  <c r="H81"/>
  <c r="H79"/>
  <c r="F77"/>
  <c r="H77" s="1"/>
  <c r="H76"/>
  <c r="F75"/>
  <c r="H75" s="1"/>
  <c r="H74"/>
  <c r="F73"/>
  <c r="H73" s="1"/>
  <c r="F71"/>
  <c r="I71" s="1"/>
  <c r="F70"/>
  <c r="H70" s="1"/>
  <c r="F69"/>
  <c r="H69" s="1"/>
  <c r="F68"/>
  <c r="H68" s="1"/>
  <c r="F67"/>
  <c r="H67" s="1"/>
  <c r="F66"/>
  <c r="H66" s="1"/>
  <c r="F65"/>
  <c r="H65" s="1"/>
  <c r="H64"/>
  <c r="F63"/>
  <c r="H63" s="1"/>
  <c r="F61"/>
  <c r="H61" s="1"/>
  <c r="H59"/>
  <c r="F58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I42" s="1"/>
  <c r="F41"/>
  <c r="H41" s="1"/>
  <c r="F40"/>
  <c r="I40" s="1"/>
  <c r="F39"/>
  <c r="H39" s="1"/>
  <c r="H38"/>
  <c r="H36"/>
  <c r="H35"/>
  <c r="H34"/>
  <c r="F34"/>
  <c r="I34" s="1"/>
  <c r="E34"/>
  <c r="F33"/>
  <c r="I33" s="1"/>
  <c r="E32"/>
  <c r="F32" s="1"/>
  <c r="F31"/>
  <c r="H31" s="1"/>
  <c r="F30"/>
  <c r="I30" s="1"/>
  <c r="F85" i="8"/>
  <c r="F84"/>
  <c r="H84" s="1"/>
  <c r="H82"/>
  <c r="H80"/>
  <c r="F78"/>
  <c r="H78" s="1"/>
  <c r="H77"/>
  <c r="F76"/>
  <c r="H76" s="1"/>
  <c r="H75"/>
  <c r="F74"/>
  <c r="H74" s="1"/>
  <c r="F72"/>
  <c r="H72" s="1"/>
  <c r="F70"/>
  <c r="H70" s="1"/>
  <c r="F69"/>
  <c r="H69" s="1"/>
  <c r="F68"/>
  <c r="H68" s="1"/>
  <c r="F67"/>
  <c r="H67" s="1"/>
  <c r="F66"/>
  <c r="H66" s="1"/>
  <c r="F65"/>
  <c r="H65" s="1"/>
  <c r="H64"/>
  <c r="F63"/>
  <c r="H63" s="1"/>
  <c r="F61"/>
  <c r="H61" s="1"/>
  <c r="H59"/>
  <c r="F58"/>
  <c r="F51"/>
  <c r="H51" s="1"/>
  <c r="F50"/>
  <c r="H50" s="1"/>
  <c r="I55"/>
  <c r="F55"/>
  <c r="H55" s="1"/>
  <c r="I54"/>
  <c r="F54"/>
  <c r="H54" s="1"/>
  <c r="H53"/>
  <c r="F52"/>
  <c r="H52" s="1"/>
  <c r="F49"/>
  <c r="H49" s="1"/>
  <c r="F48"/>
  <c r="H48" s="1"/>
  <c r="F47"/>
  <c r="H47" s="1"/>
  <c r="F46"/>
  <c r="H46" s="1"/>
  <c r="F45"/>
  <c r="H45" s="1"/>
  <c r="H43"/>
  <c r="F42"/>
  <c r="I42" s="1"/>
  <c r="F41"/>
  <c r="F40"/>
  <c r="F39"/>
  <c r="H38"/>
  <c r="H36"/>
  <c r="H35"/>
  <c r="H34"/>
  <c r="F34"/>
  <c r="I34" s="1"/>
  <c r="E34"/>
  <c r="F33"/>
  <c r="H33" s="1"/>
  <c r="E32"/>
  <c r="F32" s="1"/>
  <c r="H32" s="1"/>
  <c r="F31"/>
  <c r="H31" s="1"/>
  <c r="F30"/>
  <c r="H30" s="1"/>
  <c r="H27"/>
  <c r="H61" i="18" l="1"/>
  <c r="I61"/>
  <c r="H57" i="25"/>
  <c r="H67" i="23"/>
  <c r="H83"/>
  <c r="H40" i="20"/>
  <c r="I48"/>
  <c r="I46"/>
  <c r="I44"/>
  <c r="I64"/>
  <c r="I67"/>
  <c r="I65"/>
  <c r="I47"/>
  <c r="I45"/>
  <c r="I68"/>
  <c r="I66"/>
  <c r="H58" i="17"/>
  <c r="I51" i="20"/>
  <c r="I50"/>
  <c r="H52" i="19"/>
  <c r="I52"/>
  <c r="H30"/>
  <c r="H71"/>
  <c r="H84"/>
  <c r="H51"/>
  <c r="I51"/>
  <c r="H42"/>
  <c r="H33"/>
  <c r="H40"/>
  <c r="I38" i="25"/>
  <c r="H39"/>
  <c r="I40"/>
  <c r="H41"/>
  <c r="I44"/>
  <c r="H45"/>
  <c r="I46"/>
  <c r="H47"/>
  <c r="I48"/>
  <c r="H49"/>
  <c r="I50"/>
  <c r="H51"/>
  <c r="H64"/>
  <c r="I65"/>
  <c r="H66"/>
  <c r="I67"/>
  <c r="H68"/>
  <c r="I69"/>
  <c r="H70"/>
  <c r="I82"/>
  <c r="H83"/>
  <c r="I69" i="24"/>
  <c r="I38"/>
  <c r="H39"/>
  <c r="I40"/>
  <c r="H41"/>
  <c r="I44"/>
  <c r="H45"/>
  <c r="I46"/>
  <c r="H47"/>
  <c r="I48"/>
  <c r="H49"/>
  <c r="I50"/>
  <c r="H51"/>
  <c r="I57"/>
  <c r="H64"/>
  <c r="I65"/>
  <c r="H66"/>
  <c r="I67"/>
  <c r="H68"/>
  <c r="I70"/>
  <c r="H82"/>
  <c r="I83"/>
  <c r="H57" i="23"/>
  <c r="H65"/>
  <c r="H70"/>
  <c r="H38"/>
  <c r="I39"/>
  <c r="H40"/>
  <c r="I41"/>
  <c r="H44"/>
  <c r="I45"/>
  <c r="H46"/>
  <c r="I47"/>
  <c r="H48"/>
  <c r="I49"/>
  <c r="H50"/>
  <c r="I51"/>
  <c r="I64"/>
  <c r="I66"/>
  <c r="I68"/>
  <c r="I82"/>
  <c r="I32" i="22"/>
  <c r="H32"/>
  <c r="I30"/>
  <c r="H31"/>
  <c r="I33"/>
  <c r="H38"/>
  <c r="I39"/>
  <c r="H40"/>
  <c r="I41"/>
  <c r="H44"/>
  <c r="I45"/>
  <c r="H46"/>
  <c r="I47"/>
  <c r="H48"/>
  <c r="I49"/>
  <c r="H50"/>
  <c r="I51"/>
  <c r="H57"/>
  <c r="I64"/>
  <c r="H65"/>
  <c r="I66"/>
  <c r="H67"/>
  <c r="I68"/>
  <c r="H70"/>
  <c r="I82"/>
  <c r="H83"/>
  <c r="H83" i="21"/>
  <c r="H32"/>
  <c r="I32"/>
  <c r="H30"/>
  <c r="I31"/>
  <c r="H33"/>
  <c r="I38"/>
  <c r="H39"/>
  <c r="I40"/>
  <c r="H41"/>
  <c r="I44"/>
  <c r="H45"/>
  <c r="I46"/>
  <c r="H47"/>
  <c r="I48"/>
  <c r="H49"/>
  <c r="I50"/>
  <c r="H51"/>
  <c r="I57"/>
  <c r="H64"/>
  <c r="I65"/>
  <c r="H66"/>
  <c r="I67"/>
  <c r="H68"/>
  <c r="I70"/>
  <c r="I84" s="1"/>
  <c r="H82"/>
  <c r="H57" i="20"/>
  <c r="H38"/>
  <c r="H49"/>
  <c r="H32"/>
  <c r="I32"/>
  <c r="H19"/>
  <c r="I20"/>
  <c r="H21"/>
  <c r="I22"/>
  <c r="H23"/>
  <c r="I26"/>
  <c r="H30"/>
  <c r="I31"/>
  <c r="H33"/>
  <c r="H39"/>
  <c r="H41"/>
  <c r="H70"/>
  <c r="I82"/>
  <c r="I84" s="1"/>
  <c r="H83"/>
  <c r="I31" i="19"/>
  <c r="I32"/>
  <c r="I39"/>
  <c r="I41"/>
  <c r="I50"/>
  <c r="I58"/>
  <c r="I83"/>
  <c r="I85" s="1"/>
  <c r="H32" i="18"/>
  <c r="I32"/>
  <c r="H30"/>
  <c r="I31"/>
  <c r="H33"/>
  <c r="I39"/>
  <c r="H40"/>
  <c r="I41"/>
  <c r="H42"/>
  <c r="I50"/>
  <c r="H71"/>
  <c r="I83"/>
  <c r="I85" s="1"/>
  <c r="H84"/>
  <c r="H32" i="17"/>
  <c r="I32"/>
  <c r="H30"/>
  <c r="I31"/>
  <c r="H33"/>
  <c r="I39"/>
  <c r="H40"/>
  <c r="I41"/>
  <c r="H42"/>
  <c r="I50"/>
  <c r="H71"/>
  <c r="I83"/>
  <c r="I85" s="1"/>
  <c r="H84"/>
  <c r="H85" i="8"/>
  <c r="I85"/>
  <c r="I84"/>
  <c r="H58"/>
  <c r="I72"/>
  <c r="I50"/>
  <c r="H39"/>
  <c r="I39"/>
  <c r="H41"/>
  <c r="I41"/>
  <c r="H40"/>
  <c r="I40"/>
  <c r="H42"/>
  <c r="I30"/>
  <c r="I33"/>
  <c r="I32"/>
  <c r="I31"/>
  <c r="I27"/>
  <c r="I24"/>
  <c r="I25"/>
  <c r="F26"/>
  <c r="H26" s="1"/>
  <c r="H25"/>
  <c r="H24"/>
  <c r="F23"/>
  <c r="I23" s="1"/>
  <c r="F22"/>
  <c r="I22" s="1"/>
  <c r="F21"/>
  <c r="I21" s="1"/>
  <c r="F20"/>
  <c r="I20" s="1"/>
  <c r="F19"/>
  <c r="I19" s="1"/>
  <c r="E18"/>
  <c r="F18" s="1"/>
  <c r="H18" s="1"/>
  <c r="F17"/>
  <c r="H17" s="1"/>
  <c r="F16"/>
  <c r="I16" s="1"/>
  <c r="I86" l="1"/>
  <c r="I93" i="24"/>
  <c r="I90" i="22"/>
  <c r="I95" i="25"/>
  <c r="I91" i="20"/>
  <c r="I93" i="17"/>
  <c r="H16" i="8"/>
  <c r="I92" i="19"/>
  <c r="I94" i="18"/>
  <c r="I92" i="23"/>
  <c r="I92" i="21"/>
  <c r="H19" i="8"/>
  <c r="H20"/>
  <c r="H21"/>
  <c r="H22"/>
  <c r="H23"/>
  <c r="I26"/>
  <c r="I17"/>
  <c r="I18"/>
  <c r="I92" l="1"/>
</calcChain>
</file>

<file path=xl/sharedStrings.xml><?xml version="1.0" encoding="utf-8"?>
<sst xmlns="http://schemas.openxmlformats.org/spreadsheetml/2006/main" count="2645" uniqueCount="260">
  <si>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</si>
  <si>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</si>
  <si>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</si>
  <si>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</si>
  <si>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</si>
  <si>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</si>
  <si>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</si>
  <si>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</si>
  <si>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</si>
  <si>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</si>
  <si>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</si>
  <si>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</si>
  <si>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</si>
  <si>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</si>
  <si>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</si>
  <si>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</si>
  <si>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</si>
  <si>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</si>
  <si>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</si>
  <si>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</si>
  <si>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</si>
  <si>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</si>
  <si>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</si>
  <si>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</si>
  <si>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</si>
  <si>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</si>
  <si>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</si>
  <si>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</si>
  <si>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</si>
  <si>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</si>
  <si>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</si>
  <si>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</si>
  <si>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</si>
  <si>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</si>
  <si>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</si>
  <si>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</si>
  <si>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</si>
  <si>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</si>
  <si>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</si>
  <si>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</si>
  <si>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</si>
  <si>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</si>
  <si>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</si>
  <si>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</si>
  <si>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</si>
  <si>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</si>
  <si>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</si>
  <si>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</si>
  <si>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</si>
  <si>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</si>
  <si>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</si>
  <si>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</si>
  <si>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</si>
  <si>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</si>
  <si>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</si>
  <si>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</si>
  <si>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</si>
  <si>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</si>
  <si>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</si>
  <si>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</si>
  <si>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</si>
  <si>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</si>
  <si>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</si>
  <si>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</si>
  <si>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</si>
  <si>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</si>
  <si>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</si>
  <si>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</si>
  <si>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</si>
  <si>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</si>
  <si>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</si>
  <si>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</si>
  <si>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</si>
  <si>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</si>
  <si>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</si>
  <si>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</si>
  <si>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</si>
  <si>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</si>
  <si>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</si>
  <si>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</si>
  <si>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</si>
  <si>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</si>
  <si>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Влажное подметание лестничных клеток 1 этажа</t>
  </si>
  <si>
    <t>Работа автовышки</t>
  </si>
  <si>
    <t>ТО внутренних сетей водопровода и канализации</t>
  </si>
  <si>
    <t>Замена ламп ДРЛ</t>
  </si>
  <si>
    <t>10м2</t>
  </si>
  <si>
    <t>ТО внутридомового газ.оборудования</t>
  </si>
  <si>
    <t>Влажное подметание лестничных клеток 2-3 этажа</t>
  </si>
  <si>
    <t>Мытье лестничных  площадок и маршей 1-3 этаж.</t>
  </si>
  <si>
    <t>100м2</t>
  </si>
  <si>
    <t>Мытье окон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</si>
  <si>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</si>
  <si>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</si>
  <si>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</si>
  <si>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</si>
  <si>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</si>
  <si>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</si>
  <si>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шкафов для щитов и слаботочн.устройств</t>
  </si>
  <si>
    <t>Влажная протирка отопительных приборов</t>
  </si>
  <si>
    <t>1000м2</t>
  </si>
  <si>
    <t>52 раза в сезон</t>
  </si>
  <si>
    <t>78 раз за сезон</t>
  </si>
  <si>
    <t>Очистка урн от мусора</t>
  </si>
  <si>
    <t>Уборка контейнерной площадки (16 кв.м.)</t>
  </si>
  <si>
    <t>30 раз за сезон</t>
  </si>
  <si>
    <t>155 раз за сезон</t>
  </si>
  <si>
    <t>35 раз за сезон</t>
  </si>
  <si>
    <t xml:space="preserve">Пескопосыпка территории: крыльца и тротуары </t>
  </si>
  <si>
    <t>20 раз за сезон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</si>
  <si>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</si>
  <si>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</si>
  <si>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</si>
  <si>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</si>
  <si>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</si>
  <si>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>маш-час</t>
  </si>
  <si>
    <t>100м3</t>
  </si>
  <si>
    <t>1000м3</t>
  </si>
  <si>
    <t>Вода для промывки СО</t>
  </si>
  <si>
    <t>руб/м2 в мес.</t>
  </si>
  <si>
    <t>Техническое обслуживание наружных газопроводов</t>
  </si>
  <si>
    <t>Смена светодиодных светильников</t>
  </si>
  <si>
    <t>1 шт.</t>
  </si>
  <si>
    <t>Стоимость светодиодного светильника</t>
  </si>
  <si>
    <t>руб.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</si>
  <si>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</si>
  <si>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</si>
  <si>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№9 по ул.Нефтяников пгт.Ярега
</t>
  </si>
  <si>
    <t xml:space="preserve"> 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</si>
  <si>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д.9</t>
    </r>
  </si>
  <si>
    <t>III. Проведение технических осмотров</t>
  </si>
  <si>
    <t>IV. Содержание общего имущества МКД</t>
  </si>
  <si>
    <t>V. Прочие услуги</t>
  </si>
  <si>
    <t>Итого затраты за месяц</t>
  </si>
  <si>
    <t>Уборка газонов, грунта</t>
  </si>
  <si>
    <t>Подметание территории с усовершенствованным покрытием асф.: крыльца, контейнерн пл., проезд, тротуар</t>
  </si>
  <si>
    <t>Проверка дымоходов</t>
  </si>
  <si>
    <t>5 раз в год</t>
  </si>
  <si>
    <t>Спуск воды после промывки СО в канализацию</t>
  </si>
  <si>
    <t>АКТ №1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</si>
  <si>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</si>
  <si>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</si>
  <si>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</si>
  <si>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</si>
  <si>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</si>
  <si>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</si>
  <si>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</si>
  <si>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</si>
  <si>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</si>
  <si>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</si>
  <si>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</si>
  <si>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</si>
  <si>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</si>
  <si>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t>Дератизация</t>
  </si>
  <si>
    <t>м2</t>
  </si>
  <si>
    <t>ООО «Движение»</t>
  </si>
  <si>
    <t>место</t>
  </si>
  <si>
    <t>Очистка вручную от снега и наледи люков каналиационных и водопроводных колодцев</t>
  </si>
  <si>
    <t>м</t>
  </si>
  <si>
    <t>Организация и содержание мест накопления ТКО</t>
  </si>
  <si>
    <t>13 раз</t>
  </si>
  <si>
    <t>8 раз</t>
  </si>
  <si>
    <t>2 раза</t>
  </si>
  <si>
    <t>21 раз</t>
  </si>
  <si>
    <t>5 раз</t>
  </si>
  <si>
    <t>25 раз</t>
  </si>
  <si>
    <t>6 раз</t>
  </si>
  <si>
    <t>3 раза</t>
  </si>
  <si>
    <t>1 раз</t>
  </si>
  <si>
    <t xml:space="preserve">1 раз    </t>
  </si>
  <si>
    <t xml:space="preserve">1 раз </t>
  </si>
  <si>
    <t xml:space="preserve">1 раз     </t>
  </si>
  <si>
    <t xml:space="preserve">1 раз      </t>
  </si>
  <si>
    <t>Установка хомута диаметром до 50 мм</t>
  </si>
  <si>
    <t>Очистка канализационной сети внутренней</t>
  </si>
  <si>
    <t>Осмотр электросетей, армазуры и электрооборудования на лестничных клетках</t>
  </si>
  <si>
    <t>1 маш/час</t>
  </si>
  <si>
    <t>Внеплановая проверка дымоходов</t>
  </si>
  <si>
    <t>1 шт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</si>
  <si>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</si>
  <si>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</si>
  <si>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r>
      <t xml:space="preserve">    Собственники помещений в многоквартирном доме, расположенном по адресу:  пгт.Ярега, ул.Нефтяников, д.9,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28.07.2016г. стороны, и ООО «Движение», именуемое в дальнейшем "Исполнитель", в лице генерального директора Кочановой 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</si>
  <si>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генеральный директор Кочанова И.Л.</t>
  </si>
  <si>
    <t>за период с 01.01.2021 г. по 31.01.2021 г.</t>
  </si>
  <si>
    <t>1,8 ч ( 21,25,26,28 янв.)</t>
  </si>
  <si>
    <t>Водоснабжение и канализация</t>
  </si>
  <si>
    <t>2. Всего за период с 01.01.2021 по 31.01.2021 выполнено работ (оказано услуг) на общую сумму: 41634,40 руб.</t>
  </si>
  <si>
    <t>(сорок одна тысяча шестьсот тридцать четыре рубля 40 копеек)</t>
  </si>
  <si>
    <t>за период с 01.02.2021 г. по 28.02.2021 г.</t>
  </si>
  <si>
    <t>1,3 ч ( 1,3,5 февр)</t>
  </si>
  <si>
    <t>Смена дверных приборов - пружины</t>
  </si>
  <si>
    <t>Очистка оголовков от наледи</t>
  </si>
  <si>
    <t>под.№3</t>
  </si>
  <si>
    <t>2. Всего за период с 01.02.2021 по 28.02.2021 выполнено работ (оказано услуг) на общую сумму: 31691,46 руб.</t>
  </si>
  <si>
    <t>(тридцать одна тысяча шестьсот девяносто один рубль 46 копеек)</t>
  </si>
  <si>
    <t>за период с 01.03.2021 г. по 31.03.2021 г.</t>
  </si>
  <si>
    <t>2,16,31 марта</t>
  </si>
  <si>
    <t>11  марта</t>
  </si>
  <si>
    <t>кв.12</t>
  </si>
  <si>
    <t>2. Всего за период с 01.03.2021 по 31.03.2021 выполнено работ (оказано услуг) на общую сумму: 30081,75 руб.</t>
  </si>
  <si>
    <t>(тридцать тысяч восемьдесят один рубль 75 копеек)</t>
  </si>
  <si>
    <t>генеральный директор Кочановой И.Л.</t>
  </si>
  <si>
    <t>за период с 01.04.2021 г. по 30.04.2021 г.</t>
  </si>
  <si>
    <t>Смена арматуры - вентилей и клапанов обратных муфтовых диаметром до 20 мм ( без материалов)</t>
  </si>
  <si>
    <t>1 шт. ХВС кв.20</t>
  </si>
  <si>
    <t>2. Всего за период с 01.04.2021 по 30.04.2021 выполнено работ (оказано услуг) на общую сумму: 25353,32 руб.</t>
  </si>
  <si>
    <t>(двадцать пять тысяч триста пятьдесят  три рубля 32 копейки)</t>
  </si>
  <si>
    <t>за период с 01.05.2021 г. по 31.05.2021 г.</t>
  </si>
  <si>
    <t>1 шт. с/о кв.33</t>
  </si>
  <si>
    <t>2. Всего за период с 01.05.2021 по 31.05.2021 выполнено работ (оказано услуг) на общую сумму: 40646,62 руб.</t>
  </si>
  <si>
    <t>(сорок тысяч шестьсот сорок шесть рублей 62 копейки)</t>
  </si>
  <si>
    <t>1 шт. ХВС р/у под. №1</t>
  </si>
  <si>
    <t>за период с 01.06.2021 г. по 30.06.2021 г.</t>
  </si>
  <si>
    <t>Дератизация кв.26</t>
  </si>
  <si>
    <t>Отрава для крыс</t>
  </si>
  <si>
    <t>10 шт</t>
  </si>
  <si>
    <t>с/о кв.24</t>
  </si>
  <si>
    <t>2. Всего за период с 01.06.2021 по 30.06.2021 выполнено работ (оказано услуг) на общую сумму: 71224,64 руб.</t>
  </si>
  <si>
    <t>(семьдесят одна тысяча двести двадцать четыре рубля 64 копейки)</t>
  </si>
  <si>
    <t>за период с 01.07.2021 г. по 31.07.2021 г.</t>
  </si>
  <si>
    <t>2. Всего за период с 01.07.2021 по 31.07.2021 выполнено работ (оказано услуг) на общую сумму:23903,73 руб.</t>
  </si>
  <si>
    <t>(двадцать три тысячи девятьсот три рубля 73 копейки)</t>
  </si>
  <si>
    <t>за период с 01.08.2021 г. по 31.08.2021 г.</t>
  </si>
  <si>
    <t>нумерация подъездов и квартир</t>
  </si>
  <si>
    <t>10 м2</t>
  </si>
  <si>
    <t>Подборка мусора, налетевшего с контейнерной площадки</t>
  </si>
  <si>
    <t>2. Всего за период с 01.08.2021 по 31.08.2021 выполнено работ (оказано услуг) на общую сумму: 21583,70 руб.</t>
  </si>
  <si>
    <t>(двадцать одна тысяча пятьсот восемьдесят три рубля 70 копеек)</t>
  </si>
  <si>
    <t>за период с 01.09.2021 г. по 30.09.2021 г.</t>
  </si>
  <si>
    <t xml:space="preserve">Осмотр водопроводов, канализации, отопления </t>
  </si>
  <si>
    <t>Утепление трубопроводов в каналах и коробах минеральной ватой</t>
  </si>
  <si>
    <t>I МЗ</t>
  </si>
  <si>
    <t>под. №1 тамбур</t>
  </si>
  <si>
    <t>1 шт. ХВС тех.подполье</t>
  </si>
  <si>
    <t>Закрытие слухового окна</t>
  </si>
  <si>
    <t>2. Всего за период с 01.09.2021 по 30.09.2021 выполнено работ (оказано услуг) на общую сумму: 34945,81 руб.</t>
  </si>
  <si>
    <t>(тридцать четыре тысячи девятьсот сорок пять рублей 81 копейка)</t>
  </si>
  <si>
    <t>за период с 01.10.2021 г. по 31.10.2021 г.</t>
  </si>
  <si>
    <t>100шт</t>
  </si>
  <si>
    <t>Утепление трубопроводов  минеральной ватой ( без материалов)</t>
  </si>
  <si>
    <t>Смена автомата на ток до 25А</t>
  </si>
  <si>
    <t>2 м</t>
  </si>
  <si>
    <t>1 шт. под.№3</t>
  </si>
  <si>
    <t>1 шт. под.№1</t>
  </si>
  <si>
    <t>1 шт. ХВС подвал</t>
  </si>
  <si>
    <t>с/о в тамбуре под.№1</t>
  </si>
  <si>
    <t>2. Всего за период с 01.10.2021 по 31.10.2021 выполнено работ (оказано услуг) на общую сумму: 23916,37 руб.</t>
  </si>
  <si>
    <t>(двадцать три тысячи девятьсот шестнадцать рублей 37 копеек)</t>
  </si>
  <si>
    <t>за период с 01.11.2021 г. по 30.11.2021 г.</t>
  </si>
  <si>
    <t>22,30 ноября</t>
  </si>
  <si>
    <t>Заделка продухов</t>
  </si>
  <si>
    <t>2. Всего за период с 01.11.2021 по 30.11.2021 выполнено работ (оказано услуг) на общую сумму: 37128,20 руб.</t>
  </si>
  <si>
    <t>(тридцать семь тысяч сто двадцать восемь рублей 20 копеек)</t>
  </si>
  <si>
    <t>за период с 01.12.2021 г. по 31.12.2021 г.</t>
  </si>
  <si>
    <t>2,16,30 декабря</t>
  </si>
  <si>
    <t>Монтаж ревизии в фановой трубе</t>
  </si>
  <si>
    <t>Подключение и отключение сварочного аппарата/электрооборудования</t>
  </si>
  <si>
    <t>чердак</t>
  </si>
  <si>
    <t>2. Всего за период с 01.12.2021 по 31.12.2021 выполнено работ (оказано услуг) на общую сумму: 31218,60 руб.</t>
  </si>
  <si>
    <t>(тридцать одна тысяча двести восемнадцать рублей 60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</si>
</sst>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5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 wrapText="1"/>
    </xf>
    <xf numFmtId="4" fontId="11" fillId="3" borderId="8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4" fontId="17" fillId="2" borderId="8" xfId="0" applyNumberFormat="1" applyFont="1" applyFill="1" applyBorder="1" applyAlignment="1">
      <alignment horizontal="center" vertical="center" wrapText="1"/>
    </xf>
    <xf numFmtId="14" fontId="11" fillId="0" borderId="8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3"/>
  <sheetViews>
    <sheetView topLeftCell="A71" workbookViewId="0">
      <selection activeCell="G89" sqref="G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9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155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3" t="s">
        <v>139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</row>
    <row r="4" spans="1:13" ht="31.5" customHeight="1">
      <c r="A4" s="134" t="s">
        <v>127</v>
      </c>
      <c r="B4" s="134"/>
      <c r="C4" s="134"/>
      <c r="D4" s="134"/>
      <c r="E4" s="134"/>
      <c r="F4" s="134"/>
      <c r="G4" s="134"/>
      <c r="H4" s="134"/>
      <c r="I4" s="134"/>
    </row>
    <row r="5" spans="1:13" ht="15.75" customHeight="1">
      <c r="A5" s="133" t="s">
        <v>183</v>
      </c>
      <c r="B5" s="137"/>
      <c r="C5" s="137"/>
      <c r="D5" s="137"/>
      <c r="E5" s="137"/>
      <c r="F5" s="137"/>
      <c r="G5" s="137"/>
      <c r="H5" s="137"/>
      <c r="I5" s="137"/>
      <c r="J5" s="2"/>
      <c r="K5" s="2"/>
      <c r="L5" s="2"/>
      <c r="M5" s="2"/>
    </row>
    <row r="6" spans="1:13" ht="15.75" customHeight="1">
      <c r="A6" s="2"/>
      <c r="B6" s="61"/>
      <c r="C6" s="61"/>
      <c r="D6" s="61"/>
      <c r="E6" s="76"/>
      <c r="F6" s="61"/>
      <c r="G6" s="61"/>
      <c r="H6" s="76"/>
      <c r="I6" s="31">
        <v>44227</v>
      </c>
      <c r="J6" s="2"/>
      <c r="K6" s="2"/>
      <c r="L6" s="2"/>
      <c r="M6" s="2"/>
    </row>
    <row r="7" spans="1:13" ht="15.75" customHeight="1">
      <c r="B7" s="63"/>
      <c r="C7" s="63"/>
      <c r="D7" s="63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181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129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8" t="s">
        <v>59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90</v>
      </c>
      <c r="D16" s="86" t="s">
        <v>160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88</v>
      </c>
      <c r="C17" s="87" t="s">
        <v>90</v>
      </c>
      <c r="D17" s="86" t="s">
        <v>161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89</v>
      </c>
      <c r="C18" s="87" t="s">
        <v>90</v>
      </c>
      <c r="D18" s="86" t="s">
        <v>162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/>
      <c r="B19" s="86" t="s">
        <v>91</v>
      </c>
      <c r="C19" s="87" t="s">
        <v>86</v>
      </c>
      <c r="D19" s="86" t="s">
        <v>92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93</v>
      </c>
      <c r="C20" s="87" t="s">
        <v>90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94</v>
      </c>
      <c r="C21" s="87" t="s">
        <v>90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/>
      <c r="B22" s="86" t="s">
        <v>95</v>
      </c>
      <c r="C22" s="87" t="s">
        <v>53</v>
      </c>
      <c r="D22" s="86" t="s">
        <v>92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/>
      <c r="B23" s="86" t="s">
        <v>96</v>
      </c>
      <c r="C23" s="87" t="s">
        <v>53</v>
      </c>
      <c r="D23" s="86" t="s">
        <v>92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86" t="s">
        <v>97</v>
      </c>
      <c r="C24" s="87" t="s">
        <v>53</v>
      </c>
      <c r="D24" s="86" t="s">
        <v>92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45">
        <v>6</v>
      </c>
      <c r="B25" s="86" t="s">
        <v>98</v>
      </c>
      <c r="C25" s="87" t="s">
        <v>53</v>
      </c>
      <c r="D25" s="86" t="s">
        <v>92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45"/>
      <c r="B26" s="86" t="s">
        <v>99</v>
      </c>
      <c r="C26" s="87" t="s">
        <v>53</v>
      </c>
      <c r="D26" s="86" t="s">
        <v>92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45">
        <v>4</v>
      </c>
      <c r="B27" s="34" t="s">
        <v>159</v>
      </c>
      <c r="C27" s="44" t="s">
        <v>154</v>
      </c>
      <c r="D27" s="34" t="s">
        <v>163</v>
      </c>
      <c r="E27" s="117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39" t="s">
        <v>81</v>
      </c>
      <c r="B28" s="139"/>
      <c r="C28" s="139"/>
      <c r="D28" s="139"/>
      <c r="E28" s="139"/>
      <c r="F28" s="139"/>
      <c r="G28" s="139"/>
      <c r="H28" s="139"/>
      <c r="I28" s="139"/>
      <c r="J28" s="23"/>
      <c r="K28" s="8"/>
      <c r="L28" s="8"/>
      <c r="M28" s="8"/>
    </row>
    <row r="29" spans="1:13" ht="15.75" hidden="1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hidden="1" customHeight="1">
      <c r="A30" s="45">
        <v>2</v>
      </c>
      <c r="B30" s="86" t="s">
        <v>134</v>
      </c>
      <c r="C30" s="87" t="s">
        <v>100</v>
      </c>
      <c r="D30" s="86" t="s">
        <v>101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hidden="1" customHeight="1">
      <c r="A31" s="45">
        <v>3</v>
      </c>
      <c r="B31" s="86" t="s">
        <v>135</v>
      </c>
      <c r="C31" s="87" t="s">
        <v>100</v>
      </c>
      <c r="D31" s="86" t="s">
        <v>102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4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4</v>
      </c>
      <c r="B32" s="86" t="s">
        <v>26</v>
      </c>
      <c r="C32" s="87" t="s">
        <v>100</v>
      </c>
      <c r="D32" s="86" t="s">
        <v>54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hidden="1" customHeight="1">
      <c r="A33" s="45"/>
      <c r="B33" s="86" t="s">
        <v>103</v>
      </c>
      <c r="C33" s="87" t="s">
        <v>40</v>
      </c>
      <c r="D33" s="86" t="s">
        <v>63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5</v>
      </c>
      <c r="B34" s="86" t="s">
        <v>104</v>
      </c>
      <c r="C34" s="87" t="s">
        <v>29</v>
      </c>
      <c r="D34" s="86" t="s">
        <v>63</v>
      </c>
      <c r="E34" s="94">
        <f>1/3</f>
        <v>0.33333333333333331</v>
      </c>
      <c r="F34" s="89">
        <f>155/3</f>
        <v>51.666666666666664</v>
      </c>
      <c r="G34" s="89">
        <v>70.540000000000006</v>
      </c>
      <c r="H34" s="90">
        <f>SUM(G34*155/3/1000)</f>
        <v>3.644566666666667</v>
      </c>
      <c r="I34" s="13">
        <f t="shared" si="4"/>
        <v>607.42777777777781</v>
      </c>
      <c r="J34" s="24"/>
    </row>
    <row r="35" spans="1:14" ht="15.75" hidden="1" customHeight="1">
      <c r="A35" s="45">
        <v>4</v>
      </c>
      <c r="B35" s="86" t="s">
        <v>64</v>
      </c>
      <c r="C35" s="87" t="s">
        <v>32</v>
      </c>
      <c r="D35" s="86" t="s">
        <v>66</v>
      </c>
      <c r="E35" s="88"/>
      <c r="F35" s="89">
        <v>1</v>
      </c>
      <c r="G35" s="89">
        <v>238.07</v>
      </c>
      <c r="H35" s="90">
        <f t="shared" ref="H35:H36" si="5">SUM(F35*G35/1000)</f>
        <v>0.23807</v>
      </c>
      <c r="I35" s="13">
        <v>0</v>
      </c>
      <c r="J35" s="24"/>
    </row>
    <row r="36" spans="1:14" ht="15.75" hidden="1" customHeight="1">
      <c r="A36" s="30">
        <v>8</v>
      </c>
      <c r="B36" s="86" t="s">
        <v>65</v>
      </c>
      <c r="C36" s="87" t="s">
        <v>31</v>
      </c>
      <c r="D36" s="86" t="s">
        <v>66</v>
      </c>
      <c r="E36" s="88"/>
      <c r="F36" s="89">
        <v>1</v>
      </c>
      <c r="G36" s="89">
        <v>1413.96</v>
      </c>
      <c r="H36" s="90">
        <f t="shared" si="5"/>
        <v>1.4139600000000001</v>
      </c>
      <c r="I36" s="13">
        <v>0</v>
      </c>
      <c r="J36" s="24"/>
    </row>
    <row r="37" spans="1:14" ht="15.75" customHeight="1">
      <c r="A37" s="45"/>
      <c r="B37" s="53" t="s">
        <v>5</v>
      </c>
      <c r="C37" s="53"/>
      <c r="D37" s="53"/>
      <c r="E37" s="53"/>
      <c r="F37" s="13"/>
      <c r="G37" s="14"/>
      <c r="H37" s="14"/>
      <c r="I37" s="19"/>
      <c r="J37" s="24"/>
    </row>
    <row r="38" spans="1:14" ht="34.5" customHeight="1">
      <c r="A38" s="35">
        <v>5</v>
      </c>
      <c r="B38" s="86" t="s">
        <v>25</v>
      </c>
      <c r="C38" s="87" t="s">
        <v>31</v>
      </c>
      <c r="D38" s="86" t="s">
        <v>184</v>
      </c>
      <c r="E38" s="88"/>
      <c r="F38" s="89">
        <v>2</v>
      </c>
      <c r="G38" s="89">
        <v>1900.37</v>
      </c>
      <c r="H38" s="90">
        <f t="shared" ref="H38:H43" si="6">SUM(F38*G38/1000)</f>
        <v>3.8007399999999998</v>
      </c>
      <c r="I38" s="13">
        <f>G38*1.8</f>
        <v>3420.6659999999997</v>
      </c>
      <c r="J38" s="24"/>
    </row>
    <row r="39" spans="1:14" ht="15.75" customHeight="1">
      <c r="A39" s="35">
        <v>6</v>
      </c>
      <c r="B39" s="86" t="s">
        <v>67</v>
      </c>
      <c r="C39" s="67" t="s">
        <v>28</v>
      </c>
      <c r="D39" s="36" t="s">
        <v>164</v>
      </c>
      <c r="E39" s="37">
        <v>65.25</v>
      </c>
      <c r="F39" s="89">
        <f>SUM(E39*30/1000)</f>
        <v>1.9575</v>
      </c>
      <c r="G39" s="89">
        <v>2616.4899999999998</v>
      </c>
      <c r="H39" s="90">
        <f t="shared" si="6"/>
        <v>5.1217791749999995</v>
      </c>
      <c r="I39" s="13">
        <f t="shared" ref="I39:I41" si="7">F39/6*G39</f>
        <v>853.62986249999994</v>
      </c>
      <c r="J39" s="24"/>
    </row>
    <row r="40" spans="1:14" ht="15.75" customHeight="1">
      <c r="A40" s="35">
        <v>7</v>
      </c>
      <c r="B40" s="86" t="s">
        <v>68</v>
      </c>
      <c r="C40" s="44" t="s">
        <v>28</v>
      </c>
      <c r="D40" s="34" t="s">
        <v>165</v>
      </c>
      <c r="E40" s="33">
        <v>65.25</v>
      </c>
      <c r="F40" s="89">
        <f>SUM(E40*155/1000)</f>
        <v>10.11375</v>
      </c>
      <c r="G40" s="89">
        <v>436.45</v>
      </c>
      <c r="H40" s="90">
        <f t="shared" si="6"/>
        <v>4.4141461874999992</v>
      </c>
      <c r="I40" s="13">
        <f t="shared" si="7"/>
        <v>735.69103124999992</v>
      </c>
      <c r="J40" s="24"/>
    </row>
    <row r="41" spans="1:14" ht="46.5" customHeight="1">
      <c r="A41" s="35">
        <v>8</v>
      </c>
      <c r="B41" s="86" t="s">
        <v>80</v>
      </c>
      <c r="C41" s="44" t="s">
        <v>100</v>
      </c>
      <c r="D41" s="34" t="s">
        <v>166</v>
      </c>
      <c r="E41" s="33">
        <v>65.25</v>
      </c>
      <c r="F41" s="89">
        <f>SUM(E41*35/1000)</f>
        <v>2.2837499999999999</v>
      </c>
      <c r="G41" s="89">
        <v>7221.21</v>
      </c>
      <c r="H41" s="90">
        <f t="shared" si="6"/>
        <v>16.4914383375</v>
      </c>
      <c r="I41" s="13">
        <f t="shared" si="7"/>
        <v>2748.5730562499998</v>
      </c>
      <c r="J41" s="24"/>
      <c r="L41" s="20"/>
      <c r="M41" s="21"/>
      <c r="N41" s="22"/>
    </row>
    <row r="42" spans="1:14" ht="15.75" customHeight="1">
      <c r="A42" s="35">
        <v>9</v>
      </c>
      <c r="B42" s="86" t="s">
        <v>108</v>
      </c>
      <c r="C42" s="44" t="s">
        <v>100</v>
      </c>
      <c r="D42" s="34" t="s">
        <v>168</v>
      </c>
      <c r="E42" s="33">
        <v>65.25</v>
      </c>
      <c r="F42" s="89">
        <f>SUM(E42*20/1000)</f>
        <v>1.3049999999999999</v>
      </c>
      <c r="G42" s="89">
        <v>533.45000000000005</v>
      </c>
      <c r="H42" s="90">
        <f t="shared" si="6"/>
        <v>0.69615225000000003</v>
      </c>
      <c r="I42" s="13">
        <f>G42*F42/20*1</f>
        <v>34.807612499999998</v>
      </c>
      <c r="J42" s="24"/>
      <c r="L42" s="20"/>
      <c r="M42" s="21"/>
      <c r="N42" s="22"/>
    </row>
    <row r="43" spans="1:14" ht="15.75" customHeight="1">
      <c r="A43" s="35">
        <v>10</v>
      </c>
      <c r="B43" s="86" t="s">
        <v>69</v>
      </c>
      <c r="C43" s="87" t="s">
        <v>32</v>
      </c>
      <c r="D43" s="86"/>
      <c r="E43" s="88"/>
      <c r="F43" s="89">
        <v>0.5</v>
      </c>
      <c r="G43" s="89">
        <v>992.97</v>
      </c>
      <c r="H43" s="90">
        <f t="shared" si="6"/>
        <v>0.49648500000000001</v>
      </c>
      <c r="I43" s="13">
        <f>G43*F43/20*1</f>
        <v>24.824249999999999</v>
      </c>
      <c r="J43" s="24"/>
      <c r="L43" s="20"/>
      <c r="M43" s="21"/>
      <c r="N43" s="22"/>
    </row>
    <row r="44" spans="1:14" ht="15.75" customHeight="1">
      <c r="A44" s="140" t="s">
        <v>130</v>
      </c>
      <c r="B44" s="141"/>
      <c r="C44" s="141"/>
      <c r="D44" s="141"/>
      <c r="E44" s="141"/>
      <c r="F44" s="141"/>
      <c r="G44" s="141"/>
      <c r="H44" s="141"/>
      <c r="I44" s="142"/>
      <c r="J44" s="24"/>
      <c r="L44" s="20"/>
      <c r="M44" s="21"/>
      <c r="N44" s="22"/>
    </row>
    <row r="45" spans="1:14" ht="15.75" hidden="1" customHeight="1">
      <c r="A45" s="45">
        <v>15</v>
      </c>
      <c r="B45" s="86" t="s">
        <v>110</v>
      </c>
      <c r="C45" s="87" t="s">
        <v>100</v>
      </c>
      <c r="D45" s="86" t="s">
        <v>42</v>
      </c>
      <c r="E45" s="88">
        <v>1026.8</v>
      </c>
      <c r="F45" s="89">
        <f>SUM(E45*2/1000)</f>
        <v>2.0535999999999999</v>
      </c>
      <c r="G45" s="13">
        <v>1283.46</v>
      </c>
      <c r="H45" s="90">
        <f t="shared" ref="H45:H55" si="8">SUM(F45*G45/1000)</f>
        <v>2.635713456</v>
      </c>
      <c r="I45" s="13">
        <v>0</v>
      </c>
      <c r="J45" s="24"/>
      <c r="L45" s="20"/>
      <c r="M45" s="21"/>
      <c r="N45" s="22"/>
    </row>
    <row r="46" spans="1:14" ht="15.75" hidden="1" customHeight="1">
      <c r="A46" s="45"/>
      <c r="B46" s="86" t="s">
        <v>35</v>
      </c>
      <c r="C46" s="87" t="s">
        <v>100</v>
      </c>
      <c r="D46" s="86" t="s">
        <v>42</v>
      </c>
      <c r="E46" s="88">
        <v>19.8</v>
      </c>
      <c r="F46" s="89">
        <f>SUM(E46*2/1000)</f>
        <v>3.9600000000000003E-2</v>
      </c>
      <c r="G46" s="13">
        <v>4192.6400000000003</v>
      </c>
      <c r="H46" s="90">
        <f t="shared" si="8"/>
        <v>0.16602854400000003</v>
      </c>
      <c r="I46" s="13">
        <v>0</v>
      </c>
      <c r="J46" s="24"/>
      <c r="L46" s="20"/>
      <c r="M46" s="21"/>
      <c r="N46" s="22"/>
    </row>
    <row r="47" spans="1:14" ht="15.75" hidden="1" customHeight="1">
      <c r="A47" s="45">
        <v>16</v>
      </c>
      <c r="B47" s="86" t="s">
        <v>36</v>
      </c>
      <c r="C47" s="87" t="s">
        <v>100</v>
      </c>
      <c r="D47" s="86" t="s">
        <v>42</v>
      </c>
      <c r="E47" s="88">
        <v>660.84</v>
      </c>
      <c r="F47" s="89">
        <f>SUM(E47*2/1000)</f>
        <v>1.32168</v>
      </c>
      <c r="G47" s="13">
        <v>1711.28</v>
      </c>
      <c r="H47" s="90">
        <f t="shared" si="8"/>
        <v>2.2617645503999997</v>
      </c>
      <c r="I47" s="13">
        <v>0</v>
      </c>
      <c r="J47" s="24"/>
      <c r="L47" s="20"/>
      <c r="M47" s="21"/>
      <c r="N47" s="22"/>
    </row>
    <row r="48" spans="1:14" ht="15.75" hidden="1" customHeight="1">
      <c r="A48" s="45">
        <v>17</v>
      </c>
      <c r="B48" s="86" t="s">
        <v>37</v>
      </c>
      <c r="C48" s="87" t="s">
        <v>100</v>
      </c>
      <c r="D48" s="86" t="s">
        <v>42</v>
      </c>
      <c r="E48" s="88">
        <v>1156.21</v>
      </c>
      <c r="F48" s="89">
        <f>SUM(E48*2/1000)</f>
        <v>2.3124199999999999</v>
      </c>
      <c r="G48" s="13">
        <v>1179.73</v>
      </c>
      <c r="H48" s="90">
        <f t="shared" si="8"/>
        <v>2.7280312466000001</v>
      </c>
      <c r="I48" s="13">
        <v>0</v>
      </c>
      <c r="J48" s="24"/>
      <c r="L48" s="20"/>
      <c r="M48" s="21"/>
      <c r="N48" s="22"/>
    </row>
    <row r="49" spans="1:14" ht="15.75" hidden="1" customHeight="1">
      <c r="A49" s="45">
        <v>18</v>
      </c>
      <c r="B49" s="86" t="s">
        <v>33</v>
      </c>
      <c r="C49" s="87" t="s">
        <v>34</v>
      </c>
      <c r="D49" s="86" t="s">
        <v>42</v>
      </c>
      <c r="E49" s="88">
        <v>15</v>
      </c>
      <c r="F49" s="89">
        <f>SUM(E49*2/100)</f>
        <v>0.3</v>
      </c>
      <c r="G49" s="13">
        <v>90.61</v>
      </c>
      <c r="H49" s="90">
        <f t="shared" si="8"/>
        <v>2.7182999999999999E-2</v>
      </c>
      <c r="I49" s="13">
        <v>0</v>
      </c>
      <c r="J49" s="24"/>
      <c r="L49" s="20"/>
      <c r="M49" s="21"/>
      <c r="N49" s="22"/>
    </row>
    <row r="50" spans="1:14" ht="15.75" customHeight="1">
      <c r="A50" s="45">
        <v>11</v>
      </c>
      <c r="B50" s="86" t="s">
        <v>56</v>
      </c>
      <c r="C50" s="87" t="s">
        <v>100</v>
      </c>
      <c r="D50" s="86" t="s">
        <v>168</v>
      </c>
      <c r="E50" s="88">
        <v>1803.1</v>
      </c>
      <c r="F50" s="89">
        <f>SUM(E50*5/1000)</f>
        <v>9.0154999999999994</v>
      </c>
      <c r="G50" s="13">
        <v>1711.28</v>
      </c>
      <c r="H50" s="90">
        <f t="shared" si="8"/>
        <v>15.428044839999998</v>
      </c>
      <c r="I50" s="13">
        <f>F50/5*G50</f>
        <v>3085.608968</v>
      </c>
      <c r="J50" s="24"/>
      <c r="L50" s="20"/>
      <c r="M50" s="21"/>
      <c r="N50" s="22"/>
    </row>
    <row r="51" spans="1:14" ht="31.5" hidden="1" customHeight="1">
      <c r="A51" s="45">
        <v>13</v>
      </c>
      <c r="B51" s="86" t="s">
        <v>111</v>
      </c>
      <c r="C51" s="87" t="s">
        <v>100</v>
      </c>
      <c r="D51" s="86" t="s">
        <v>42</v>
      </c>
      <c r="E51" s="88">
        <v>1803.1</v>
      </c>
      <c r="F51" s="89">
        <f>SUM(E51*2/1000)</f>
        <v>3.6061999999999999</v>
      </c>
      <c r="G51" s="13">
        <v>1510.06</v>
      </c>
      <c r="H51" s="90">
        <f t="shared" si="8"/>
        <v>5.4455783719999999</v>
      </c>
      <c r="I51" s="13">
        <v>0</v>
      </c>
      <c r="J51" s="24"/>
      <c r="L51" s="20"/>
      <c r="M51" s="21"/>
      <c r="N51" s="22"/>
    </row>
    <row r="52" spans="1:14" ht="31.5" hidden="1" customHeight="1">
      <c r="A52" s="45">
        <v>14</v>
      </c>
      <c r="B52" s="86" t="s">
        <v>112</v>
      </c>
      <c r="C52" s="87" t="s">
        <v>38</v>
      </c>
      <c r="D52" s="86" t="s">
        <v>42</v>
      </c>
      <c r="E52" s="88">
        <v>9</v>
      </c>
      <c r="F52" s="89">
        <f>SUM(E52*2/100)</f>
        <v>0.18</v>
      </c>
      <c r="G52" s="13">
        <v>3850.4</v>
      </c>
      <c r="H52" s="90">
        <f t="shared" si="8"/>
        <v>0.69307200000000002</v>
      </c>
      <c r="I52" s="13">
        <v>0</v>
      </c>
      <c r="J52" s="24"/>
      <c r="L52" s="20"/>
      <c r="M52" s="21"/>
      <c r="N52" s="22"/>
    </row>
    <row r="53" spans="1:14" ht="15.75" hidden="1" customHeight="1">
      <c r="A53" s="45">
        <v>15</v>
      </c>
      <c r="B53" s="86" t="s">
        <v>39</v>
      </c>
      <c r="C53" s="87" t="s">
        <v>40</v>
      </c>
      <c r="D53" s="86" t="s">
        <v>42</v>
      </c>
      <c r="E53" s="88">
        <v>1</v>
      </c>
      <c r="F53" s="89">
        <v>0.02</v>
      </c>
      <c r="G53" s="13">
        <v>7033.13</v>
      </c>
      <c r="H53" s="90">
        <f t="shared" si="8"/>
        <v>0.1406626</v>
      </c>
      <c r="I53" s="13">
        <v>0</v>
      </c>
      <c r="J53" s="24"/>
      <c r="L53" s="20"/>
      <c r="M53" s="21"/>
      <c r="N53" s="22"/>
    </row>
    <row r="54" spans="1:14" ht="15.75" customHeight="1">
      <c r="A54" s="45">
        <v>12</v>
      </c>
      <c r="B54" s="86" t="s">
        <v>136</v>
      </c>
      <c r="C54" s="87" t="s">
        <v>29</v>
      </c>
      <c r="D54" s="118">
        <v>44225</v>
      </c>
      <c r="E54" s="88">
        <v>36</v>
      </c>
      <c r="F54" s="89">
        <f>E54*3</f>
        <v>108</v>
      </c>
      <c r="G54" s="13">
        <v>175.6</v>
      </c>
      <c r="H54" s="90">
        <f t="shared" si="8"/>
        <v>18.9648</v>
      </c>
      <c r="I54" s="13">
        <f>E54*G54</f>
        <v>6321.5999999999995</v>
      </c>
      <c r="J54" s="24"/>
      <c r="L54" s="20"/>
      <c r="M54" s="21"/>
      <c r="N54" s="22"/>
    </row>
    <row r="55" spans="1:14" ht="15.75" customHeight="1">
      <c r="A55" s="45">
        <v>13</v>
      </c>
      <c r="B55" s="86" t="s">
        <v>41</v>
      </c>
      <c r="C55" s="87" t="s">
        <v>29</v>
      </c>
      <c r="D55" s="118">
        <v>44225</v>
      </c>
      <c r="E55" s="88">
        <v>36</v>
      </c>
      <c r="F55" s="89">
        <f>SUM(E55)*3</f>
        <v>108</v>
      </c>
      <c r="G55" s="13">
        <v>81.73</v>
      </c>
      <c r="H55" s="90">
        <f t="shared" si="8"/>
        <v>8.8268400000000007</v>
      </c>
      <c r="I55" s="13">
        <f>E55*G55</f>
        <v>2942.28</v>
      </c>
      <c r="J55" s="24"/>
      <c r="L55" s="20"/>
      <c r="M55" s="21"/>
      <c r="N55" s="22"/>
    </row>
    <row r="56" spans="1:14" ht="15.75" customHeight="1">
      <c r="A56" s="140" t="s">
        <v>131</v>
      </c>
      <c r="B56" s="141"/>
      <c r="C56" s="141"/>
      <c r="D56" s="141"/>
      <c r="E56" s="141"/>
      <c r="F56" s="141"/>
      <c r="G56" s="141"/>
      <c r="H56" s="141"/>
      <c r="I56" s="142"/>
      <c r="J56" s="24"/>
      <c r="L56" s="20"/>
      <c r="M56" s="21"/>
      <c r="N56" s="22"/>
    </row>
    <row r="57" spans="1:14" ht="15.75" customHeight="1">
      <c r="A57" s="57"/>
      <c r="B57" s="52" t="s">
        <v>43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customHeight="1">
      <c r="A58" s="45">
        <v>14</v>
      </c>
      <c r="B58" s="86" t="s">
        <v>114</v>
      </c>
      <c r="C58" s="87" t="s">
        <v>90</v>
      </c>
      <c r="D58" s="86"/>
      <c r="E58" s="88">
        <v>12</v>
      </c>
      <c r="F58" s="89">
        <f>E58*6/100</f>
        <v>0.72</v>
      </c>
      <c r="G58" s="95">
        <v>2306.62</v>
      </c>
      <c r="H58" s="90">
        <f>F58*G58/1000</f>
        <v>1.6607663999999998</v>
      </c>
      <c r="I58" s="13">
        <f>G58*0.12</f>
        <v>276.7944</v>
      </c>
      <c r="J58" s="24"/>
      <c r="L58" s="20"/>
      <c r="M58" s="21"/>
      <c r="N58" s="22"/>
    </row>
    <row r="59" spans="1:14" ht="18" hidden="1" customHeight="1">
      <c r="A59" s="45"/>
      <c r="B59" s="96" t="s">
        <v>83</v>
      </c>
      <c r="C59" s="97" t="s">
        <v>115</v>
      </c>
      <c r="D59" s="96" t="s">
        <v>66</v>
      </c>
      <c r="E59" s="98"/>
      <c r="F59" s="99">
        <v>2</v>
      </c>
      <c r="G59" s="100">
        <v>1501</v>
      </c>
      <c r="H59" s="90">
        <f>F59*G59/1000</f>
        <v>3.0019999999999998</v>
      </c>
      <c r="I59" s="13">
        <v>0</v>
      </c>
      <c r="J59" s="24"/>
      <c r="L59" s="20"/>
      <c r="M59" s="21"/>
      <c r="N59" s="22"/>
    </row>
    <row r="60" spans="1:14" ht="18" hidden="1" customHeight="1">
      <c r="A60" s="45"/>
      <c r="B60" s="66" t="s">
        <v>44</v>
      </c>
      <c r="C60" s="66"/>
      <c r="D60" s="66"/>
      <c r="E60" s="77"/>
      <c r="F60" s="66"/>
      <c r="G60" s="68"/>
      <c r="H60" s="68"/>
      <c r="I60" s="39"/>
      <c r="J60" s="24"/>
      <c r="L60" s="20"/>
      <c r="M60" s="21"/>
      <c r="N60" s="22"/>
    </row>
    <row r="61" spans="1:14" ht="18" hidden="1" customHeight="1">
      <c r="A61" s="45">
        <v>27</v>
      </c>
      <c r="B61" s="96" t="s">
        <v>45</v>
      </c>
      <c r="C61" s="97" t="s">
        <v>53</v>
      </c>
      <c r="D61" s="96" t="s">
        <v>54</v>
      </c>
      <c r="E61" s="98">
        <v>177</v>
      </c>
      <c r="F61" s="99">
        <f>E61/100</f>
        <v>1.77</v>
      </c>
      <c r="G61" s="100">
        <v>987.51</v>
      </c>
      <c r="H61" s="101">
        <f>G61*F61/1000</f>
        <v>1.7478927000000002</v>
      </c>
      <c r="I61" s="13">
        <v>0</v>
      </c>
      <c r="J61" s="24"/>
      <c r="L61" s="20"/>
      <c r="M61" s="21"/>
      <c r="N61" s="22"/>
    </row>
    <row r="62" spans="1:14" ht="18" hidden="1" customHeight="1">
      <c r="A62" s="45"/>
      <c r="B62" s="66" t="s">
        <v>46</v>
      </c>
      <c r="C62" s="17"/>
      <c r="D62" s="41"/>
      <c r="E62" s="41"/>
      <c r="F62" s="16"/>
      <c r="G62" s="69"/>
      <c r="H62" s="68"/>
      <c r="I62" s="19"/>
      <c r="J62" s="24"/>
      <c r="L62" s="20"/>
      <c r="M62" s="21"/>
      <c r="N62" s="22"/>
    </row>
    <row r="63" spans="1:14" ht="18" hidden="1" customHeight="1">
      <c r="A63" s="45">
        <v>17</v>
      </c>
      <c r="B63" s="15" t="s">
        <v>47</v>
      </c>
      <c r="C63" s="17" t="s">
        <v>113</v>
      </c>
      <c r="D63" s="15" t="s">
        <v>66</v>
      </c>
      <c r="E63" s="19">
        <v>1</v>
      </c>
      <c r="F63" s="89">
        <f>E63</f>
        <v>1</v>
      </c>
      <c r="G63" s="13">
        <v>276.74</v>
      </c>
      <c r="H63" s="102">
        <f t="shared" ref="H63:H72" si="9">SUM(F63*G63/1000)</f>
        <v>0.27673999999999999</v>
      </c>
      <c r="I63" s="13">
        <v>0</v>
      </c>
      <c r="J63" s="24"/>
      <c r="L63" s="20"/>
      <c r="M63" s="21"/>
      <c r="N63" s="22"/>
    </row>
    <row r="64" spans="1:14" ht="18" hidden="1" customHeight="1">
      <c r="A64" s="30">
        <v>29</v>
      </c>
      <c r="B64" s="15" t="s">
        <v>48</v>
      </c>
      <c r="C64" s="17" t="s">
        <v>113</v>
      </c>
      <c r="D64" s="15" t="s">
        <v>66</v>
      </c>
      <c r="E64" s="19">
        <v>3</v>
      </c>
      <c r="F64" s="89">
        <v>3</v>
      </c>
      <c r="G64" s="13">
        <v>94.89</v>
      </c>
      <c r="H64" s="102">
        <f t="shared" si="9"/>
        <v>0.28467000000000003</v>
      </c>
      <c r="I64" s="13">
        <v>0</v>
      </c>
      <c r="J64" s="24"/>
      <c r="L64" s="20"/>
    </row>
    <row r="65" spans="1:22" ht="18" hidden="1" customHeight="1">
      <c r="A65" s="30">
        <v>8</v>
      </c>
      <c r="B65" s="15" t="s">
        <v>49</v>
      </c>
      <c r="C65" s="17" t="s">
        <v>116</v>
      </c>
      <c r="D65" s="15" t="s">
        <v>54</v>
      </c>
      <c r="E65" s="88">
        <v>7265</v>
      </c>
      <c r="F65" s="13">
        <f>SUM(E65/100)</f>
        <v>72.650000000000006</v>
      </c>
      <c r="G65" s="13">
        <v>263.99</v>
      </c>
      <c r="H65" s="102">
        <f t="shared" si="9"/>
        <v>19.178873500000002</v>
      </c>
      <c r="I65" s="13">
        <v>0</v>
      </c>
    </row>
    <row r="66" spans="1:22" ht="18" hidden="1" customHeight="1">
      <c r="A66" s="30">
        <v>9</v>
      </c>
      <c r="B66" s="15" t="s">
        <v>50</v>
      </c>
      <c r="C66" s="17" t="s">
        <v>117</v>
      </c>
      <c r="D66" s="15" t="s">
        <v>54</v>
      </c>
      <c r="E66" s="88">
        <v>7265</v>
      </c>
      <c r="F66" s="13">
        <f>SUM(E66/1000)</f>
        <v>7.2649999999999997</v>
      </c>
      <c r="G66" s="13">
        <v>205.57</v>
      </c>
      <c r="H66" s="102">
        <f t="shared" si="9"/>
        <v>1.4934660500000001</v>
      </c>
      <c r="I66" s="13">
        <v>0</v>
      </c>
    </row>
    <row r="67" spans="1:22" ht="18" hidden="1" customHeight="1">
      <c r="A67" s="30">
        <v>10</v>
      </c>
      <c r="B67" s="15" t="s">
        <v>51</v>
      </c>
      <c r="C67" s="17" t="s">
        <v>76</v>
      </c>
      <c r="D67" s="15" t="s">
        <v>54</v>
      </c>
      <c r="E67" s="88">
        <v>1090</v>
      </c>
      <c r="F67" s="13">
        <f>SUM(E67/100)</f>
        <v>10.9</v>
      </c>
      <c r="G67" s="13">
        <v>2581.5300000000002</v>
      </c>
      <c r="H67" s="102">
        <f t="shared" si="9"/>
        <v>28.138677000000005</v>
      </c>
      <c r="I67" s="13">
        <v>0</v>
      </c>
    </row>
    <row r="68" spans="1:22" ht="18" hidden="1" customHeight="1">
      <c r="A68" s="30">
        <v>11</v>
      </c>
      <c r="B68" s="103" t="s">
        <v>118</v>
      </c>
      <c r="C68" s="17" t="s">
        <v>32</v>
      </c>
      <c r="D68" s="15"/>
      <c r="E68" s="88">
        <v>7.4</v>
      </c>
      <c r="F68" s="13">
        <f>SUM(E68)</f>
        <v>7.4</v>
      </c>
      <c r="G68" s="13">
        <v>47.45</v>
      </c>
      <c r="H68" s="102">
        <f t="shared" si="9"/>
        <v>0.35113000000000005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8" hidden="1" customHeight="1">
      <c r="A69" s="30">
        <v>12</v>
      </c>
      <c r="B69" s="103" t="s">
        <v>138</v>
      </c>
      <c r="C69" s="17" t="s">
        <v>32</v>
      </c>
      <c r="D69" s="15"/>
      <c r="E69" s="88">
        <v>7.4</v>
      </c>
      <c r="F69" s="13">
        <f>SUM(E69)</f>
        <v>7.4</v>
      </c>
      <c r="G69" s="13">
        <v>44.27</v>
      </c>
      <c r="H69" s="102">
        <f t="shared" si="9"/>
        <v>0.327598</v>
      </c>
      <c r="I69" s="13">
        <v>0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8" hidden="1" customHeight="1">
      <c r="A70" s="30">
        <v>13</v>
      </c>
      <c r="B70" s="15" t="s">
        <v>57</v>
      </c>
      <c r="C70" s="17" t="s">
        <v>58</v>
      </c>
      <c r="D70" s="15" t="s">
        <v>54</v>
      </c>
      <c r="E70" s="19">
        <v>3</v>
      </c>
      <c r="F70" s="89">
        <f>SUM(E70)</f>
        <v>3</v>
      </c>
      <c r="G70" s="13">
        <v>62.07</v>
      </c>
      <c r="H70" s="102">
        <f t="shared" si="9"/>
        <v>0.18621000000000001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8" customHeight="1">
      <c r="A71" s="30"/>
      <c r="B71" s="122" t="s">
        <v>185</v>
      </c>
      <c r="C71" s="17"/>
      <c r="D71" s="15"/>
      <c r="E71" s="19"/>
      <c r="F71" s="89"/>
      <c r="G71" s="13"/>
      <c r="H71" s="102"/>
      <c r="I71" s="13"/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15</v>
      </c>
      <c r="B72" s="15" t="s">
        <v>84</v>
      </c>
      <c r="C72" s="30" t="s">
        <v>119</v>
      </c>
      <c r="D72" s="15"/>
      <c r="E72" s="19">
        <v>1803.1</v>
      </c>
      <c r="F72" s="89">
        <f>SUM(E72*12)</f>
        <v>21637.199999999997</v>
      </c>
      <c r="G72" s="13">
        <v>2.16</v>
      </c>
      <c r="H72" s="102">
        <f t="shared" si="9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32"/>
      <c r="S72" s="132"/>
      <c r="T72" s="132"/>
      <c r="U72" s="132"/>
    </row>
    <row r="73" spans="1:22" ht="15.75" hidden="1" customHeight="1">
      <c r="A73" s="30"/>
      <c r="B73" s="53" t="s">
        <v>72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121</v>
      </c>
      <c r="C74" s="17" t="s">
        <v>122</v>
      </c>
      <c r="D74" s="15" t="s">
        <v>66</v>
      </c>
      <c r="E74" s="19">
        <v>1</v>
      </c>
      <c r="F74" s="13">
        <f>E74</f>
        <v>1</v>
      </c>
      <c r="G74" s="13">
        <v>976.4</v>
      </c>
      <c r="H74" s="102">
        <f t="shared" ref="H74:H78" si="10">SUM(F74*G74/1000)</f>
        <v>0.97639999999999993</v>
      </c>
      <c r="I74" s="13">
        <v>0</v>
      </c>
    </row>
    <row r="75" spans="1:22" ht="15.75" hidden="1" customHeight="1">
      <c r="A75" s="30"/>
      <c r="B75" s="15" t="s">
        <v>123</v>
      </c>
      <c r="C75" s="17" t="s">
        <v>124</v>
      </c>
      <c r="D75" s="15"/>
      <c r="E75" s="19">
        <v>1</v>
      </c>
      <c r="F75" s="13">
        <v>1</v>
      </c>
      <c r="G75" s="13">
        <v>650</v>
      </c>
      <c r="H75" s="102">
        <f t="shared" si="10"/>
        <v>0.65</v>
      </c>
      <c r="I75" s="13">
        <v>0</v>
      </c>
    </row>
    <row r="76" spans="1:22" ht="15.75" hidden="1" customHeight="1">
      <c r="A76" s="30"/>
      <c r="B76" s="15" t="s">
        <v>73</v>
      </c>
      <c r="C76" s="17" t="s">
        <v>30</v>
      </c>
      <c r="D76" s="15" t="s">
        <v>66</v>
      </c>
      <c r="E76" s="19">
        <v>3</v>
      </c>
      <c r="F76" s="13">
        <f>E76/10</f>
        <v>0.3</v>
      </c>
      <c r="G76" s="13">
        <v>624.16999999999996</v>
      </c>
      <c r="H76" s="102">
        <f t="shared" si="10"/>
        <v>0.18725099999999997</v>
      </c>
      <c r="I76" s="13">
        <v>0</v>
      </c>
    </row>
    <row r="77" spans="1:22" ht="15.75" hidden="1" customHeight="1">
      <c r="A77" s="30"/>
      <c r="B77" s="15" t="s">
        <v>74</v>
      </c>
      <c r="C77" s="17" t="s">
        <v>29</v>
      </c>
      <c r="D77" s="15" t="s">
        <v>66</v>
      </c>
      <c r="E77" s="19">
        <v>1</v>
      </c>
      <c r="F77" s="13">
        <v>1</v>
      </c>
      <c r="G77" s="13">
        <v>1061.4100000000001</v>
      </c>
      <c r="H77" s="102">
        <f t="shared" si="10"/>
        <v>1.0614100000000002</v>
      </c>
      <c r="I77" s="13">
        <v>0</v>
      </c>
    </row>
    <row r="78" spans="1:22" ht="15.75" hidden="1" customHeight="1">
      <c r="A78" s="30">
        <v>17</v>
      </c>
      <c r="B78" s="15" t="s">
        <v>85</v>
      </c>
      <c r="C78" s="17" t="s">
        <v>29</v>
      </c>
      <c r="D78" s="15" t="s">
        <v>66</v>
      </c>
      <c r="E78" s="19">
        <v>1</v>
      </c>
      <c r="F78" s="89">
        <f>SUM(E78)</f>
        <v>1</v>
      </c>
      <c r="G78" s="13">
        <v>446.12</v>
      </c>
      <c r="H78" s="102">
        <f t="shared" si="10"/>
        <v>0.44612000000000002</v>
      </c>
      <c r="I78" s="13">
        <v>0</v>
      </c>
    </row>
    <row r="79" spans="1:22" ht="15.75" hidden="1" customHeight="1">
      <c r="A79" s="30"/>
      <c r="B79" s="54" t="s">
        <v>75</v>
      </c>
      <c r="C79" s="42"/>
      <c r="D79" s="30"/>
      <c r="E79" s="30"/>
      <c r="F79" s="19"/>
      <c r="G79" s="40" t="s">
        <v>128</v>
      </c>
      <c r="H79" s="40"/>
      <c r="I79" s="19"/>
    </row>
    <row r="80" spans="1:22" ht="15.75" hidden="1" customHeight="1">
      <c r="A80" s="30">
        <v>39</v>
      </c>
      <c r="B80" s="56" t="s">
        <v>125</v>
      </c>
      <c r="C80" s="17" t="s">
        <v>76</v>
      </c>
      <c r="D80" s="15"/>
      <c r="E80" s="19"/>
      <c r="F80" s="13">
        <v>1.35</v>
      </c>
      <c r="G80" s="13">
        <v>3433.68</v>
      </c>
      <c r="H80" s="102">
        <f t="shared" ref="H80" si="11">SUM(F80*G80/1000)</f>
        <v>4.6354679999999995</v>
      </c>
      <c r="I80" s="13">
        <v>0</v>
      </c>
    </row>
    <row r="81" spans="1:21" ht="15.75" hidden="1" customHeight="1">
      <c r="A81" s="57"/>
      <c r="B81" s="66" t="s">
        <v>120</v>
      </c>
      <c r="C81" s="66"/>
      <c r="D81" s="66"/>
      <c r="E81" s="77"/>
      <c r="F81" s="66"/>
      <c r="G81" s="66"/>
      <c r="H81" s="77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86" t="s">
        <v>87</v>
      </c>
      <c r="C82" s="17"/>
      <c r="D82" s="15"/>
      <c r="E82" s="104"/>
      <c r="F82" s="13">
        <v>1</v>
      </c>
      <c r="G82" s="13">
        <v>14156.3</v>
      </c>
      <c r="H82" s="102">
        <f>G82*F82/1000</f>
        <v>14.1563</v>
      </c>
      <c r="I82" s="13">
        <v>0</v>
      </c>
    </row>
    <row r="83" spans="1:21" ht="15.75" customHeight="1">
      <c r="A83" s="125" t="s">
        <v>132</v>
      </c>
      <c r="B83" s="126"/>
      <c r="C83" s="126"/>
      <c r="D83" s="126"/>
      <c r="E83" s="126"/>
      <c r="F83" s="126"/>
      <c r="G83" s="126"/>
      <c r="H83" s="126"/>
      <c r="I83" s="127"/>
    </row>
    <row r="84" spans="1:21" ht="15.75" customHeight="1">
      <c r="A84" s="30">
        <v>16</v>
      </c>
      <c r="B84" s="86" t="s">
        <v>126</v>
      </c>
      <c r="C84" s="17" t="s">
        <v>55</v>
      </c>
      <c r="D84" s="105"/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17</v>
      </c>
      <c r="B85" s="15" t="s">
        <v>77</v>
      </c>
      <c r="C85" s="17"/>
      <c r="D85" s="105"/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57"/>
      <c r="B86" s="43" t="s">
        <v>79</v>
      </c>
      <c r="C86" s="45"/>
      <c r="D86" s="16"/>
      <c r="E86" s="16"/>
      <c r="F86" s="16"/>
      <c r="G86" s="19"/>
      <c r="H86" s="19"/>
      <c r="I86" s="32">
        <f>I85+I84+I72+I58+I55+I54+I50+I43+I42+I41+I40+I39+I38+I27+I18+I17+I16</f>
        <v>41540.801060166668</v>
      </c>
    </row>
    <row r="87" spans="1:21" ht="15.75" customHeight="1">
      <c r="A87" s="128" t="s">
        <v>60</v>
      </c>
      <c r="B87" s="129"/>
      <c r="C87" s="129"/>
      <c r="D87" s="129"/>
      <c r="E87" s="129"/>
      <c r="F87" s="129"/>
      <c r="G87" s="129"/>
      <c r="H87" s="129"/>
      <c r="I87" s="130"/>
    </row>
    <row r="88" spans="1:21" ht="15.75" customHeight="1">
      <c r="A88" s="46">
        <v>18</v>
      </c>
      <c r="B88" s="15" t="s">
        <v>153</v>
      </c>
      <c r="C88" s="17" t="s">
        <v>154</v>
      </c>
      <c r="D88" s="15"/>
      <c r="E88" s="19"/>
      <c r="F88" s="13">
        <v>24</v>
      </c>
      <c r="G88" s="13">
        <v>1.4</v>
      </c>
      <c r="H88" s="13">
        <f>F88*G88/1000</f>
        <v>3.3599999999999991E-2</v>
      </c>
      <c r="I88" s="13">
        <f>G88*12</f>
        <v>16.799999999999997</v>
      </c>
    </row>
    <row r="89" spans="1:21" ht="33.75" customHeight="1">
      <c r="A89" s="30">
        <v>19</v>
      </c>
      <c r="B89" s="107" t="s">
        <v>157</v>
      </c>
      <c r="C89" s="108" t="s">
        <v>28</v>
      </c>
      <c r="D89" s="56"/>
      <c r="E89" s="13"/>
      <c r="F89" s="13">
        <v>1</v>
      </c>
      <c r="G89" s="113">
        <v>21369.24</v>
      </c>
      <c r="H89" s="102">
        <f>G89*F89/1000</f>
        <v>21.369240000000001</v>
      </c>
      <c r="I89" s="13">
        <f>G89*0.599*6/1000</f>
        <v>76.801048559999998</v>
      </c>
    </row>
    <row r="90" spans="1:21" ht="15.75" customHeight="1">
      <c r="A90" s="30"/>
      <c r="B90" s="50" t="s">
        <v>52</v>
      </c>
      <c r="C90" s="46"/>
      <c r="D90" s="58"/>
      <c r="E90" s="58"/>
      <c r="F90" s="46">
        <v>1</v>
      </c>
      <c r="G90" s="46"/>
      <c r="H90" s="46"/>
      <c r="I90" s="32">
        <f>SUM(I88:I89)</f>
        <v>93.601048559999995</v>
      </c>
    </row>
    <row r="91" spans="1:21" ht="15.75" customHeight="1">
      <c r="A91" s="30"/>
      <c r="B91" s="56" t="s">
        <v>78</v>
      </c>
      <c r="C91" s="16"/>
      <c r="D91" s="16"/>
      <c r="E91" s="16"/>
      <c r="F91" s="47"/>
      <c r="G91" s="48"/>
      <c r="H91" s="48"/>
      <c r="I91" s="18">
        <v>0</v>
      </c>
    </row>
    <row r="92" spans="1:21" ht="15.75" customHeight="1">
      <c r="A92" s="59"/>
      <c r="B92" s="51" t="s">
        <v>133</v>
      </c>
      <c r="C92" s="38"/>
      <c r="D92" s="38"/>
      <c r="E92" s="38"/>
      <c r="F92" s="38"/>
      <c r="G92" s="38"/>
      <c r="H92" s="38"/>
      <c r="I92" s="49">
        <f>I86+I90</f>
        <v>41634.402108726666</v>
      </c>
    </row>
    <row r="93" spans="1:21" ht="15.75" customHeight="1">
      <c r="A93" s="131" t="s">
        <v>186</v>
      </c>
      <c r="B93" s="131"/>
      <c r="C93" s="131"/>
      <c r="D93" s="131"/>
      <c r="E93" s="131"/>
      <c r="F93" s="131"/>
      <c r="G93" s="131"/>
      <c r="H93" s="131"/>
      <c r="I93" s="131"/>
    </row>
    <row r="94" spans="1:21" ht="15.75" customHeight="1">
      <c r="A94" s="65"/>
      <c r="B94" s="147" t="s">
        <v>187</v>
      </c>
      <c r="C94" s="147"/>
      <c r="D94" s="147"/>
      <c r="E94" s="147"/>
      <c r="F94" s="147"/>
      <c r="G94" s="147"/>
      <c r="H94" s="84"/>
      <c r="I94" s="3"/>
    </row>
    <row r="95" spans="1:21" ht="15.75" customHeight="1">
      <c r="A95" s="60"/>
      <c r="B95" s="143" t="s">
        <v>6</v>
      </c>
      <c r="C95" s="143"/>
      <c r="D95" s="143"/>
      <c r="E95" s="143"/>
      <c r="F95" s="143"/>
      <c r="G95" s="143"/>
      <c r="H95" s="25"/>
      <c r="I95" s="5"/>
    </row>
    <row r="96" spans="1:21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51" t="s">
        <v>7</v>
      </c>
      <c r="B97" s="151"/>
      <c r="C97" s="151"/>
      <c r="D97" s="151"/>
      <c r="E97" s="151"/>
      <c r="F97" s="151"/>
      <c r="G97" s="151"/>
      <c r="H97" s="151"/>
      <c r="I97" s="151"/>
    </row>
    <row r="98" spans="1:9" ht="15.75" customHeight="1">
      <c r="A98" s="151" t="s">
        <v>8</v>
      </c>
      <c r="B98" s="151"/>
      <c r="C98" s="151"/>
      <c r="D98" s="151"/>
      <c r="E98" s="151"/>
      <c r="F98" s="151"/>
      <c r="G98" s="151"/>
      <c r="H98" s="151"/>
      <c r="I98" s="151"/>
    </row>
    <row r="99" spans="1:9" ht="15.75" customHeight="1">
      <c r="A99" s="148" t="s">
        <v>61</v>
      </c>
      <c r="B99" s="148"/>
      <c r="C99" s="148"/>
      <c r="D99" s="148"/>
      <c r="E99" s="148"/>
      <c r="F99" s="148"/>
      <c r="G99" s="148"/>
      <c r="H99" s="148"/>
      <c r="I99" s="148"/>
    </row>
    <row r="100" spans="1:9" ht="15.75" customHeight="1">
      <c r="A100" s="11"/>
    </row>
    <row r="101" spans="1:9" ht="15.75" customHeight="1">
      <c r="A101" s="149" t="s">
        <v>9</v>
      </c>
      <c r="B101" s="149"/>
      <c r="C101" s="149"/>
      <c r="D101" s="149"/>
      <c r="E101" s="149"/>
      <c r="F101" s="149"/>
      <c r="G101" s="149"/>
      <c r="H101" s="149"/>
      <c r="I101" s="149"/>
    </row>
    <row r="102" spans="1:9" ht="15.75" customHeight="1">
      <c r="A102" s="4"/>
    </row>
    <row r="103" spans="1:9" ht="15.75" customHeight="1">
      <c r="B103" s="63" t="s">
        <v>10</v>
      </c>
      <c r="C103" s="150" t="s">
        <v>182</v>
      </c>
      <c r="D103" s="150"/>
      <c r="E103" s="150"/>
      <c r="F103" s="150"/>
      <c r="I103" s="64"/>
    </row>
    <row r="104" spans="1:9" ht="15.75" customHeight="1">
      <c r="A104" s="60"/>
      <c r="C104" s="143" t="s">
        <v>11</v>
      </c>
      <c r="D104" s="143"/>
      <c r="E104" s="143"/>
      <c r="F104" s="143"/>
      <c r="I104" s="62" t="s">
        <v>12</v>
      </c>
    </row>
    <row r="105" spans="1:9" ht="15.75" customHeight="1">
      <c r="A105" s="26"/>
      <c r="C105" s="12"/>
      <c r="D105" s="12"/>
      <c r="E105" s="12"/>
      <c r="G105" s="12"/>
      <c r="H105" s="12"/>
    </row>
    <row r="106" spans="1:9" ht="15.75" customHeight="1">
      <c r="B106" s="63" t="s">
        <v>13</v>
      </c>
      <c r="C106" s="145"/>
      <c r="D106" s="145"/>
      <c r="E106" s="145"/>
      <c r="F106" s="145"/>
      <c r="I106" s="64"/>
    </row>
    <row r="107" spans="1:9" ht="15.75" customHeight="1">
      <c r="A107" s="60"/>
      <c r="C107" s="132" t="s">
        <v>11</v>
      </c>
      <c r="D107" s="132"/>
      <c r="E107" s="132"/>
      <c r="F107" s="132"/>
      <c r="I107" s="62" t="s">
        <v>12</v>
      </c>
    </row>
    <row r="108" spans="1:9" ht="15.75" customHeight="1">
      <c r="A108" s="4" t="s">
        <v>14</v>
      </c>
    </row>
    <row r="109" spans="1:9">
      <c r="A109" s="146" t="s">
        <v>15</v>
      </c>
      <c r="B109" s="146"/>
      <c r="C109" s="146"/>
      <c r="D109" s="146"/>
      <c r="E109" s="146"/>
      <c r="F109" s="146"/>
      <c r="G109" s="146"/>
      <c r="H109" s="146"/>
      <c r="I109" s="146"/>
    </row>
    <row r="110" spans="1:9" ht="45" customHeight="1">
      <c r="A110" s="144" t="s">
        <v>16</v>
      </c>
      <c r="B110" s="144"/>
      <c r="C110" s="144"/>
      <c r="D110" s="144"/>
      <c r="E110" s="144"/>
      <c r="F110" s="144"/>
      <c r="G110" s="144"/>
      <c r="H110" s="144"/>
      <c r="I110" s="144"/>
    </row>
    <row r="111" spans="1:9" ht="30" customHeight="1">
      <c r="A111" s="144" t="s">
        <v>17</v>
      </c>
      <c r="B111" s="144"/>
      <c r="C111" s="144"/>
      <c r="D111" s="144"/>
      <c r="E111" s="144"/>
      <c r="F111" s="144"/>
      <c r="G111" s="144"/>
      <c r="H111" s="144"/>
      <c r="I111" s="144"/>
    </row>
    <row r="112" spans="1:9" ht="30" customHeight="1">
      <c r="A112" s="144" t="s">
        <v>21</v>
      </c>
      <c r="B112" s="144"/>
      <c r="C112" s="144"/>
      <c r="D112" s="144"/>
      <c r="E112" s="144"/>
      <c r="F112" s="144"/>
      <c r="G112" s="144"/>
      <c r="H112" s="144"/>
      <c r="I112" s="144"/>
    </row>
    <row r="113" spans="1:9" ht="15" customHeight="1">
      <c r="A113" s="144" t="s">
        <v>20</v>
      </c>
      <c r="B113" s="144"/>
      <c r="C113" s="144"/>
      <c r="D113" s="144"/>
      <c r="E113" s="144"/>
      <c r="F113" s="144"/>
      <c r="G113" s="144"/>
      <c r="H113" s="144"/>
      <c r="I113" s="144"/>
    </row>
  </sheetData>
  <autoFilter ref="I12:I66"/>
  <mergeCells count="29">
    <mergeCell ref="B94:G94"/>
    <mergeCell ref="B95:G95"/>
    <mergeCell ref="A99:I99"/>
    <mergeCell ref="A101:I101"/>
    <mergeCell ref="C103:F103"/>
    <mergeCell ref="A97:I97"/>
    <mergeCell ref="A98:I98"/>
    <mergeCell ref="C104:F104"/>
    <mergeCell ref="A112:I112"/>
    <mergeCell ref="A113:I113"/>
    <mergeCell ref="C106:F106"/>
    <mergeCell ref="C107:F107"/>
    <mergeCell ref="A109:I109"/>
    <mergeCell ref="A110:I110"/>
    <mergeCell ref="A111:I111"/>
    <mergeCell ref="A83:I83"/>
    <mergeCell ref="A87:I87"/>
    <mergeCell ref="A93:I93"/>
    <mergeCell ref="R72:U72"/>
    <mergeCell ref="A3:I3"/>
    <mergeCell ref="A4:I4"/>
    <mergeCell ref="A8:I8"/>
    <mergeCell ref="A10:I10"/>
    <mergeCell ref="A5:I5"/>
    <mergeCell ref="A14:I14"/>
    <mergeCell ref="A15:I15"/>
    <mergeCell ref="A28:I28"/>
    <mergeCell ref="A44:I44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topLeftCell="A85" workbookViewId="0">
      <selection activeCell="G88" sqref="G8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20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155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3" t="s">
        <v>140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</row>
    <row r="4" spans="1:13" ht="31.5" customHeight="1">
      <c r="A4" s="134" t="s">
        <v>127</v>
      </c>
      <c r="B4" s="134"/>
      <c r="C4" s="134"/>
      <c r="D4" s="134"/>
      <c r="E4" s="134"/>
      <c r="F4" s="134"/>
      <c r="G4" s="134"/>
      <c r="H4" s="134"/>
      <c r="I4" s="134"/>
    </row>
    <row r="5" spans="1:13" ht="15.75" customHeight="1">
      <c r="A5" s="133" t="s">
        <v>188</v>
      </c>
      <c r="B5" s="137"/>
      <c r="C5" s="137"/>
      <c r="D5" s="137"/>
      <c r="E5" s="137"/>
      <c r="F5" s="137"/>
      <c r="G5" s="137"/>
      <c r="H5" s="137"/>
      <c r="I5" s="137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44255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181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129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8" t="s">
        <v>59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90</v>
      </c>
      <c r="D16" s="86" t="s">
        <v>160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88</v>
      </c>
      <c r="C17" s="87" t="s">
        <v>90</v>
      </c>
      <c r="D17" s="86" t="s">
        <v>161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89</v>
      </c>
      <c r="C18" s="87" t="s">
        <v>90</v>
      </c>
      <c r="D18" s="86" t="s">
        <v>162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/>
      <c r="B19" s="86" t="s">
        <v>91</v>
      </c>
      <c r="C19" s="87" t="s">
        <v>86</v>
      </c>
      <c r="D19" s="86" t="s">
        <v>92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93</v>
      </c>
      <c r="C20" s="87" t="s">
        <v>90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94</v>
      </c>
      <c r="C21" s="87" t="s">
        <v>90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/>
      <c r="B22" s="86" t="s">
        <v>95</v>
      </c>
      <c r="C22" s="87" t="s">
        <v>53</v>
      </c>
      <c r="D22" s="86" t="s">
        <v>92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/>
      <c r="B23" s="86" t="s">
        <v>96</v>
      </c>
      <c r="C23" s="87" t="s">
        <v>53</v>
      </c>
      <c r="D23" s="86" t="s">
        <v>92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86" t="s">
        <v>97</v>
      </c>
      <c r="C24" s="87" t="s">
        <v>53</v>
      </c>
      <c r="D24" s="86" t="s">
        <v>92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45">
        <v>6</v>
      </c>
      <c r="B25" s="86" t="s">
        <v>98</v>
      </c>
      <c r="C25" s="87" t="s">
        <v>53</v>
      </c>
      <c r="D25" s="86" t="s">
        <v>92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45"/>
      <c r="B26" s="86" t="s">
        <v>99</v>
      </c>
      <c r="C26" s="87" t="s">
        <v>53</v>
      </c>
      <c r="D26" s="86" t="s">
        <v>92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45">
        <v>4</v>
      </c>
      <c r="B27" s="34" t="s">
        <v>159</v>
      </c>
      <c r="C27" s="44" t="s">
        <v>154</v>
      </c>
      <c r="D27" s="34" t="s">
        <v>163</v>
      </c>
      <c r="E27" s="117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39" t="s">
        <v>81</v>
      </c>
      <c r="B28" s="139"/>
      <c r="C28" s="139"/>
      <c r="D28" s="139"/>
      <c r="E28" s="139"/>
      <c r="F28" s="139"/>
      <c r="G28" s="139"/>
      <c r="H28" s="139"/>
      <c r="I28" s="139"/>
      <c r="J28" s="23"/>
      <c r="K28" s="8"/>
      <c r="L28" s="8"/>
      <c r="M28" s="8"/>
    </row>
    <row r="29" spans="1:13" ht="15.75" hidden="1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hidden="1" customHeight="1">
      <c r="A30" s="45">
        <v>2</v>
      </c>
      <c r="B30" s="86" t="s">
        <v>134</v>
      </c>
      <c r="C30" s="87" t="s">
        <v>100</v>
      </c>
      <c r="D30" s="86" t="s">
        <v>101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hidden="1" customHeight="1">
      <c r="A31" s="45">
        <v>3</v>
      </c>
      <c r="B31" s="86" t="s">
        <v>135</v>
      </c>
      <c r="C31" s="87" t="s">
        <v>100</v>
      </c>
      <c r="D31" s="86" t="s">
        <v>102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4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4</v>
      </c>
      <c r="B32" s="86" t="s">
        <v>26</v>
      </c>
      <c r="C32" s="87" t="s">
        <v>100</v>
      </c>
      <c r="D32" s="86" t="s">
        <v>54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hidden="1" customHeight="1">
      <c r="A33" s="45"/>
      <c r="B33" s="86" t="s">
        <v>103</v>
      </c>
      <c r="C33" s="87" t="s">
        <v>40</v>
      </c>
      <c r="D33" s="86" t="s">
        <v>63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5</v>
      </c>
      <c r="B34" s="86" t="s">
        <v>104</v>
      </c>
      <c r="C34" s="87" t="s">
        <v>29</v>
      </c>
      <c r="D34" s="86" t="s">
        <v>63</v>
      </c>
      <c r="E34" s="94">
        <f>1/3</f>
        <v>0.33333333333333331</v>
      </c>
      <c r="F34" s="89">
        <f>155/3</f>
        <v>51.666666666666664</v>
      </c>
      <c r="G34" s="89">
        <v>70.540000000000006</v>
      </c>
      <c r="H34" s="90">
        <f>SUM(G34*155/3/1000)</f>
        <v>3.644566666666667</v>
      </c>
      <c r="I34" s="13">
        <f t="shared" si="4"/>
        <v>607.42777777777781</v>
      </c>
      <c r="J34" s="24"/>
    </row>
    <row r="35" spans="1:14" ht="15.75" hidden="1" customHeight="1">
      <c r="A35" s="45">
        <v>4</v>
      </c>
      <c r="B35" s="86" t="s">
        <v>64</v>
      </c>
      <c r="C35" s="87" t="s">
        <v>32</v>
      </c>
      <c r="D35" s="86" t="s">
        <v>66</v>
      </c>
      <c r="E35" s="88"/>
      <c r="F35" s="89">
        <v>1</v>
      </c>
      <c r="G35" s="89">
        <v>238.07</v>
      </c>
      <c r="H35" s="90">
        <f t="shared" ref="H35:H36" si="5">SUM(F35*G35/1000)</f>
        <v>0.23807</v>
      </c>
      <c r="I35" s="13">
        <v>0</v>
      </c>
      <c r="J35" s="24"/>
    </row>
    <row r="36" spans="1:14" ht="15.75" hidden="1" customHeight="1">
      <c r="A36" s="30">
        <v>8</v>
      </c>
      <c r="B36" s="86" t="s">
        <v>65</v>
      </c>
      <c r="C36" s="87" t="s">
        <v>31</v>
      </c>
      <c r="D36" s="86" t="s">
        <v>66</v>
      </c>
      <c r="E36" s="88"/>
      <c r="F36" s="89">
        <v>1</v>
      </c>
      <c r="G36" s="89">
        <v>1413.96</v>
      </c>
      <c r="H36" s="90">
        <f t="shared" si="5"/>
        <v>1.4139600000000001</v>
      </c>
      <c r="I36" s="13">
        <v>0</v>
      </c>
      <c r="J36" s="24"/>
    </row>
    <row r="37" spans="1:14" ht="15.75" customHeight="1">
      <c r="A37" s="45"/>
      <c r="B37" s="53" t="s">
        <v>5</v>
      </c>
      <c r="C37" s="53"/>
      <c r="D37" s="53"/>
      <c r="E37" s="53"/>
      <c r="F37" s="13"/>
      <c r="G37" s="14"/>
      <c r="H37" s="14"/>
      <c r="I37" s="19"/>
      <c r="J37" s="24"/>
    </row>
    <row r="38" spans="1:14" ht="15.75" customHeight="1">
      <c r="A38" s="35">
        <v>5</v>
      </c>
      <c r="B38" s="86" t="s">
        <v>25</v>
      </c>
      <c r="C38" s="87" t="s">
        <v>31</v>
      </c>
      <c r="D38" s="86" t="s">
        <v>189</v>
      </c>
      <c r="E38" s="88"/>
      <c r="F38" s="89">
        <v>2</v>
      </c>
      <c r="G38" s="89">
        <v>1900.37</v>
      </c>
      <c r="H38" s="90">
        <f t="shared" ref="H38:H43" si="6">SUM(F38*G38/1000)</f>
        <v>3.8007399999999998</v>
      </c>
      <c r="I38" s="13">
        <f>G38*1.3</f>
        <v>2470.4809999999998</v>
      </c>
      <c r="J38" s="24"/>
    </row>
    <row r="39" spans="1:14" ht="15.75" customHeight="1">
      <c r="A39" s="35">
        <v>6</v>
      </c>
      <c r="B39" s="86" t="s">
        <v>67</v>
      </c>
      <c r="C39" s="67" t="s">
        <v>28</v>
      </c>
      <c r="D39" s="36" t="s">
        <v>164</v>
      </c>
      <c r="E39" s="37">
        <v>65.25</v>
      </c>
      <c r="F39" s="89">
        <f>SUM(E39*30/1000)</f>
        <v>1.9575</v>
      </c>
      <c r="G39" s="89">
        <v>2616.4899999999998</v>
      </c>
      <c r="H39" s="90">
        <f t="shared" si="6"/>
        <v>5.1217791749999995</v>
      </c>
      <c r="I39" s="13">
        <f t="shared" ref="I39:I41" si="7">F39/6*G39</f>
        <v>853.62986249999994</v>
      </c>
      <c r="J39" s="24"/>
    </row>
    <row r="40" spans="1:14" ht="15.75" customHeight="1">
      <c r="A40" s="35">
        <v>7</v>
      </c>
      <c r="B40" s="86" t="s">
        <v>68</v>
      </c>
      <c r="C40" s="44" t="s">
        <v>28</v>
      </c>
      <c r="D40" s="34" t="s">
        <v>165</v>
      </c>
      <c r="E40" s="33">
        <v>65.25</v>
      </c>
      <c r="F40" s="89">
        <f>SUM(E40*155/1000)</f>
        <v>10.11375</v>
      </c>
      <c r="G40" s="89">
        <v>436.45</v>
      </c>
      <c r="H40" s="90">
        <f t="shared" si="6"/>
        <v>4.4141461874999992</v>
      </c>
      <c r="I40" s="13">
        <f t="shared" si="7"/>
        <v>735.69103124999992</v>
      </c>
      <c r="J40" s="24"/>
    </row>
    <row r="41" spans="1:14" ht="46.5" customHeight="1">
      <c r="A41" s="35">
        <v>8</v>
      </c>
      <c r="B41" s="86" t="s">
        <v>80</v>
      </c>
      <c r="C41" s="44" t="s">
        <v>100</v>
      </c>
      <c r="D41" s="34" t="s">
        <v>166</v>
      </c>
      <c r="E41" s="33">
        <v>65.25</v>
      </c>
      <c r="F41" s="89">
        <f>SUM(E41*35/1000)</f>
        <v>2.2837499999999999</v>
      </c>
      <c r="G41" s="89">
        <v>7221.21</v>
      </c>
      <c r="H41" s="90">
        <f t="shared" si="6"/>
        <v>16.4914383375</v>
      </c>
      <c r="I41" s="13">
        <f t="shared" si="7"/>
        <v>2748.5730562499998</v>
      </c>
      <c r="J41" s="24"/>
      <c r="L41" s="20"/>
      <c r="M41" s="21"/>
      <c r="N41" s="22"/>
    </row>
    <row r="42" spans="1:14" ht="15.75" customHeight="1">
      <c r="A42" s="35">
        <v>9</v>
      </c>
      <c r="B42" s="86" t="s">
        <v>108</v>
      </c>
      <c r="C42" s="44" t="s">
        <v>100</v>
      </c>
      <c r="D42" s="34" t="s">
        <v>162</v>
      </c>
      <c r="E42" s="33">
        <v>65.25</v>
      </c>
      <c r="F42" s="89">
        <f>SUM(E42*20/1000)</f>
        <v>1.3049999999999999</v>
      </c>
      <c r="G42" s="89">
        <v>533.45000000000005</v>
      </c>
      <c r="H42" s="90">
        <f t="shared" si="6"/>
        <v>0.69615225000000003</v>
      </c>
      <c r="I42" s="13">
        <f>G42*F42/20*2</f>
        <v>69.615224999999995</v>
      </c>
      <c r="J42" s="24"/>
      <c r="L42" s="20"/>
      <c r="M42" s="21"/>
      <c r="N42" s="22"/>
    </row>
    <row r="43" spans="1:14" ht="15.75" customHeight="1">
      <c r="A43" s="35">
        <v>10</v>
      </c>
      <c r="B43" s="86" t="s">
        <v>69</v>
      </c>
      <c r="C43" s="87" t="s">
        <v>32</v>
      </c>
      <c r="D43" s="86"/>
      <c r="E43" s="88"/>
      <c r="F43" s="89">
        <v>0.5</v>
      </c>
      <c r="G43" s="89">
        <v>992.97</v>
      </c>
      <c r="H43" s="90">
        <f t="shared" si="6"/>
        <v>0.49648500000000001</v>
      </c>
      <c r="I43" s="13">
        <f>G43*F43/20*2</f>
        <v>49.648499999999999</v>
      </c>
      <c r="J43" s="24"/>
      <c r="L43" s="20"/>
      <c r="M43" s="21"/>
      <c r="N43" s="22"/>
    </row>
    <row r="44" spans="1:14" ht="15.75" customHeight="1">
      <c r="A44" s="140" t="s">
        <v>130</v>
      </c>
      <c r="B44" s="141"/>
      <c r="C44" s="141"/>
      <c r="D44" s="141"/>
      <c r="E44" s="141"/>
      <c r="F44" s="141"/>
      <c r="G44" s="141"/>
      <c r="H44" s="141"/>
      <c r="I44" s="142"/>
      <c r="J44" s="24"/>
      <c r="L44" s="20"/>
      <c r="M44" s="21"/>
      <c r="N44" s="22"/>
    </row>
    <row r="45" spans="1:14" ht="15.75" hidden="1" customHeight="1">
      <c r="A45" s="45">
        <v>15</v>
      </c>
      <c r="B45" s="86" t="s">
        <v>110</v>
      </c>
      <c r="C45" s="87" t="s">
        <v>100</v>
      </c>
      <c r="D45" s="86" t="s">
        <v>42</v>
      </c>
      <c r="E45" s="88">
        <v>1026.8</v>
      </c>
      <c r="F45" s="89">
        <f>SUM(E45*2/1000)</f>
        <v>2.0535999999999999</v>
      </c>
      <c r="G45" s="13">
        <v>1283.46</v>
      </c>
      <c r="H45" s="90">
        <f t="shared" ref="H45:H55" si="8">SUM(F45*G45/1000)</f>
        <v>2.635713456</v>
      </c>
      <c r="I45" s="13">
        <v>0</v>
      </c>
      <c r="J45" s="24"/>
      <c r="L45" s="20"/>
      <c r="M45" s="21"/>
      <c r="N45" s="22"/>
    </row>
    <row r="46" spans="1:14" ht="15.75" hidden="1" customHeight="1">
      <c r="A46" s="45"/>
      <c r="B46" s="86" t="s">
        <v>35</v>
      </c>
      <c r="C46" s="87" t="s">
        <v>100</v>
      </c>
      <c r="D46" s="86" t="s">
        <v>42</v>
      </c>
      <c r="E46" s="88">
        <v>19.8</v>
      </c>
      <c r="F46" s="89">
        <f>SUM(E46*2/1000)</f>
        <v>3.9600000000000003E-2</v>
      </c>
      <c r="G46" s="13">
        <v>4192.6400000000003</v>
      </c>
      <c r="H46" s="90">
        <f t="shared" si="8"/>
        <v>0.16602854400000003</v>
      </c>
      <c r="I46" s="13">
        <v>0</v>
      </c>
      <c r="J46" s="24"/>
      <c r="L46" s="20"/>
      <c r="M46" s="21"/>
      <c r="N46" s="22"/>
    </row>
    <row r="47" spans="1:14" ht="15.75" hidden="1" customHeight="1">
      <c r="A47" s="45">
        <v>16</v>
      </c>
      <c r="B47" s="86" t="s">
        <v>36</v>
      </c>
      <c r="C47" s="87" t="s">
        <v>100</v>
      </c>
      <c r="D47" s="86" t="s">
        <v>42</v>
      </c>
      <c r="E47" s="88">
        <v>660.84</v>
      </c>
      <c r="F47" s="89">
        <f>SUM(E47*2/1000)</f>
        <v>1.32168</v>
      </c>
      <c r="G47" s="13">
        <v>1711.28</v>
      </c>
      <c r="H47" s="90">
        <f t="shared" si="8"/>
        <v>2.2617645503999997</v>
      </c>
      <c r="I47" s="13">
        <v>0</v>
      </c>
      <c r="J47" s="24"/>
      <c r="L47" s="20"/>
      <c r="M47" s="21"/>
      <c r="N47" s="22"/>
    </row>
    <row r="48" spans="1:14" ht="15.75" hidden="1" customHeight="1">
      <c r="A48" s="45">
        <v>17</v>
      </c>
      <c r="B48" s="86" t="s">
        <v>37</v>
      </c>
      <c r="C48" s="87" t="s">
        <v>100</v>
      </c>
      <c r="D48" s="86" t="s">
        <v>42</v>
      </c>
      <c r="E48" s="88">
        <v>1156.21</v>
      </c>
      <c r="F48" s="89">
        <f>SUM(E48*2/1000)</f>
        <v>2.3124199999999999</v>
      </c>
      <c r="G48" s="13">
        <v>1179.73</v>
      </c>
      <c r="H48" s="90">
        <f t="shared" si="8"/>
        <v>2.7280312466000001</v>
      </c>
      <c r="I48" s="13">
        <v>0</v>
      </c>
      <c r="J48" s="24"/>
      <c r="L48" s="20"/>
      <c r="M48" s="21"/>
      <c r="N48" s="22"/>
    </row>
    <row r="49" spans="1:14" ht="15.75" hidden="1" customHeight="1">
      <c r="A49" s="45">
        <v>18</v>
      </c>
      <c r="B49" s="86" t="s">
        <v>33</v>
      </c>
      <c r="C49" s="87" t="s">
        <v>34</v>
      </c>
      <c r="D49" s="86" t="s">
        <v>42</v>
      </c>
      <c r="E49" s="88">
        <v>15</v>
      </c>
      <c r="F49" s="89">
        <f>SUM(E49*2/100)</f>
        <v>0.3</v>
      </c>
      <c r="G49" s="13">
        <v>90.61</v>
      </c>
      <c r="H49" s="90">
        <f t="shared" si="8"/>
        <v>2.7182999999999999E-2</v>
      </c>
      <c r="I49" s="13">
        <v>0</v>
      </c>
      <c r="J49" s="24"/>
      <c r="L49" s="20"/>
      <c r="M49" s="21"/>
      <c r="N49" s="22"/>
    </row>
    <row r="50" spans="1:14" ht="15.75" customHeight="1">
      <c r="A50" s="45">
        <v>11</v>
      </c>
      <c r="B50" s="86" t="s">
        <v>56</v>
      </c>
      <c r="C50" s="87" t="s">
        <v>100</v>
      </c>
      <c r="D50" s="86" t="s">
        <v>168</v>
      </c>
      <c r="E50" s="88">
        <v>1803.1</v>
      </c>
      <c r="F50" s="89">
        <f>SUM(E50*5/1000)</f>
        <v>9.0154999999999994</v>
      </c>
      <c r="G50" s="13">
        <v>1711.28</v>
      </c>
      <c r="H50" s="90">
        <f t="shared" si="8"/>
        <v>15.428044839999998</v>
      </c>
      <c r="I50" s="13">
        <f>F50/5*G50</f>
        <v>3085.608968</v>
      </c>
      <c r="J50" s="24"/>
      <c r="L50" s="20"/>
      <c r="M50" s="21"/>
      <c r="N50" s="22"/>
    </row>
    <row r="51" spans="1:14" ht="31.5" hidden="1" customHeight="1">
      <c r="A51" s="45">
        <v>13</v>
      </c>
      <c r="B51" s="86" t="s">
        <v>111</v>
      </c>
      <c r="C51" s="87" t="s">
        <v>100</v>
      </c>
      <c r="D51" s="86" t="s">
        <v>42</v>
      </c>
      <c r="E51" s="88">
        <v>1803.1</v>
      </c>
      <c r="F51" s="89">
        <f>SUM(E51*2/1000)</f>
        <v>3.6061999999999999</v>
      </c>
      <c r="G51" s="13">
        <v>1510.06</v>
      </c>
      <c r="H51" s="90">
        <f t="shared" si="8"/>
        <v>5.4455783719999999</v>
      </c>
      <c r="I51" s="13">
        <v>0</v>
      </c>
      <c r="J51" s="24"/>
      <c r="L51" s="20"/>
      <c r="M51" s="21"/>
      <c r="N51" s="22"/>
    </row>
    <row r="52" spans="1:14" ht="31.5" hidden="1" customHeight="1">
      <c r="A52" s="45">
        <v>14</v>
      </c>
      <c r="B52" s="86" t="s">
        <v>112</v>
      </c>
      <c r="C52" s="87" t="s">
        <v>38</v>
      </c>
      <c r="D52" s="86" t="s">
        <v>42</v>
      </c>
      <c r="E52" s="88">
        <v>9</v>
      </c>
      <c r="F52" s="89">
        <f>SUM(E52*2/100)</f>
        <v>0.18</v>
      </c>
      <c r="G52" s="13">
        <v>3850.4</v>
      </c>
      <c r="H52" s="90">
        <f t="shared" si="8"/>
        <v>0.69307200000000002</v>
      </c>
      <c r="I52" s="13">
        <v>0</v>
      </c>
      <c r="J52" s="24"/>
      <c r="L52" s="20"/>
      <c r="M52" s="21"/>
      <c r="N52" s="22"/>
    </row>
    <row r="53" spans="1:14" ht="15.75" hidden="1" customHeight="1">
      <c r="A53" s="45">
        <v>15</v>
      </c>
      <c r="B53" s="86" t="s">
        <v>39</v>
      </c>
      <c r="C53" s="87" t="s">
        <v>40</v>
      </c>
      <c r="D53" s="86" t="s">
        <v>42</v>
      </c>
      <c r="E53" s="88">
        <v>1</v>
      </c>
      <c r="F53" s="89">
        <v>0.02</v>
      </c>
      <c r="G53" s="13">
        <v>7033.13</v>
      </c>
      <c r="H53" s="90">
        <f t="shared" si="8"/>
        <v>0.1406626</v>
      </c>
      <c r="I53" s="13">
        <v>0</v>
      </c>
      <c r="J53" s="24"/>
      <c r="L53" s="20"/>
      <c r="M53" s="21"/>
      <c r="N53" s="22"/>
    </row>
    <row r="54" spans="1:14" ht="15.75" hidden="1" customHeight="1">
      <c r="A54" s="45">
        <v>13</v>
      </c>
      <c r="B54" s="86" t="s">
        <v>136</v>
      </c>
      <c r="C54" s="87" t="s">
        <v>29</v>
      </c>
      <c r="D54" s="86" t="s">
        <v>70</v>
      </c>
      <c r="E54" s="88">
        <v>36</v>
      </c>
      <c r="F54" s="89">
        <f>E54*3</f>
        <v>108</v>
      </c>
      <c r="G54" s="13">
        <v>175.6</v>
      </c>
      <c r="H54" s="90">
        <f t="shared" si="8"/>
        <v>18.9648</v>
      </c>
      <c r="I54" s="13">
        <f>E54*G54</f>
        <v>6321.5999999999995</v>
      </c>
      <c r="J54" s="24"/>
      <c r="L54" s="20"/>
      <c r="M54" s="21"/>
      <c r="N54" s="22"/>
    </row>
    <row r="55" spans="1:14" ht="15.75" hidden="1" customHeight="1">
      <c r="A55" s="45">
        <v>14</v>
      </c>
      <c r="B55" s="86" t="s">
        <v>41</v>
      </c>
      <c r="C55" s="87" t="s">
        <v>29</v>
      </c>
      <c r="D55" s="86" t="s">
        <v>70</v>
      </c>
      <c r="E55" s="88">
        <v>36</v>
      </c>
      <c r="F55" s="89">
        <f>SUM(E55)*3</f>
        <v>108</v>
      </c>
      <c r="G55" s="13">
        <v>81.73</v>
      </c>
      <c r="H55" s="90">
        <f t="shared" si="8"/>
        <v>8.8268400000000007</v>
      </c>
      <c r="I55" s="13">
        <f>E55*G55</f>
        <v>2942.28</v>
      </c>
      <c r="J55" s="24"/>
      <c r="L55" s="20"/>
      <c r="M55" s="21"/>
      <c r="N55" s="22"/>
    </row>
    <row r="56" spans="1:14" ht="15.75" customHeight="1">
      <c r="A56" s="140" t="s">
        <v>131</v>
      </c>
      <c r="B56" s="141"/>
      <c r="C56" s="141"/>
      <c r="D56" s="141"/>
      <c r="E56" s="141"/>
      <c r="F56" s="141"/>
      <c r="G56" s="141"/>
      <c r="H56" s="141"/>
      <c r="I56" s="142"/>
      <c r="J56" s="24"/>
      <c r="L56" s="20"/>
      <c r="M56" s="21"/>
      <c r="N56" s="22"/>
    </row>
    <row r="57" spans="1:14" ht="15.75" hidden="1" customHeight="1">
      <c r="A57" s="57"/>
      <c r="B57" s="52" t="s">
        <v>43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5">
        <v>10</v>
      </c>
      <c r="B58" s="86" t="s">
        <v>114</v>
      </c>
      <c r="C58" s="87" t="s">
        <v>90</v>
      </c>
      <c r="D58" s="86"/>
      <c r="E58" s="88">
        <v>12</v>
      </c>
      <c r="F58" s="89">
        <f>E58*6/100</f>
        <v>0.72</v>
      </c>
      <c r="G58" s="95">
        <v>2306.62</v>
      </c>
      <c r="H58" s="90">
        <f>F58*G58/1000</f>
        <v>1.6607663999999998</v>
      </c>
      <c r="I58" s="13">
        <f>G58*0.09</f>
        <v>207.59579999999997</v>
      </c>
      <c r="J58" s="24"/>
      <c r="L58" s="20"/>
      <c r="M58" s="21"/>
      <c r="N58" s="22"/>
    </row>
    <row r="59" spans="1:14" ht="15.75" hidden="1" customHeight="1">
      <c r="A59" s="45"/>
      <c r="B59" s="96" t="s">
        <v>83</v>
      </c>
      <c r="C59" s="97" t="s">
        <v>115</v>
      </c>
      <c r="D59" s="96" t="s">
        <v>66</v>
      </c>
      <c r="E59" s="98"/>
      <c r="F59" s="99">
        <v>2</v>
      </c>
      <c r="G59" s="100">
        <v>1501</v>
      </c>
      <c r="H59" s="90">
        <f>F59*G59/1000</f>
        <v>3.0019999999999998</v>
      </c>
      <c r="I59" s="13">
        <v>0</v>
      </c>
      <c r="J59" s="24"/>
      <c r="L59" s="20"/>
      <c r="M59" s="21"/>
      <c r="N59" s="22"/>
    </row>
    <row r="60" spans="1:14" ht="15.75" hidden="1" customHeight="1">
      <c r="A60" s="45"/>
      <c r="B60" s="77" t="s">
        <v>44</v>
      </c>
      <c r="C60" s="77"/>
      <c r="D60" s="77"/>
      <c r="E60" s="77"/>
      <c r="F60" s="77"/>
      <c r="G60" s="68"/>
      <c r="H60" s="68"/>
      <c r="I60" s="39"/>
      <c r="J60" s="24"/>
      <c r="L60" s="20"/>
      <c r="M60" s="21"/>
      <c r="N60" s="22"/>
    </row>
    <row r="61" spans="1:14" ht="15.75" hidden="1" customHeight="1">
      <c r="A61" s="45">
        <v>27</v>
      </c>
      <c r="B61" s="96" t="s">
        <v>45</v>
      </c>
      <c r="C61" s="97" t="s">
        <v>53</v>
      </c>
      <c r="D61" s="96" t="s">
        <v>54</v>
      </c>
      <c r="E61" s="98">
        <v>177</v>
      </c>
      <c r="F61" s="99">
        <f>E61/100</f>
        <v>1.77</v>
      </c>
      <c r="G61" s="100">
        <v>987.51</v>
      </c>
      <c r="H61" s="101">
        <f>G61*F61/1000</f>
        <v>1.7478927000000002</v>
      </c>
      <c r="I61" s="13">
        <v>0</v>
      </c>
      <c r="J61" s="24"/>
      <c r="L61" s="20"/>
      <c r="M61" s="21"/>
      <c r="N61" s="22"/>
    </row>
    <row r="62" spans="1:14" ht="15.75" customHeight="1">
      <c r="A62" s="45"/>
      <c r="B62" s="77" t="s">
        <v>46</v>
      </c>
      <c r="C62" s="17"/>
      <c r="D62" s="41"/>
      <c r="E62" s="41"/>
      <c r="F62" s="16"/>
      <c r="G62" s="69"/>
      <c r="H62" s="68"/>
      <c r="I62" s="19"/>
      <c r="J62" s="24"/>
      <c r="L62" s="20"/>
      <c r="M62" s="21"/>
      <c r="N62" s="22"/>
    </row>
    <row r="63" spans="1:14" ht="15.75" hidden="1" customHeight="1">
      <c r="A63" s="45">
        <v>17</v>
      </c>
      <c r="B63" s="15" t="s">
        <v>47</v>
      </c>
      <c r="C63" s="17" t="s">
        <v>113</v>
      </c>
      <c r="D63" s="15" t="s">
        <v>66</v>
      </c>
      <c r="E63" s="19">
        <v>1</v>
      </c>
      <c r="F63" s="89">
        <f>E63</f>
        <v>1</v>
      </c>
      <c r="G63" s="13">
        <v>276.74</v>
      </c>
      <c r="H63" s="102">
        <f t="shared" ref="H63:H71" si="9">SUM(F63*G63/1000)</f>
        <v>0.27673999999999999</v>
      </c>
      <c r="I63" s="13">
        <v>0</v>
      </c>
      <c r="J63" s="24"/>
      <c r="L63" s="20"/>
      <c r="M63" s="21"/>
      <c r="N63" s="22"/>
    </row>
    <row r="64" spans="1:14" ht="15.75" hidden="1" customHeight="1">
      <c r="A64" s="30">
        <v>29</v>
      </c>
      <c r="B64" s="15" t="s">
        <v>48</v>
      </c>
      <c r="C64" s="17" t="s">
        <v>113</v>
      </c>
      <c r="D64" s="15" t="s">
        <v>66</v>
      </c>
      <c r="E64" s="19">
        <v>3</v>
      </c>
      <c r="F64" s="89">
        <v>3</v>
      </c>
      <c r="G64" s="13">
        <v>94.89</v>
      </c>
      <c r="H64" s="102">
        <f t="shared" si="9"/>
        <v>0.28467000000000003</v>
      </c>
      <c r="I64" s="13">
        <v>0</v>
      </c>
      <c r="J64" s="24"/>
      <c r="L64" s="20"/>
    </row>
    <row r="65" spans="1:22" ht="15.75" hidden="1" customHeight="1">
      <c r="A65" s="30">
        <v>8</v>
      </c>
      <c r="B65" s="15" t="s">
        <v>49</v>
      </c>
      <c r="C65" s="17" t="s">
        <v>116</v>
      </c>
      <c r="D65" s="15" t="s">
        <v>54</v>
      </c>
      <c r="E65" s="88">
        <v>7265</v>
      </c>
      <c r="F65" s="13">
        <f>SUM(E65/100)</f>
        <v>72.650000000000006</v>
      </c>
      <c r="G65" s="13">
        <v>263.99</v>
      </c>
      <c r="H65" s="102">
        <f t="shared" si="9"/>
        <v>19.178873500000002</v>
      </c>
      <c r="I65" s="13">
        <v>0</v>
      </c>
    </row>
    <row r="66" spans="1:22" ht="15.75" hidden="1" customHeight="1">
      <c r="A66" s="30">
        <v>9</v>
      </c>
      <c r="B66" s="15" t="s">
        <v>50</v>
      </c>
      <c r="C66" s="17" t="s">
        <v>117</v>
      </c>
      <c r="D66" s="15" t="s">
        <v>54</v>
      </c>
      <c r="E66" s="88">
        <v>7265</v>
      </c>
      <c r="F66" s="13">
        <f>SUM(E66/1000)</f>
        <v>7.2649999999999997</v>
      </c>
      <c r="G66" s="13">
        <v>205.57</v>
      </c>
      <c r="H66" s="102">
        <f t="shared" si="9"/>
        <v>1.4934660500000001</v>
      </c>
      <c r="I66" s="13">
        <v>0</v>
      </c>
    </row>
    <row r="67" spans="1:22" ht="15.75" hidden="1" customHeight="1">
      <c r="A67" s="30">
        <v>10</v>
      </c>
      <c r="B67" s="15" t="s">
        <v>51</v>
      </c>
      <c r="C67" s="17" t="s">
        <v>76</v>
      </c>
      <c r="D67" s="15" t="s">
        <v>54</v>
      </c>
      <c r="E67" s="88">
        <v>1090</v>
      </c>
      <c r="F67" s="13">
        <f>SUM(E67/100)</f>
        <v>10.9</v>
      </c>
      <c r="G67" s="13">
        <v>2581.5300000000002</v>
      </c>
      <c r="H67" s="102">
        <f t="shared" si="9"/>
        <v>28.138677000000005</v>
      </c>
      <c r="I67" s="13">
        <v>0</v>
      </c>
    </row>
    <row r="68" spans="1:22" ht="15.75" hidden="1" customHeight="1">
      <c r="A68" s="30">
        <v>11</v>
      </c>
      <c r="B68" s="103" t="s">
        <v>118</v>
      </c>
      <c r="C68" s="17" t="s">
        <v>32</v>
      </c>
      <c r="D68" s="15"/>
      <c r="E68" s="88">
        <v>7.4</v>
      </c>
      <c r="F68" s="13">
        <f>SUM(E68)</f>
        <v>7.4</v>
      </c>
      <c r="G68" s="13">
        <v>47.45</v>
      </c>
      <c r="H68" s="102">
        <f t="shared" si="9"/>
        <v>0.35113000000000005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30">
        <v>12</v>
      </c>
      <c r="B69" s="103" t="s">
        <v>138</v>
      </c>
      <c r="C69" s="17" t="s">
        <v>32</v>
      </c>
      <c r="D69" s="15"/>
      <c r="E69" s="88">
        <v>7.4</v>
      </c>
      <c r="F69" s="13">
        <f>SUM(E69)</f>
        <v>7.4</v>
      </c>
      <c r="G69" s="13">
        <v>44.27</v>
      </c>
      <c r="H69" s="102">
        <f t="shared" si="9"/>
        <v>0.327598</v>
      </c>
      <c r="I69" s="13">
        <v>0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30">
        <v>13</v>
      </c>
      <c r="B70" s="15" t="s">
        <v>57</v>
      </c>
      <c r="C70" s="17" t="s">
        <v>58</v>
      </c>
      <c r="D70" s="15" t="s">
        <v>54</v>
      </c>
      <c r="E70" s="19">
        <v>3</v>
      </c>
      <c r="F70" s="89">
        <f>SUM(E70)</f>
        <v>3</v>
      </c>
      <c r="G70" s="13">
        <v>62.07</v>
      </c>
      <c r="H70" s="102">
        <f t="shared" si="9"/>
        <v>0.18621000000000001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customHeight="1">
      <c r="A71" s="30">
        <v>12</v>
      </c>
      <c r="B71" s="15" t="s">
        <v>84</v>
      </c>
      <c r="C71" s="30" t="s">
        <v>119</v>
      </c>
      <c r="D71" s="15"/>
      <c r="E71" s="19">
        <v>1803.1</v>
      </c>
      <c r="F71" s="89">
        <f>SUM(E71*12)</f>
        <v>21637.199999999997</v>
      </c>
      <c r="G71" s="13">
        <v>2.16</v>
      </c>
      <c r="H71" s="102">
        <f t="shared" si="9"/>
        <v>46.736351999999997</v>
      </c>
      <c r="I71" s="13">
        <f>F71/12*G71</f>
        <v>3894.6959999999995</v>
      </c>
      <c r="J71" s="5"/>
      <c r="K71" s="5"/>
      <c r="L71" s="5"/>
      <c r="M71" s="5"/>
      <c r="N71" s="5"/>
      <c r="O71" s="5"/>
      <c r="P71" s="5"/>
      <c r="Q71" s="5"/>
      <c r="R71" s="132"/>
      <c r="S71" s="132"/>
      <c r="T71" s="132"/>
      <c r="U71" s="132"/>
    </row>
    <row r="72" spans="1:22" ht="15.75" hidden="1" customHeight="1">
      <c r="A72" s="30"/>
      <c r="B72" s="53" t="s">
        <v>72</v>
      </c>
      <c r="C72" s="53"/>
      <c r="D72" s="53"/>
      <c r="E72" s="53"/>
      <c r="F72" s="19"/>
      <c r="G72" s="30"/>
      <c r="H72" s="30"/>
      <c r="I72" s="19"/>
    </row>
    <row r="73" spans="1:22" ht="15.75" hidden="1" customHeight="1">
      <c r="A73" s="30"/>
      <c r="B73" s="15" t="s">
        <v>121</v>
      </c>
      <c r="C73" s="17" t="s">
        <v>122</v>
      </c>
      <c r="D73" s="15" t="s">
        <v>66</v>
      </c>
      <c r="E73" s="19">
        <v>1</v>
      </c>
      <c r="F73" s="13">
        <f>E73</f>
        <v>1</v>
      </c>
      <c r="G73" s="13">
        <v>976.4</v>
      </c>
      <c r="H73" s="102">
        <f t="shared" ref="H73:H77" si="10">SUM(F73*G73/1000)</f>
        <v>0.97639999999999993</v>
      </c>
      <c r="I73" s="13">
        <v>0</v>
      </c>
    </row>
    <row r="74" spans="1:22" ht="15.75" hidden="1" customHeight="1">
      <c r="A74" s="30"/>
      <c r="B74" s="15" t="s">
        <v>123</v>
      </c>
      <c r="C74" s="17" t="s">
        <v>124</v>
      </c>
      <c r="D74" s="15"/>
      <c r="E74" s="19">
        <v>1</v>
      </c>
      <c r="F74" s="13">
        <v>1</v>
      </c>
      <c r="G74" s="13">
        <v>650</v>
      </c>
      <c r="H74" s="102">
        <f t="shared" si="10"/>
        <v>0.65</v>
      </c>
      <c r="I74" s="13">
        <v>0</v>
      </c>
    </row>
    <row r="75" spans="1:22" ht="15.75" hidden="1" customHeight="1">
      <c r="A75" s="30"/>
      <c r="B75" s="15" t="s">
        <v>73</v>
      </c>
      <c r="C75" s="17" t="s">
        <v>30</v>
      </c>
      <c r="D75" s="15" t="s">
        <v>66</v>
      </c>
      <c r="E75" s="19">
        <v>3</v>
      </c>
      <c r="F75" s="13">
        <f>E75/10</f>
        <v>0.3</v>
      </c>
      <c r="G75" s="13">
        <v>624.16999999999996</v>
      </c>
      <c r="H75" s="102">
        <f t="shared" si="10"/>
        <v>0.18725099999999997</v>
      </c>
      <c r="I75" s="13">
        <v>0</v>
      </c>
    </row>
    <row r="76" spans="1:22" ht="15.75" hidden="1" customHeight="1">
      <c r="A76" s="30"/>
      <c r="B76" s="15" t="s">
        <v>74</v>
      </c>
      <c r="C76" s="17" t="s">
        <v>29</v>
      </c>
      <c r="D76" s="15" t="s">
        <v>66</v>
      </c>
      <c r="E76" s="19">
        <v>1</v>
      </c>
      <c r="F76" s="13">
        <v>1</v>
      </c>
      <c r="G76" s="13">
        <v>1061.4100000000001</v>
      </c>
      <c r="H76" s="102">
        <f t="shared" si="10"/>
        <v>1.0614100000000002</v>
      </c>
      <c r="I76" s="13">
        <v>0</v>
      </c>
    </row>
    <row r="77" spans="1:22" ht="15.75" hidden="1" customHeight="1">
      <c r="A77" s="30">
        <v>17</v>
      </c>
      <c r="B77" s="15" t="s">
        <v>85</v>
      </c>
      <c r="C77" s="17" t="s">
        <v>29</v>
      </c>
      <c r="D77" s="15" t="s">
        <v>66</v>
      </c>
      <c r="E77" s="19">
        <v>1</v>
      </c>
      <c r="F77" s="89">
        <f>SUM(E77)</f>
        <v>1</v>
      </c>
      <c r="G77" s="13">
        <v>446.12</v>
      </c>
      <c r="H77" s="102">
        <f t="shared" si="10"/>
        <v>0.44612000000000002</v>
      </c>
      <c r="I77" s="13">
        <v>0</v>
      </c>
    </row>
    <row r="78" spans="1:22" ht="15.75" hidden="1" customHeight="1">
      <c r="A78" s="30"/>
      <c r="B78" s="54" t="s">
        <v>75</v>
      </c>
      <c r="C78" s="42"/>
      <c r="D78" s="30"/>
      <c r="E78" s="30"/>
      <c r="F78" s="19"/>
      <c r="G78" s="40" t="s">
        <v>128</v>
      </c>
      <c r="H78" s="40"/>
      <c r="I78" s="19"/>
    </row>
    <row r="79" spans="1:22" ht="15.75" hidden="1" customHeight="1">
      <c r="A79" s="30">
        <v>39</v>
      </c>
      <c r="B79" s="56" t="s">
        <v>125</v>
      </c>
      <c r="C79" s="17" t="s">
        <v>76</v>
      </c>
      <c r="D79" s="15"/>
      <c r="E79" s="19"/>
      <c r="F79" s="13">
        <v>1.35</v>
      </c>
      <c r="G79" s="13">
        <v>3433.68</v>
      </c>
      <c r="H79" s="102">
        <f t="shared" ref="H79" si="11">SUM(F79*G79/1000)</f>
        <v>4.6354679999999995</v>
      </c>
      <c r="I79" s="13">
        <v>0</v>
      </c>
    </row>
    <row r="80" spans="1:22" ht="15.75" hidden="1" customHeight="1">
      <c r="A80" s="57"/>
      <c r="B80" s="77" t="s">
        <v>120</v>
      </c>
      <c r="C80" s="77"/>
      <c r="D80" s="77"/>
      <c r="E80" s="77"/>
      <c r="F80" s="77"/>
      <c r="G80" s="77"/>
      <c r="H80" s="77"/>
      <c r="I80" s="19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9" ht="15.75" hidden="1" customHeight="1">
      <c r="A81" s="30">
        <v>36</v>
      </c>
      <c r="B81" s="86" t="s">
        <v>87</v>
      </c>
      <c r="C81" s="17"/>
      <c r="D81" s="15"/>
      <c r="E81" s="104"/>
      <c r="F81" s="13">
        <v>1</v>
      </c>
      <c r="G81" s="13">
        <v>14156.3</v>
      </c>
      <c r="H81" s="102">
        <f>G81*F81/1000</f>
        <v>14.1563</v>
      </c>
      <c r="I81" s="13">
        <v>0</v>
      </c>
    </row>
    <row r="82" spans="1:9" ht="15.75" customHeight="1">
      <c r="A82" s="125" t="s">
        <v>132</v>
      </c>
      <c r="B82" s="126"/>
      <c r="C82" s="126"/>
      <c r="D82" s="126"/>
      <c r="E82" s="126"/>
      <c r="F82" s="126"/>
      <c r="G82" s="126"/>
      <c r="H82" s="126"/>
      <c r="I82" s="127"/>
    </row>
    <row r="83" spans="1:9" ht="15.75" customHeight="1">
      <c r="A83" s="30">
        <v>13</v>
      </c>
      <c r="B83" s="86" t="s">
        <v>126</v>
      </c>
      <c r="C83" s="17" t="s">
        <v>55</v>
      </c>
      <c r="D83" s="105"/>
      <c r="E83" s="13">
        <v>1803.1</v>
      </c>
      <c r="F83" s="13">
        <f>SUM(E83*12)</f>
        <v>21637.199999999997</v>
      </c>
      <c r="G83" s="13">
        <v>2.95</v>
      </c>
      <c r="H83" s="102">
        <f>SUM(F83*G83/1000)</f>
        <v>63.829740000000001</v>
      </c>
      <c r="I83" s="13">
        <f>F83/12*G83</f>
        <v>5319.1449999999995</v>
      </c>
    </row>
    <row r="84" spans="1:9" ht="31.5" customHeight="1">
      <c r="A84" s="30">
        <v>14</v>
      </c>
      <c r="B84" s="15" t="s">
        <v>77</v>
      </c>
      <c r="C84" s="17"/>
      <c r="D84" s="105"/>
      <c r="E84" s="88">
        <v>1803.1</v>
      </c>
      <c r="F84" s="13">
        <f>E84*12</f>
        <v>21637.199999999997</v>
      </c>
      <c r="G84" s="13">
        <v>3.05</v>
      </c>
      <c r="H84" s="102">
        <f>F84*G84/1000</f>
        <v>65.993459999999999</v>
      </c>
      <c r="I84" s="13">
        <f>F84/12*G84</f>
        <v>5499.454999999999</v>
      </c>
    </row>
    <row r="85" spans="1:9" ht="15.75" customHeight="1">
      <c r="A85" s="57"/>
      <c r="B85" s="43" t="s">
        <v>79</v>
      </c>
      <c r="C85" s="45"/>
      <c r="D85" s="16"/>
      <c r="E85" s="16"/>
      <c r="F85" s="16"/>
      <c r="G85" s="19"/>
      <c r="H85" s="19"/>
      <c r="I85" s="32">
        <f>I84+I83+I71+I50+I43+I42+I41+I40+I39+I38+I27+I18+I17+I16</f>
        <v>31109.573522666662</v>
      </c>
    </row>
    <row r="86" spans="1:9" ht="15.75" customHeight="1">
      <c r="A86" s="128" t="s">
        <v>60</v>
      </c>
      <c r="B86" s="129"/>
      <c r="C86" s="129"/>
      <c r="D86" s="129"/>
      <c r="E86" s="129"/>
      <c r="F86" s="129"/>
      <c r="G86" s="129"/>
      <c r="H86" s="129"/>
      <c r="I86" s="130"/>
    </row>
    <row r="87" spans="1:9" ht="15.75" customHeight="1">
      <c r="A87" s="46">
        <v>15</v>
      </c>
      <c r="B87" s="15" t="s">
        <v>153</v>
      </c>
      <c r="C87" s="17" t="s">
        <v>154</v>
      </c>
      <c r="D87" s="15"/>
      <c r="E87" s="19"/>
      <c r="F87" s="13">
        <v>24</v>
      </c>
      <c r="G87" s="13">
        <v>1.4</v>
      </c>
      <c r="H87" s="13">
        <f>F87*G87/1000</f>
        <v>3.3599999999999991E-2</v>
      </c>
      <c r="I87" s="13">
        <f>G87*12</f>
        <v>16.799999999999997</v>
      </c>
    </row>
    <row r="88" spans="1:9" ht="31.5" customHeight="1">
      <c r="A88" s="30">
        <v>16</v>
      </c>
      <c r="B88" s="107" t="s">
        <v>157</v>
      </c>
      <c r="C88" s="108" t="s">
        <v>28</v>
      </c>
      <c r="D88" s="41"/>
      <c r="E88" s="18"/>
      <c r="F88" s="116">
        <f>0.599*12/1000</f>
        <v>7.1879999999999999E-3</v>
      </c>
      <c r="G88" s="113">
        <v>21369.24</v>
      </c>
      <c r="H88" s="13"/>
      <c r="I88" s="13">
        <f>G88*0.599*6/1000</f>
        <v>76.801048559999998</v>
      </c>
    </row>
    <row r="89" spans="1:9" ht="16.5" customHeight="1">
      <c r="A89" s="46">
        <v>17</v>
      </c>
      <c r="B89" s="120" t="s">
        <v>190</v>
      </c>
      <c r="C89" s="121" t="s">
        <v>113</v>
      </c>
      <c r="D89" s="41" t="s">
        <v>192</v>
      </c>
      <c r="E89" s="18"/>
      <c r="F89" s="40">
        <v>1</v>
      </c>
      <c r="G89" s="40">
        <v>368.33</v>
      </c>
      <c r="H89" s="13"/>
      <c r="I89" s="13">
        <f>G89*1</f>
        <v>368.33</v>
      </c>
    </row>
    <row r="90" spans="1:9" ht="17.25" customHeight="1">
      <c r="A90" s="30">
        <v>18</v>
      </c>
      <c r="B90" s="114" t="s">
        <v>191</v>
      </c>
      <c r="C90" s="115" t="s">
        <v>53</v>
      </c>
      <c r="D90" s="41"/>
      <c r="E90" s="18"/>
      <c r="F90" s="40">
        <v>0.05</v>
      </c>
      <c r="G90" s="40">
        <v>2399.1</v>
      </c>
      <c r="H90" s="13"/>
      <c r="I90" s="13">
        <f>G90*0.05</f>
        <v>119.955</v>
      </c>
    </row>
    <row r="91" spans="1:9" ht="15.75" customHeight="1">
      <c r="A91" s="30"/>
      <c r="B91" s="50" t="s">
        <v>52</v>
      </c>
      <c r="C91" s="46"/>
      <c r="D91" s="58"/>
      <c r="E91" s="58"/>
      <c r="F91" s="46">
        <v>1</v>
      </c>
      <c r="G91" s="46"/>
      <c r="H91" s="46"/>
      <c r="I91" s="32">
        <f>SUM(I87:I90)</f>
        <v>581.88604855999995</v>
      </c>
    </row>
    <row r="92" spans="1:9" ht="15.75" customHeight="1">
      <c r="A92" s="30"/>
      <c r="B92" s="56" t="s">
        <v>78</v>
      </c>
      <c r="C92" s="16"/>
      <c r="D92" s="16"/>
      <c r="E92" s="16"/>
      <c r="F92" s="47"/>
      <c r="G92" s="48"/>
      <c r="H92" s="48"/>
      <c r="I92" s="18">
        <v>0</v>
      </c>
    </row>
    <row r="93" spans="1:9" ht="15.75" customHeight="1">
      <c r="A93" s="59"/>
      <c r="B93" s="51" t="s">
        <v>133</v>
      </c>
      <c r="C93" s="38"/>
      <c r="D93" s="38"/>
      <c r="E93" s="38"/>
      <c r="F93" s="38"/>
      <c r="G93" s="38"/>
      <c r="H93" s="38"/>
      <c r="I93" s="49">
        <f>I85+I91</f>
        <v>31691.459571226664</v>
      </c>
    </row>
    <row r="94" spans="1:9" ht="15.75" customHeight="1">
      <c r="A94" s="131" t="s">
        <v>193</v>
      </c>
      <c r="B94" s="131"/>
      <c r="C94" s="131"/>
      <c r="D94" s="131"/>
      <c r="E94" s="131"/>
      <c r="F94" s="131"/>
      <c r="G94" s="131"/>
      <c r="H94" s="131"/>
      <c r="I94" s="131"/>
    </row>
    <row r="95" spans="1:9" ht="15.75" customHeight="1">
      <c r="A95" s="72"/>
      <c r="B95" s="147" t="s">
        <v>194</v>
      </c>
      <c r="C95" s="147"/>
      <c r="D95" s="147"/>
      <c r="E95" s="147"/>
      <c r="F95" s="147"/>
      <c r="G95" s="147"/>
      <c r="H95" s="84"/>
      <c r="I95" s="3"/>
    </row>
    <row r="96" spans="1:9" ht="15.75" customHeight="1">
      <c r="A96" s="75"/>
      <c r="B96" s="143" t="s">
        <v>6</v>
      </c>
      <c r="C96" s="143"/>
      <c r="D96" s="143"/>
      <c r="E96" s="143"/>
      <c r="F96" s="143"/>
      <c r="G96" s="143"/>
      <c r="H96" s="25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51" t="s">
        <v>7</v>
      </c>
      <c r="B98" s="151"/>
      <c r="C98" s="151"/>
      <c r="D98" s="151"/>
      <c r="E98" s="151"/>
      <c r="F98" s="151"/>
      <c r="G98" s="151"/>
      <c r="H98" s="151"/>
      <c r="I98" s="151"/>
    </row>
    <row r="99" spans="1:9" ht="15.75" customHeight="1">
      <c r="A99" s="151" t="s">
        <v>8</v>
      </c>
      <c r="B99" s="151"/>
      <c r="C99" s="151"/>
      <c r="D99" s="151"/>
      <c r="E99" s="151"/>
      <c r="F99" s="151"/>
      <c r="G99" s="151"/>
      <c r="H99" s="151"/>
      <c r="I99" s="151"/>
    </row>
    <row r="100" spans="1:9" ht="15.75" customHeight="1">
      <c r="A100" s="148" t="s">
        <v>61</v>
      </c>
      <c r="B100" s="148"/>
      <c r="C100" s="148"/>
      <c r="D100" s="148"/>
      <c r="E100" s="148"/>
      <c r="F100" s="148"/>
      <c r="G100" s="148"/>
      <c r="H100" s="148"/>
      <c r="I100" s="148"/>
    </row>
    <row r="101" spans="1:9" ht="15.75" customHeight="1">
      <c r="A101" s="11"/>
    </row>
    <row r="102" spans="1:9" ht="15.75" customHeight="1">
      <c r="A102" s="149" t="s">
        <v>9</v>
      </c>
      <c r="B102" s="149"/>
      <c r="C102" s="149"/>
      <c r="D102" s="149"/>
      <c r="E102" s="149"/>
      <c r="F102" s="149"/>
      <c r="G102" s="149"/>
      <c r="H102" s="149"/>
      <c r="I102" s="149"/>
    </row>
    <row r="103" spans="1:9" ht="15.75" customHeight="1">
      <c r="A103" s="4"/>
    </row>
    <row r="104" spans="1:9" ht="15.75" customHeight="1">
      <c r="B104" s="71" t="s">
        <v>10</v>
      </c>
      <c r="C104" s="150" t="s">
        <v>182</v>
      </c>
      <c r="D104" s="150"/>
      <c r="E104" s="150"/>
      <c r="F104" s="150"/>
      <c r="I104" s="74"/>
    </row>
    <row r="105" spans="1:9" ht="15.75" customHeight="1">
      <c r="A105" s="75"/>
      <c r="C105" s="143" t="s">
        <v>11</v>
      </c>
      <c r="D105" s="143"/>
      <c r="E105" s="143"/>
      <c r="F105" s="143"/>
      <c r="I105" s="73" t="s">
        <v>12</v>
      </c>
    </row>
    <row r="106" spans="1:9" ht="15.75" customHeight="1">
      <c r="A106" s="26"/>
      <c r="C106" s="12"/>
      <c r="D106" s="12"/>
      <c r="E106" s="12"/>
      <c r="G106" s="12"/>
      <c r="H106" s="12"/>
    </row>
    <row r="107" spans="1:9" ht="15.75" customHeight="1">
      <c r="B107" s="71" t="s">
        <v>13</v>
      </c>
      <c r="C107" s="145"/>
      <c r="D107" s="145"/>
      <c r="E107" s="145"/>
      <c r="F107" s="145"/>
      <c r="I107" s="74"/>
    </row>
    <row r="108" spans="1:9" ht="15.75" customHeight="1">
      <c r="A108" s="75"/>
      <c r="C108" s="132" t="s">
        <v>11</v>
      </c>
      <c r="D108" s="132"/>
      <c r="E108" s="132"/>
      <c r="F108" s="132"/>
      <c r="I108" s="73" t="s">
        <v>12</v>
      </c>
    </row>
    <row r="109" spans="1:9" ht="15.75" customHeight="1">
      <c r="A109" s="4" t="s">
        <v>14</v>
      </c>
    </row>
    <row r="110" spans="1:9">
      <c r="A110" s="146" t="s">
        <v>15</v>
      </c>
      <c r="B110" s="146"/>
      <c r="C110" s="146"/>
      <c r="D110" s="146"/>
      <c r="E110" s="146"/>
      <c r="F110" s="146"/>
      <c r="G110" s="146"/>
      <c r="H110" s="146"/>
      <c r="I110" s="146"/>
    </row>
    <row r="111" spans="1:9" ht="45" customHeight="1">
      <c r="A111" s="144" t="s">
        <v>16</v>
      </c>
      <c r="B111" s="144"/>
      <c r="C111" s="144"/>
      <c r="D111" s="144"/>
      <c r="E111" s="144"/>
      <c r="F111" s="144"/>
      <c r="G111" s="144"/>
      <c r="H111" s="144"/>
      <c r="I111" s="144"/>
    </row>
    <row r="112" spans="1:9" ht="30" customHeight="1">
      <c r="A112" s="144" t="s">
        <v>17</v>
      </c>
      <c r="B112" s="144"/>
      <c r="C112" s="144"/>
      <c r="D112" s="144"/>
      <c r="E112" s="144"/>
      <c r="F112" s="144"/>
      <c r="G112" s="144"/>
      <c r="H112" s="144"/>
      <c r="I112" s="144"/>
    </row>
    <row r="113" spans="1:9" ht="30" customHeight="1">
      <c r="A113" s="144" t="s">
        <v>21</v>
      </c>
      <c r="B113" s="144"/>
      <c r="C113" s="144"/>
      <c r="D113" s="144"/>
      <c r="E113" s="144"/>
      <c r="F113" s="144"/>
      <c r="G113" s="144"/>
      <c r="H113" s="144"/>
      <c r="I113" s="144"/>
    </row>
    <row r="114" spans="1:9" ht="15" customHeight="1">
      <c r="A114" s="144" t="s">
        <v>20</v>
      </c>
      <c r="B114" s="144"/>
      <c r="C114" s="144"/>
      <c r="D114" s="144"/>
      <c r="E114" s="144"/>
      <c r="F114" s="144"/>
      <c r="G114" s="144"/>
      <c r="H114" s="144"/>
      <c r="I114" s="144"/>
    </row>
  </sheetData>
  <autoFilter ref="I12:I66"/>
  <mergeCells count="29">
    <mergeCell ref="A110:I110"/>
    <mergeCell ref="A111:I111"/>
    <mergeCell ref="A112:I112"/>
    <mergeCell ref="A113:I113"/>
    <mergeCell ref="A114:I114"/>
    <mergeCell ref="R71:U71"/>
    <mergeCell ref="C108:F108"/>
    <mergeCell ref="A86:I86"/>
    <mergeCell ref="A94:I94"/>
    <mergeCell ref="B95:G95"/>
    <mergeCell ref="B96:G96"/>
    <mergeCell ref="A98:I98"/>
    <mergeCell ref="A99:I99"/>
    <mergeCell ref="A100:I100"/>
    <mergeCell ref="A102:I102"/>
    <mergeCell ref="C104:F104"/>
    <mergeCell ref="C105:F105"/>
    <mergeCell ref="C107:F107"/>
    <mergeCell ref="A82:I82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5"/>
  <sheetViews>
    <sheetView topLeftCell="A56" workbookViewId="0">
      <selection activeCell="G88" sqref="G8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9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155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3" t="s">
        <v>141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</row>
    <row r="4" spans="1:13" ht="31.5" customHeight="1">
      <c r="A4" s="134" t="s">
        <v>127</v>
      </c>
      <c r="B4" s="134"/>
      <c r="C4" s="134"/>
      <c r="D4" s="134"/>
      <c r="E4" s="134"/>
      <c r="F4" s="134"/>
      <c r="G4" s="134"/>
      <c r="H4" s="134"/>
      <c r="I4" s="134"/>
    </row>
    <row r="5" spans="1:13" ht="15.75" customHeight="1">
      <c r="A5" s="133" t="s">
        <v>195</v>
      </c>
      <c r="B5" s="137"/>
      <c r="C5" s="137"/>
      <c r="D5" s="137"/>
      <c r="E5" s="137"/>
      <c r="F5" s="137"/>
      <c r="G5" s="137"/>
      <c r="H5" s="137"/>
      <c r="I5" s="137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44286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181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129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8" t="s">
        <v>59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90</v>
      </c>
      <c r="D16" s="86" t="s">
        <v>160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88</v>
      </c>
      <c r="C17" s="87" t="s">
        <v>90</v>
      </c>
      <c r="D17" s="86" t="s">
        <v>161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89</v>
      </c>
      <c r="C18" s="87" t="s">
        <v>90</v>
      </c>
      <c r="D18" s="86" t="s">
        <v>162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/>
      <c r="B19" s="86" t="s">
        <v>91</v>
      </c>
      <c r="C19" s="87" t="s">
        <v>86</v>
      </c>
      <c r="D19" s="86" t="s">
        <v>92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93</v>
      </c>
      <c r="C20" s="87" t="s">
        <v>90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94</v>
      </c>
      <c r="C21" s="87" t="s">
        <v>90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/>
      <c r="B22" s="86" t="s">
        <v>95</v>
      </c>
      <c r="C22" s="87" t="s">
        <v>53</v>
      </c>
      <c r="D22" s="86" t="s">
        <v>92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/>
      <c r="B23" s="86" t="s">
        <v>96</v>
      </c>
      <c r="C23" s="87" t="s">
        <v>53</v>
      </c>
      <c r="D23" s="86" t="s">
        <v>92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86" t="s">
        <v>97</v>
      </c>
      <c r="C24" s="87" t="s">
        <v>53</v>
      </c>
      <c r="D24" s="86" t="s">
        <v>92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45">
        <v>6</v>
      </c>
      <c r="B25" s="86" t="s">
        <v>98</v>
      </c>
      <c r="C25" s="87" t="s">
        <v>53</v>
      </c>
      <c r="D25" s="86" t="s">
        <v>92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45"/>
      <c r="B26" s="86" t="s">
        <v>99</v>
      </c>
      <c r="C26" s="87" t="s">
        <v>53</v>
      </c>
      <c r="D26" s="86" t="s">
        <v>92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hidden="1" customHeight="1">
      <c r="A27" s="45">
        <v>4</v>
      </c>
      <c r="B27" s="34" t="s">
        <v>159</v>
      </c>
      <c r="C27" s="44" t="s">
        <v>154</v>
      </c>
      <c r="D27" s="34" t="s">
        <v>163</v>
      </c>
      <c r="E27" s="117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39" t="s">
        <v>81</v>
      </c>
      <c r="B28" s="139"/>
      <c r="C28" s="139"/>
      <c r="D28" s="139"/>
      <c r="E28" s="139"/>
      <c r="F28" s="139"/>
      <c r="G28" s="139"/>
      <c r="H28" s="139"/>
      <c r="I28" s="139"/>
      <c r="J28" s="23"/>
      <c r="K28" s="8"/>
      <c r="L28" s="8"/>
      <c r="M28" s="8"/>
    </row>
    <row r="29" spans="1:13" ht="15.75" hidden="1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hidden="1" customHeight="1">
      <c r="A30" s="45">
        <v>2</v>
      </c>
      <c r="B30" s="86" t="s">
        <v>134</v>
      </c>
      <c r="C30" s="87" t="s">
        <v>100</v>
      </c>
      <c r="D30" s="86" t="s">
        <v>101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hidden="1" customHeight="1">
      <c r="A31" s="45">
        <v>3</v>
      </c>
      <c r="B31" s="86" t="s">
        <v>135</v>
      </c>
      <c r="C31" s="87" t="s">
        <v>100</v>
      </c>
      <c r="D31" s="86" t="s">
        <v>102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4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4</v>
      </c>
      <c r="B32" s="86" t="s">
        <v>26</v>
      </c>
      <c r="C32" s="87" t="s">
        <v>100</v>
      </c>
      <c r="D32" s="86" t="s">
        <v>54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hidden="1" customHeight="1">
      <c r="A33" s="45"/>
      <c r="B33" s="86" t="s">
        <v>103</v>
      </c>
      <c r="C33" s="87" t="s">
        <v>40</v>
      </c>
      <c r="D33" s="86" t="s">
        <v>63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5</v>
      </c>
      <c r="B34" s="86" t="s">
        <v>104</v>
      </c>
      <c r="C34" s="87" t="s">
        <v>29</v>
      </c>
      <c r="D34" s="86" t="s">
        <v>63</v>
      </c>
      <c r="E34" s="94">
        <f>1/3</f>
        <v>0.33333333333333331</v>
      </c>
      <c r="F34" s="89">
        <f>155/3</f>
        <v>51.666666666666664</v>
      </c>
      <c r="G34" s="89">
        <v>70.540000000000006</v>
      </c>
      <c r="H34" s="90">
        <f>SUM(G34*155/3/1000)</f>
        <v>3.644566666666667</v>
      </c>
      <c r="I34" s="13">
        <f t="shared" si="4"/>
        <v>607.42777777777781</v>
      </c>
      <c r="J34" s="24"/>
    </row>
    <row r="35" spans="1:14" ht="15.75" hidden="1" customHeight="1">
      <c r="A35" s="45">
        <v>4</v>
      </c>
      <c r="B35" s="86" t="s">
        <v>64</v>
      </c>
      <c r="C35" s="87" t="s">
        <v>32</v>
      </c>
      <c r="D35" s="86" t="s">
        <v>66</v>
      </c>
      <c r="E35" s="88"/>
      <c r="F35" s="89">
        <v>1</v>
      </c>
      <c r="G35" s="89">
        <v>238.07</v>
      </c>
      <c r="H35" s="90">
        <f t="shared" ref="H35:H36" si="5">SUM(F35*G35/1000)</f>
        <v>0.23807</v>
      </c>
      <c r="I35" s="13">
        <v>0</v>
      </c>
      <c r="J35" s="24"/>
    </row>
    <row r="36" spans="1:14" ht="15.75" hidden="1" customHeight="1">
      <c r="A36" s="30">
        <v>8</v>
      </c>
      <c r="B36" s="86" t="s">
        <v>65</v>
      </c>
      <c r="C36" s="87" t="s">
        <v>31</v>
      </c>
      <c r="D36" s="86" t="s">
        <v>66</v>
      </c>
      <c r="E36" s="88"/>
      <c r="F36" s="89">
        <v>1</v>
      </c>
      <c r="G36" s="89">
        <v>1413.96</v>
      </c>
      <c r="H36" s="90">
        <f t="shared" si="5"/>
        <v>1.4139600000000001</v>
      </c>
      <c r="I36" s="13">
        <v>0</v>
      </c>
      <c r="J36" s="24"/>
    </row>
    <row r="37" spans="1:14" ht="15.75" customHeight="1">
      <c r="A37" s="45"/>
      <c r="B37" s="53" t="s">
        <v>5</v>
      </c>
      <c r="C37" s="53"/>
      <c r="D37" s="53"/>
      <c r="E37" s="53"/>
      <c r="F37" s="13"/>
      <c r="G37" s="14"/>
      <c r="H37" s="14"/>
      <c r="I37" s="19"/>
      <c r="J37" s="24"/>
    </row>
    <row r="38" spans="1:14" ht="15.75" customHeight="1">
      <c r="A38" s="35">
        <v>4</v>
      </c>
      <c r="B38" s="86" t="s">
        <v>25</v>
      </c>
      <c r="C38" s="87" t="s">
        <v>31</v>
      </c>
      <c r="D38" s="86" t="s">
        <v>196</v>
      </c>
      <c r="E38" s="88"/>
      <c r="F38" s="89">
        <v>2</v>
      </c>
      <c r="G38" s="89">
        <v>1900.37</v>
      </c>
      <c r="H38" s="90">
        <f t="shared" ref="H38:H43" si="6">SUM(F38*G38/1000)</f>
        <v>3.8007399999999998</v>
      </c>
      <c r="I38" s="13">
        <f>G38*1.6</f>
        <v>3040.5920000000001</v>
      </c>
      <c r="J38" s="24"/>
    </row>
    <row r="39" spans="1:14" ht="15.75" customHeight="1">
      <c r="A39" s="35">
        <v>5</v>
      </c>
      <c r="B39" s="86" t="s">
        <v>67</v>
      </c>
      <c r="C39" s="67" t="s">
        <v>28</v>
      </c>
      <c r="D39" s="36" t="s">
        <v>164</v>
      </c>
      <c r="E39" s="37">
        <v>65.25</v>
      </c>
      <c r="F39" s="89">
        <f>SUM(E39*30/1000)</f>
        <v>1.9575</v>
      </c>
      <c r="G39" s="89">
        <v>2616.4899999999998</v>
      </c>
      <c r="H39" s="90">
        <f t="shared" si="6"/>
        <v>5.1217791749999995</v>
      </c>
      <c r="I39" s="13">
        <f t="shared" ref="I39:I41" si="7">F39/6*G39</f>
        <v>853.62986249999994</v>
      </c>
      <c r="J39" s="24"/>
    </row>
    <row r="40" spans="1:14" ht="15.75" customHeight="1">
      <c r="A40" s="35">
        <v>6</v>
      </c>
      <c r="B40" s="86" t="s">
        <v>68</v>
      </c>
      <c r="C40" s="44" t="s">
        <v>28</v>
      </c>
      <c r="D40" s="34" t="s">
        <v>165</v>
      </c>
      <c r="E40" s="33">
        <v>65.25</v>
      </c>
      <c r="F40" s="89">
        <f>SUM(E40*155/1000)</f>
        <v>10.11375</v>
      </c>
      <c r="G40" s="89">
        <v>436.45</v>
      </c>
      <c r="H40" s="90">
        <f t="shared" si="6"/>
        <v>4.4141461874999992</v>
      </c>
      <c r="I40" s="13">
        <f t="shared" si="7"/>
        <v>735.69103124999992</v>
      </c>
      <c r="J40" s="24"/>
    </row>
    <row r="41" spans="1:14" ht="46.5" customHeight="1">
      <c r="A41" s="35">
        <v>7</v>
      </c>
      <c r="B41" s="86" t="s">
        <v>80</v>
      </c>
      <c r="C41" s="44" t="s">
        <v>100</v>
      </c>
      <c r="D41" s="34" t="s">
        <v>166</v>
      </c>
      <c r="E41" s="33">
        <v>65.25</v>
      </c>
      <c r="F41" s="89">
        <f>SUM(E41*35/1000)</f>
        <v>2.2837499999999999</v>
      </c>
      <c r="G41" s="89">
        <v>7221.21</v>
      </c>
      <c r="H41" s="90">
        <f t="shared" si="6"/>
        <v>16.4914383375</v>
      </c>
      <c r="I41" s="13">
        <f t="shared" si="7"/>
        <v>2748.5730562499998</v>
      </c>
      <c r="J41" s="24"/>
      <c r="L41" s="20"/>
      <c r="M41" s="21"/>
      <c r="N41" s="22"/>
    </row>
    <row r="42" spans="1:14" ht="15.75" customHeight="1">
      <c r="A42" s="35">
        <v>8</v>
      </c>
      <c r="B42" s="86" t="s">
        <v>108</v>
      </c>
      <c r="C42" s="44" t="s">
        <v>100</v>
      </c>
      <c r="D42" s="34" t="s">
        <v>162</v>
      </c>
      <c r="E42" s="33">
        <v>65.25</v>
      </c>
      <c r="F42" s="89">
        <f>SUM(E42*20/1000)</f>
        <v>1.3049999999999999</v>
      </c>
      <c r="G42" s="89">
        <v>533.45000000000005</v>
      </c>
      <c r="H42" s="90">
        <f t="shared" si="6"/>
        <v>0.69615225000000003</v>
      </c>
      <c r="I42" s="13">
        <f>G42*F42/20*2</f>
        <v>69.615224999999995</v>
      </c>
      <c r="J42" s="24"/>
      <c r="L42" s="20"/>
      <c r="M42" s="21"/>
      <c r="N42" s="22"/>
    </row>
    <row r="43" spans="1:14" ht="15.75" customHeight="1">
      <c r="A43" s="35">
        <v>9</v>
      </c>
      <c r="B43" s="86" t="s">
        <v>69</v>
      </c>
      <c r="C43" s="87" t="s">
        <v>32</v>
      </c>
      <c r="D43" s="86"/>
      <c r="E43" s="88"/>
      <c r="F43" s="89">
        <v>0.5</v>
      </c>
      <c r="G43" s="89">
        <v>992.97</v>
      </c>
      <c r="H43" s="90">
        <f t="shared" si="6"/>
        <v>0.49648500000000001</v>
      </c>
      <c r="I43" s="13">
        <f>G43*F43/20*2</f>
        <v>49.648499999999999</v>
      </c>
      <c r="J43" s="24"/>
      <c r="L43" s="20"/>
      <c r="M43" s="21"/>
      <c r="N43" s="22"/>
    </row>
    <row r="44" spans="1:14" ht="15.75" hidden="1" customHeight="1">
      <c r="A44" s="140" t="s">
        <v>130</v>
      </c>
      <c r="B44" s="141"/>
      <c r="C44" s="141"/>
      <c r="D44" s="141"/>
      <c r="E44" s="141"/>
      <c r="F44" s="141"/>
      <c r="G44" s="141"/>
      <c r="H44" s="141"/>
      <c r="I44" s="142"/>
      <c r="J44" s="24"/>
      <c r="L44" s="20"/>
      <c r="M44" s="21"/>
      <c r="N44" s="22"/>
    </row>
    <row r="45" spans="1:14" ht="15.75" hidden="1" customHeight="1">
      <c r="A45" s="45">
        <v>15</v>
      </c>
      <c r="B45" s="86" t="s">
        <v>110</v>
      </c>
      <c r="C45" s="87" t="s">
        <v>100</v>
      </c>
      <c r="D45" s="86" t="s">
        <v>42</v>
      </c>
      <c r="E45" s="88">
        <v>1026.8</v>
      </c>
      <c r="F45" s="89">
        <f>SUM(E45*2/1000)</f>
        <v>2.0535999999999999</v>
      </c>
      <c r="G45" s="13">
        <v>1283.46</v>
      </c>
      <c r="H45" s="90">
        <f t="shared" ref="H45:H55" si="8">SUM(F45*G45/1000)</f>
        <v>2.635713456</v>
      </c>
      <c r="I45" s="13">
        <v>0</v>
      </c>
      <c r="J45" s="24"/>
      <c r="L45" s="20"/>
      <c r="M45" s="21"/>
      <c r="N45" s="22"/>
    </row>
    <row r="46" spans="1:14" ht="15.75" hidden="1" customHeight="1">
      <c r="A46" s="45"/>
      <c r="B46" s="86" t="s">
        <v>35</v>
      </c>
      <c r="C46" s="87" t="s">
        <v>100</v>
      </c>
      <c r="D46" s="86" t="s">
        <v>42</v>
      </c>
      <c r="E46" s="88">
        <v>19.8</v>
      </c>
      <c r="F46" s="89">
        <f>SUM(E46*2/1000)</f>
        <v>3.9600000000000003E-2</v>
      </c>
      <c r="G46" s="13">
        <v>4192.6400000000003</v>
      </c>
      <c r="H46" s="90">
        <f t="shared" si="8"/>
        <v>0.16602854400000003</v>
      </c>
      <c r="I46" s="13">
        <v>0</v>
      </c>
      <c r="J46" s="24"/>
      <c r="L46" s="20"/>
      <c r="M46" s="21"/>
      <c r="N46" s="22"/>
    </row>
    <row r="47" spans="1:14" ht="15.75" hidden="1" customHeight="1">
      <c r="A47" s="45">
        <v>16</v>
      </c>
      <c r="B47" s="86" t="s">
        <v>36</v>
      </c>
      <c r="C47" s="87" t="s">
        <v>100</v>
      </c>
      <c r="D47" s="86" t="s">
        <v>42</v>
      </c>
      <c r="E47" s="88">
        <v>660.84</v>
      </c>
      <c r="F47" s="89">
        <f>SUM(E47*2/1000)</f>
        <v>1.32168</v>
      </c>
      <c r="G47" s="13">
        <v>1711.28</v>
      </c>
      <c r="H47" s="90">
        <f t="shared" si="8"/>
        <v>2.2617645503999997</v>
      </c>
      <c r="I47" s="13">
        <v>0</v>
      </c>
      <c r="J47" s="24"/>
      <c r="L47" s="20"/>
      <c r="M47" s="21"/>
      <c r="N47" s="22"/>
    </row>
    <row r="48" spans="1:14" ht="15.75" hidden="1" customHeight="1">
      <c r="A48" s="45">
        <v>17</v>
      </c>
      <c r="B48" s="86" t="s">
        <v>37</v>
      </c>
      <c r="C48" s="87" t="s">
        <v>100</v>
      </c>
      <c r="D48" s="86" t="s">
        <v>42</v>
      </c>
      <c r="E48" s="88">
        <v>1156.21</v>
      </c>
      <c r="F48" s="89">
        <f>SUM(E48*2/1000)</f>
        <v>2.3124199999999999</v>
      </c>
      <c r="G48" s="13">
        <v>1179.73</v>
      </c>
      <c r="H48" s="90">
        <f t="shared" si="8"/>
        <v>2.7280312466000001</v>
      </c>
      <c r="I48" s="13">
        <v>0</v>
      </c>
      <c r="J48" s="24"/>
      <c r="L48" s="20"/>
      <c r="M48" s="21"/>
      <c r="N48" s="22"/>
    </row>
    <row r="49" spans="1:14" ht="15.75" hidden="1" customHeight="1">
      <c r="A49" s="45">
        <v>18</v>
      </c>
      <c r="B49" s="86" t="s">
        <v>33</v>
      </c>
      <c r="C49" s="87" t="s">
        <v>34</v>
      </c>
      <c r="D49" s="86" t="s">
        <v>42</v>
      </c>
      <c r="E49" s="88">
        <v>15</v>
      </c>
      <c r="F49" s="89">
        <f>SUM(E49*2/100)</f>
        <v>0.3</v>
      </c>
      <c r="G49" s="13">
        <v>90.61</v>
      </c>
      <c r="H49" s="90">
        <f t="shared" si="8"/>
        <v>2.7182999999999999E-2</v>
      </c>
      <c r="I49" s="13">
        <v>0</v>
      </c>
      <c r="J49" s="24"/>
      <c r="L49" s="20"/>
      <c r="M49" s="21"/>
      <c r="N49" s="22"/>
    </row>
    <row r="50" spans="1:14" ht="15.75" hidden="1" customHeight="1">
      <c r="A50" s="45">
        <v>12</v>
      </c>
      <c r="B50" s="86" t="s">
        <v>56</v>
      </c>
      <c r="C50" s="87" t="s">
        <v>100</v>
      </c>
      <c r="D50" s="86" t="s">
        <v>137</v>
      </c>
      <c r="E50" s="88">
        <v>1803.1</v>
      </c>
      <c r="F50" s="89">
        <f>SUM(E50*5/1000)</f>
        <v>9.0154999999999994</v>
      </c>
      <c r="G50" s="13">
        <v>1711.28</v>
      </c>
      <c r="H50" s="90">
        <f t="shared" si="8"/>
        <v>15.428044839999998</v>
      </c>
      <c r="I50" s="13">
        <f>F50/5*G50</f>
        <v>3085.608968</v>
      </c>
      <c r="J50" s="24"/>
      <c r="L50" s="20"/>
      <c r="M50" s="21"/>
      <c r="N50" s="22"/>
    </row>
    <row r="51" spans="1:14" ht="31.5" hidden="1" customHeight="1">
      <c r="A51" s="45">
        <v>13</v>
      </c>
      <c r="B51" s="86" t="s">
        <v>111</v>
      </c>
      <c r="C51" s="87" t="s">
        <v>100</v>
      </c>
      <c r="D51" s="86" t="s">
        <v>42</v>
      </c>
      <c r="E51" s="88">
        <v>1803.1</v>
      </c>
      <c r="F51" s="89">
        <f>SUM(E51*2/1000)</f>
        <v>3.6061999999999999</v>
      </c>
      <c r="G51" s="13">
        <v>1510.06</v>
      </c>
      <c r="H51" s="90">
        <f t="shared" si="8"/>
        <v>5.4455783719999999</v>
      </c>
      <c r="I51" s="13">
        <v>0</v>
      </c>
      <c r="J51" s="24"/>
      <c r="L51" s="20"/>
      <c r="M51" s="21"/>
      <c r="N51" s="22"/>
    </row>
    <row r="52" spans="1:14" ht="31.5" hidden="1" customHeight="1">
      <c r="A52" s="45">
        <v>14</v>
      </c>
      <c r="B52" s="86" t="s">
        <v>112</v>
      </c>
      <c r="C52" s="87" t="s">
        <v>38</v>
      </c>
      <c r="D52" s="86" t="s">
        <v>42</v>
      </c>
      <c r="E52" s="88">
        <v>9</v>
      </c>
      <c r="F52" s="89">
        <f>SUM(E52*2/100)</f>
        <v>0.18</v>
      </c>
      <c r="G52" s="13">
        <v>3850.4</v>
      </c>
      <c r="H52" s="90">
        <f t="shared" si="8"/>
        <v>0.69307200000000002</v>
      </c>
      <c r="I52" s="13">
        <v>0</v>
      </c>
      <c r="J52" s="24"/>
      <c r="L52" s="20"/>
      <c r="M52" s="21"/>
      <c r="N52" s="22"/>
    </row>
    <row r="53" spans="1:14" ht="15.75" hidden="1" customHeight="1">
      <c r="A53" s="45">
        <v>15</v>
      </c>
      <c r="B53" s="86" t="s">
        <v>39</v>
      </c>
      <c r="C53" s="87" t="s">
        <v>40</v>
      </c>
      <c r="D53" s="86" t="s">
        <v>42</v>
      </c>
      <c r="E53" s="88">
        <v>1</v>
      </c>
      <c r="F53" s="89">
        <v>0.02</v>
      </c>
      <c r="G53" s="13">
        <v>7033.13</v>
      </c>
      <c r="H53" s="90">
        <f t="shared" si="8"/>
        <v>0.1406626</v>
      </c>
      <c r="I53" s="13">
        <v>0</v>
      </c>
      <c r="J53" s="24"/>
      <c r="L53" s="20"/>
      <c r="M53" s="21"/>
      <c r="N53" s="22"/>
    </row>
    <row r="54" spans="1:14" ht="15.75" hidden="1" customHeight="1">
      <c r="A54" s="45">
        <v>13</v>
      </c>
      <c r="B54" s="86" t="s">
        <v>136</v>
      </c>
      <c r="C54" s="87" t="s">
        <v>29</v>
      </c>
      <c r="D54" s="86" t="s">
        <v>70</v>
      </c>
      <c r="E54" s="88">
        <v>36</v>
      </c>
      <c r="F54" s="89">
        <f>E54*3</f>
        <v>108</v>
      </c>
      <c r="G54" s="13">
        <v>175.6</v>
      </c>
      <c r="H54" s="90">
        <f t="shared" si="8"/>
        <v>18.9648</v>
      </c>
      <c r="I54" s="13">
        <f>E54*G54</f>
        <v>6321.5999999999995</v>
      </c>
      <c r="J54" s="24"/>
      <c r="L54" s="20"/>
      <c r="M54" s="21"/>
      <c r="N54" s="22"/>
    </row>
    <row r="55" spans="1:14" ht="15.75" hidden="1" customHeight="1">
      <c r="A55" s="45">
        <v>14</v>
      </c>
      <c r="B55" s="86" t="s">
        <v>41</v>
      </c>
      <c r="C55" s="87" t="s">
        <v>29</v>
      </c>
      <c r="D55" s="86" t="s">
        <v>70</v>
      </c>
      <c r="E55" s="88">
        <v>36</v>
      </c>
      <c r="F55" s="89">
        <f>SUM(E55)*3</f>
        <v>108</v>
      </c>
      <c r="G55" s="13">
        <v>81.73</v>
      </c>
      <c r="H55" s="90">
        <f t="shared" si="8"/>
        <v>8.8268400000000007</v>
      </c>
      <c r="I55" s="13">
        <f>E55*G55</f>
        <v>2942.28</v>
      </c>
      <c r="J55" s="24"/>
      <c r="L55" s="20"/>
      <c r="M55" s="21"/>
      <c r="N55" s="22"/>
    </row>
    <row r="56" spans="1:14" ht="15.75" customHeight="1">
      <c r="A56" s="140" t="s">
        <v>142</v>
      </c>
      <c r="B56" s="141"/>
      <c r="C56" s="141"/>
      <c r="D56" s="141"/>
      <c r="E56" s="141"/>
      <c r="F56" s="141"/>
      <c r="G56" s="141"/>
      <c r="H56" s="141"/>
      <c r="I56" s="142"/>
      <c r="J56" s="24"/>
      <c r="L56" s="20"/>
      <c r="M56" s="21"/>
      <c r="N56" s="22"/>
    </row>
    <row r="57" spans="1:14" ht="15.75" customHeight="1">
      <c r="A57" s="57"/>
      <c r="B57" s="52" t="s">
        <v>43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customHeight="1">
      <c r="A58" s="45">
        <v>10</v>
      </c>
      <c r="B58" s="86" t="s">
        <v>114</v>
      </c>
      <c r="C58" s="87" t="s">
        <v>90</v>
      </c>
      <c r="D58" s="86"/>
      <c r="E58" s="88">
        <v>12</v>
      </c>
      <c r="F58" s="89">
        <f>E58*6/100</f>
        <v>0.72</v>
      </c>
      <c r="G58" s="95">
        <v>2306.62</v>
      </c>
      <c r="H58" s="90">
        <f>F58*G58/1000</f>
        <v>1.6607663999999998</v>
      </c>
      <c r="I58" s="13">
        <f>G58*0.12</f>
        <v>276.7944</v>
      </c>
      <c r="J58" s="24"/>
      <c r="L58" s="20"/>
      <c r="M58" s="21"/>
      <c r="N58" s="22"/>
    </row>
    <row r="59" spans="1:14" ht="15.75" hidden="1" customHeight="1">
      <c r="A59" s="45"/>
      <c r="B59" s="96" t="s">
        <v>83</v>
      </c>
      <c r="C59" s="97" t="s">
        <v>115</v>
      </c>
      <c r="D59" s="96" t="s">
        <v>66</v>
      </c>
      <c r="E59" s="98"/>
      <c r="F59" s="99">
        <v>2</v>
      </c>
      <c r="G59" s="100">
        <v>1501</v>
      </c>
      <c r="H59" s="90">
        <f>F59*G59/1000</f>
        <v>3.0019999999999998</v>
      </c>
      <c r="I59" s="13">
        <v>0</v>
      </c>
      <c r="J59" s="24"/>
      <c r="L59" s="20"/>
      <c r="M59" s="21"/>
      <c r="N59" s="22"/>
    </row>
    <row r="60" spans="1:14" ht="15.75" customHeight="1">
      <c r="A60" s="45"/>
      <c r="B60" s="77" t="s">
        <v>44</v>
      </c>
      <c r="C60" s="77"/>
      <c r="D60" s="77"/>
      <c r="E60" s="77"/>
      <c r="F60" s="77"/>
      <c r="G60" s="68"/>
      <c r="H60" s="68"/>
      <c r="I60" s="39"/>
      <c r="J60" s="24"/>
      <c r="L60" s="20"/>
      <c r="M60" s="21"/>
      <c r="N60" s="22"/>
    </row>
    <row r="61" spans="1:14" ht="15.75" customHeight="1">
      <c r="A61" s="45">
        <v>11</v>
      </c>
      <c r="B61" s="96" t="s">
        <v>45</v>
      </c>
      <c r="C61" s="97" t="s">
        <v>53</v>
      </c>
      <c r="D61" s="96" t="s">
        <v>197</v>
      </c>
      <c r="E61" s="98">
        <v>177</v>
      </c>
      <c r="F61" s="99">
        <f>E61/100</f>
        <v>1.77</v>
      </c>
      <c r="G61" s="100">
        <v>987.51</v>
      </c>
      <c r="H61" s="101">
        <f>G61*F61/1000</f>
        <v>1.7478927000000002</v>
      </c>
      <c r="I61" s="13">
        <f>G61*F61</f>
        <v>1747.8927000000001</v>
      </c>
      <c r="J61" s="24"/>
      <c r="L61" s="20"/>
      <c r="M61" s="21"/>
      <c r="N61" s="22"/>
    </row>
    <row r="62" spans="1:14" ht="15.75" customHeight="1">
      <c r="A62" s="45"/>
      <c r="B62" s="77" t="s">
        <v>46</v>
      </c>
      <c r="C62" s="17"/>
      <c r="D62" s="41"/>
      <c r="E62" s="41"/>
      <c r="F62" s="16"/>
      <c r="G62" s="69"/>
      <c r="H62" s="68"/>
      <c r="I62" s="19"/>
      <c r="J62" s="24"/>
      <c r="L62" s="20"/>
      <c r="M62" s="21"/>
      <c r="N62" s="22"/>
    </row>
    <row r="63" spans="1:14" ht="15.75" hidden="1" customHeight="1">
      <c r="A63" s="45">
        <v>17</v>
      </c>
      <c r="B63" s="15" t="s">
        <v>47</v>
      </c>
      <c r="C63" s="17" t="s">
        <v>113</v>
      </c>
      <c r="D63" s="15" t="s">
        <v>66</v>
      </c>
      <c r="E63" s="19">
        <v>1</v>
      </c>
      <c r="F63" s="89">
        <f>E63</f>
        <v>1</v>
      </c>
      <c r="G63" s="13">
        <v>276.74</v>
      </c>
      <c r="H63" s="102">
        <f t="shared" ref="H63:H71" si="9">SUM(F63*G63/1000)</f>
        <v>0.27673999999999999</v>
      </c>
      <c r="I63" s="13">
        <v>0</v>
      </c>
      <c r="J63" s="24"/>
      <c r="L63" s="20"/>
      <c r="M63" s="21"/>
      <c r="N63" s="22"/>
    </row>
    <row r="64" spans="1:14" ht="15.75" hidden="1" customHeight="1">
      <c r="A64" s="30">
        <v>29</v>
      </c>
      <c r="B64" s="15" t="s">
        <v>48</v>
      </c>
      <c r="C64" s="17" t="s">
        <v>113</v>
      </c>
      <c r="D64" s="15" t="s">
        <v>66</v>
      </c>
      <c r="E64" s="19">
        <v>3</v>
      </c>
      <c r="F64" s="89">
        <v>3</v>
      </c>
      <c r="G64" s="13">
        <v>94.89</v>
      </c>
      <c r="H64" s="102">
        <f t="shared" si="9"/>
        <v>0.28467000000000003</v>
      </c>
      <c r="I64" s="13">
        <v>0</v>
      </c>
      <c r="J64" s="24"/>
      <c r="L64" s="20"/>
    </row>
    <row r="65" spans="1:22" ht="15.75" hidden="1" customHeight="1">
      <c r="A65" s="30">
        <v>8</v>
      </c>
      <c r="B65" s="15" t="s">
        <v>49</v>
      </c>
      <c r="C65" s="17" t="s">
        <v>116</v>
      </c>
      <c r="D65" s="15" t="s">
        <v>54</v>
      </c>
      <c r="E65" s="88">
        <v>7265</v>
      </c>
      <c r="F65" s="13">
        <f>SUM(E65/100)</f>
        <v>72.650000000000006</v>
      </c>
      <c r="G65" s="13">
        <v>263.99</v>
      </c>
      <c r="H65" s="102">
        <f t="shared" si="9"/>
        <v>19.178873500000002</v>
      </c>
      <c r="I65" s="13">
        <v>0</v>
      </c>
    </row>
    <row r="66" spans="1:22" ht="15.75" hidden="1" customHeight="1">
      <c r="A66" s="30">
        <v>9</v>
      </c>
      <c r="B66" s="15" t="s">
        <v>50</v>
      </c>
      <c r="C66" s="17" t="s">
        <v>117</v>
      </c>
      <c r="D66" s="15" t="s">
        <v>54</v>
      </c>
      <c r="E66" s="88">
        <v>7265</v>
      </c>
      <c r="F66" s="13">
        <f>SUM(E66/1000)</f>
        <v>7.2649999999999997</v>
      </c>
      <c r="G66" s="13">
        <v>205.57</v>
      </c>
      <c r="H66" s="102">
        <f t="shared" si="9"/>
        <v>1.4934660500000001</v>
      </c>
      <c r="I66" s="13">
        <v>0</v>
      </c>
    </row>
    <row r="67" spans="1:22" ht="15.75" hidden="1" customHeight="1">
      <c r="A67" s="30">
        <v>10</v>
      </c>
      <c r="B67" s="15" t="s">
        <v>51</v>
      </c>
      <c r="C67" s="17" t="s">
        <v>76</v>
      </c>
      <c r="D67" s="15" t="s">
        <v>54</v>
      </c>
      <c r="E67" s="88">
        <v>1090</v>
      </c>
      <c r="F67" s="13">
        <f>SUM(E67/100)</f>
        <v>10.9</v>
      </c>
      <c r="G67" s="13">
        <v>2581.5300000000002</v>
      </c>
      <c r="H67" s="102">
        <f t="shared" si="9"/>
        <v>28.138677000000005</v>
      </c>
      <c r="I67" s="13">
        <v>0</v>
      </c>
    </row>
    <row r="68" spans="1:22" ht="15.75" hidden="1" customHeight="1">
      <c r="A68" s="30">
        <v>11</v>
      </c>
      <c r="B68" s="103" t="s">
        <v>118</v>
      </c>
      <c r="C68" s="17" t="s">
        <v>32</v>
      </c>
      <c r="D68" s="15"/>
      <c r="E68" s="88">
        <v>7.4</v>
      </c>
      <c r="F68" s="13">
        <f>SUM(E68)</f>
        <v>7.4</v>
      </c>
      <c r="G68" s="13">
        <v>47.45</v>
      </c>
      <c r="H68" s="102">
        <f t="shared" si="9"/>
        <v>0.35113000000000005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30">
        <v>12</v>
      </c>
      <c r="B69" s="103" t="s">
        <v>138</v>
      </c>
      <c r="C69" s="17" t="s">
        <v>32</v>
      </c>
      <c r="D69" s="15"/>
      <c r="E69" s="88">
        <v>7.4</v>
      </c>
      <c r="F69" s="13">
        <f>SUM(E69)</f>
        <v>7.4</v>
      </c>
      <c r="G69" s="13">
        <v>44.27</v>
      </c>
      <c r="H69" s="102">
        <f t="shared" si="9"/>
        <v>0.327598</v>
      </c>
      <c r="I69" s="13">
        <v>0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30">
        <v>13</v>
      </c>
      <c r="B70" s="15" t="s">
        <v>57</v>
      </c>
      <c r="C70" s="17" t="s">
        <v>58</v>
      </c>
      <c r="D70" s="15" t="s">
        <v>54</v>
      </c>
      <c r="E70" s="19">
        <v>3</v>
      </c>
      <c r="F70" s="89">
        <f>SUM(E70)</f>
        <v>3</v>
      </c>
      <c r="G70" s="13">
        <v>62.07</v>
      </c>
      <c r="H70" s="102">
        <f t="shared" si="9"/>
        <v>0.18621000000000001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customHeight="1">
      <c r="A71" s="30">
        <v>12</v>
      </c>
      <c r="B71" s="15" t="s">
        <v>84</v>
      </c>
      <c r="C71" s="30" t="s">
        <v>119</v>
      </c>
      <c r="D71" s="15"/>
      <c r="E71" s="19">
        <v>1803.1</v>
      </c>
      <c r="F71" s="89">
        <f>SUM(E71*12)</f>
        <v>21637.199999999997</v>
      </c>
      <c r="G71" s="13">
        <v>2.16</v>
      </c>
      <c r="H71" s="102">
        <f t="shared" si="9"/>
        <v>46.736351999999997</v>
      </c>
      <c r="I71" s="13">
        <f>F71/12*G71</f>
        <v>3894.6959999999995</v>
      </c>
      <c r="J71" s="5"/>
      <c r="K71" s="5"/>
      <c r="L71" s="5"/>
      <c r="M71" s="5"/>
      <c r="N71" s="5"/>
      <c r="O71" s="5"/>
      <c r="P71" s="5"/>
      <c r="Q71" s="5"/>
      <c r="R71" s="132"/>
      <c r="S71" s="132"/>
      <c r="T71" s="132"/>
      <c r="U71" s="132"/>
    </row>
    <row r="72" spans="1:22" ht="15.75" hidden="1" customHeight="1">
      <c r="A72" s="30"/>
      <c r="B72" s="53" t="s">
        <v>72</v>
      </c>
      <c r="C72" s="53"/>
      <c r="D72" s="53"/>
      <c r="E72" s="53"/>
      <c r="F72" s="19"/>
      <c r="G72" s="30"/>
      <c r="H72" s="30"/>
      <c r="I72" s="19"/>
    </row>
    <row r="73" spans="1:22" ht="15.75" hidden="1" customHeight="1">
      <c r="A73" s="30"/>
      <c r="B73" s="15" t="s">
        <v>121</v>
      </c>
      <c r="C73" s="17" t="s">
        <v>122</v>
      </c>
      <c r="D73" s="15" t="s">
        <v>66</v>
      </c>
      <c r="E73" s="19">
        <v>1</v>
      </c>
      <c r="F73" s="13">
        <f>E73</f>
        <v>1</v>
      </c>
      <c r="G73" s="13">
        <v>976.4</v>
      </c>
      <c r="H73" s="102">
        <f t="shared" ref="H73:H77" si="10">SUM(F73*G73/1000)</f>
        <v>0.97639999999999993</v>
      </c>
      <c r="I73" s="13">
        <v>0</v>
      </c>
    </row>
    <row r="74" spans="1:22" ht="15.75" hidden="1" customHeight="1">
      <c r="A74" s="30"/>
      <c r="B74" s="15" t="s">
        <v>123</v>
      </c>
      <c r="C74" s="17" t="s">
        <v>124</v>
      </c>
      <c r="D74" s="15"/>
      <c r="E74" s="19">
        <v>1</v>
      </c>
      <c r="F74" s="13">
        <v>1</v>
      </c>
      <c r="G74" s="13">
        <v>650</v>
      </c>
      <c r="H74" s="102">
        <f t="shared" si="10"/>
        <v>0.65</v>
      </c>
      <c r="I74" s="13">
        <v>0</v>
      </c>
    </row>
    <row r="75" spans="1:22" ht="15.75" hidden="1" customHeight="1">
      <c r="A75" s="30"/>
      <c r="B75" s="15" t="s">
        <v>73</v>
      </c>
      <c r="C75" s="17" t="s">
        <v>30</v>
      </c>
      <c r="D75" s="15" t="s">
        <v>66</v>
      </c>
      <c r="E75" s="19">
        <v>3</v>
      </c>
      <c r="F75" s="13">
        <f>E75/10</f>
        <v>0.3</v>
      </c>
      <c r="G75" s="13">
        <v>624.16999999999996</v>
      </c>
      <c r="H75" s="102">
        <f t="shared" si="10"/>
        <v>0.18725099999999997</v>
      </c>
      <c r="I75" s="13">
        <v>0</v>
      </c>
    </row>
    <row r="76" spans="1:22" ht="15.75" hidden="1" customHeight="1">
      <c r="A76" s="30"/>
      <c r="B76" s="15" t="s">
        <v>74</v>
      </c>
      <c r="C76" s="17" t="s">
        <v>29</v>
      </c>
      <c r="D76" s="15" t="s">
        <v>66</v>
      </c>
      <c r="E76" s="19">
        <v>1</v>
      </c>
      <c r="F76" s="13">
        <v>1</v>
      </c>
      <c r="G76" s="13">
        <v>1061.4100000000001</v>
      </c>
      <c r="H76" s="102">
        <f t="shared" si="10"/>
        <v>1.0614100000000002</v>
      </c>
      <c r="I76" s="13">
        <v>0</v>
      </c>
    </row>
    <row r="77" spans="1:22" ht="15.75" hidden="1" customHeight="1">
      <c r="A77" s="30">
        <v>17</v>
      </c>
      <c r="B77" s="15" t="s">
        <v>85</v>
      </c>
      <c r="C77" s="17" t="s">
        <v>29</v>
      </c>
      <c r="D77" s="15" t="s">
        <v>66</v>
      </c>
      <c r="E77" s="19">
        <v>1</v>
      </c>
      <c r="F77" s="89">
        <f>SUM(E77)</f>
        <v>1</v>
      </c>
      <c r="G77" s="13">
        <v>446.12</v>
      </c>
      <c r="H77" s="102">
        <f t="shared" si="10"/>
        <v>0.44612000000000002</v>
      </c>
      <c r="I77" s="13">
        <v>0</v>
      </c>
    </row>
    <row r="78" spans="1:22" ht="15.75" hidden="1" customHeight="1">
      <c r="A78" s="30"/>
      <c r="B78" s="54" t="s">
        <v>75</v>
      </c>
      <c r="C78" s="42"/>
      <c r="D78" s="30"/>
      <c r="E78" s="30"/>
      <c r="F78" s="19"/>
      <c r="G78" s="40" t="s">
        <v>128</v>
      </c>
      <c r="H78" s="40"/>
      <c r="I78" s="19"/>
    </row>
    <row r="79" spans="1:22" ht="15.75" hidden="1" customHeight="1">
      <c r="A79" s="30">
        <v>39</v>
      </c>
      <c r="B79" s="56" t="s">
        <v>125</v>
      </c>
      <c r="C79" s="17" t="s">
        <v>76</v>
      </c>
      <c r="D79" s="15"/>
      <c r="E79" s="19"/>
      <c r="F79" s="13">
        <v>1.35</v>
      </c>
      <c r="G79" s="13">
        <v>3433.68</v>
      </c>
      <c r="H79" s="102">
        <f t="shared" ref="H79" si="11">SUM(F79*G79/1000)</f>
        <v>4.6354679999999995</v>
      </c>
      <c r="I79" s="13">
        <v>0</v>
      </c>
    </row>
    <row r="80" spans="1:22" ht="15.75" hidden="1" customHeight="1">
      <c r="A80" s="57"/>
      <c r="B80" s="77" t="s">
        <v>120</v>
      </c>
      <c r="C80" s="77"/>
      <c r="D80" s="77"/>
      <c r="E80" s="77"/>
      <c r="F80" s="77"/>
      <c r="G80" s="77"/>
      <c r="H80" s="77"/>
      <c r="I80" s="19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9" ht="15.75" hidden="1" customHeight="1">
      <c r="A81" s="30">
        <v>36</v>
      </c>
      <c r="B81" s="86" t="s">
        <v>87</v>
      </c>
      <c r="C81" s="17"/>
      <c r="D81" s="15"/>
      <c r="E81" s="104"/>
      <c r="F81" s="13">
        <v>1</v>
      </c>
      <c r="G81" s="13">
        <v>14156.3</v>
      </c>
      <c r="H81" s="102">
        <f>G81*F81/1000</f>
        <v>14.1563</v>
      </c>
      <c r="I81" s="13">
        <v>0</v>
      </c>
    </row>
    <row r="82" spans="1:9" ht="15.75" customHeight="1">
      <c r="A82" s="125" t="s">
        <v>143</v>
      </c>
      <c r="B82" s="126"/>
      <c r="C82" s="126"/>
      <c r="D82" s="126"/>
      <c r="E82" s="126"/>
      <c r="F82" s="126"/>
      <c r="G82" s="126"/>
      <c r="H82" s="126"/>
      <c r="I82" s="127"/>
    </row>
    <row r="83" spans="1:9" ht="15.75" customHeight="1">
      <c r="A83" s="30">
        <v>13</v>
      </c>
      <c r="B83" s="86" t="s">
        <v>126</v>
      </c>
      <c r="C83" s="17" t="s">
        <v>55</v>
      </c>
      <c r="D83" s="105"/>
      <c r="E83" s="13">
        <v>1803.1</v>
      </c>
      <c r="F83" s="13">
        <f>SUM(E83*12)</f>
        <v>21637.199999999997</v>
      </c>
      <c r="G83" s="13">
        <v>2.95</v>
      </c>
      <c r="H83" s="102">
        <f>SUM(F83*G83/1000)</f>
        <v>63.829740000000001</v>
      </c>
      <c r="I83" s="13">
        <f>F83/12*G83</f>
        <v>5319.1449999999995</v>
      </c>
    </row>
    <row r="84" spans="1:9" ht="31.5" customHeight="1">
      <c r="A84" s="30">
        <v>14</v>
      </c>
      <c r="B84" s="15" t="s">
        <v>77</v>
      </c>
      <c r="C84" s="17"/>
      <c r="D84" s="105"/>
      <c r="E84" s="88">
        <v>1803.1</v>
      </c>
      <c r="F84" s="13">
        <f>E84*12</f>
        <v>21637.199999999997</v>
      </c>
      <c r="G84" s="13">
        <v>3.05</v>
      </c>
      <c r="H84" s="102">
        <f>F84*G84/1000</f>
        <v>65.993459999999999</v>
      </c>
      <c r="I84" s="13">
        <f>F84/12*G84</f>
        <v>5499.454999999999</v>
      </c>
    </row>
    <row r="85" spans="1:9" ht="15.75" customHeight="1">
      <c r="A85" s="57"/>
      <c r="B85" s="43" t="s">
        <v>79</v>
      </c>
      <c r="C85" s="45"/>
      <c r="D85" s="16"/>
      <c r="E85" s="16"/>
      <c r="F85" s="16"/>
      <c r="G85" s="19"/>
      <c r="H85" s="19"/>
      <c r="I85" s="32">
        <f>I84+I83+I71+I61+I58++I43+I42+I41+I40+I39+I38+I18+I17+I16</f>
        <v>29868.189054666665</v>
      </c>
    </row>
    <row r="86" spans="1:9" ht="15.75" customHeight="1">
      <c r="A86" s="128" t="s">
        <v>60</v>
      </c>
      <c r="B86" s="129"/>
      <c r="C86" s="129"/>
      <c r="D86" s="129"/>
      <c r="E86" s="129"/>
      <c r="F86" s="129"/>
      <c r="G86" s="129"/>
      <c r="H86" s="129"/>
      <c r="I86" s="130"/>
    </row>
    <row r="87" spans="1:9" ht="15.75" customHeight="1">
      <c r="A87" s="30">
        <v>15</v>
      </c>
      <c r="B87" s="15" t="s">
        <v>153</v>
      </c>
      <c r="C87" s="17" t="s">
        <v>154</v>
      </c>
      <c r="D87" s="15"/>
      <c r="E87" s="19"/>
      <c r="F87" s="13">
        <v>24</v>
      </c>
      <c r="G87" s="13">
        <v>1.4</v>
      </c>
      <c r="H87" s="13">
        <f>F87*G87/1000</f>
        <v>3.3599999999999991E-2</v>
      </c>
      <c r="I87" s="13">
        <f>G87*12</f>
        <v>16.799999999999997</v>
      </c>
    </row>
    <row r="88" spans="1:9" ht="31.5" customHeight="1">
      <c r="A88" s="30">
        <v>16</v>
      </c>
      <c r="B88" s="107" t="s">
        <v>157</v>
      </c>
      <c r="C88" s="108" t="s">
        <v>28</v>
      </c>
      <c r="D88" s="41"/>
      <c r="E88" s="18"/>
      <c r="F88" s="116">
        <f>0.599*12/1000</f>
        <v>7.1879999999999999E-3</v>
      </c>
      <c r="G88" s="113">
        <v>21369.24</v>
      </c>
      <c r="H88" s="13"/>
      <c r="I88" s="13">
        <f>G88*0.599*6/1000</f>
        <v>76.801048559999998</v>
      </c>
    </row>
    <row r="89" spans="1:9" ht="18" customHeight="1">
      <c r="A89" s="30">
        <v>17</v>
      </c>
      <c r="B89" s="114" t="s">
        <v>191</v>
      </c>
      <c r="C89" s="115" t="s">
        <v>53</v>
      </c>
      <c r="D89" s="41"/>
      <c r="E89" s="18"/>
      <c r="F89" s="40">
        <v>0.1</v>
      </c>
      <c r="G89" s="40">
        <v>2399.1</v>
      </c>
      <c r="H89" s="13"/>
      <c r="I89" s="13">
        <f>G89*0.05</f>
        <v>119.955</v>
      </c>
    </row>
    <row r="90" spans="1:9" ht="18" customHeight="1">
      <c r="A90" s="30">
        <v>18</v>
      </c>
      <c r="B90" s="114" t="s">
        <v>177</v>
      </c>
      <c r="C90" s="115" t="s">
        <v>113</v>
      </c>
      <c r="D90" s="41" t="s">
        <v>198</v>
      </c>
      <c r="E90" s="18"/>
      <c r="F90" s="40">
        <v>1</v>
      </c>
      <c r="G90" s="40">
        <v>218.81</v>
      </c>
      <c r="H90" s="13"/>
      <c r="I90" s="13">
        <v>0</v>
      </c>
    </row>
    <row r="91" spans="1:9" ht="29.25" customHeight="1">
      <c r="A91" s="30">
        <v>19</v>
      </c>
      <c r="B91" s="114" t="s">
        <v>175</v>
      </c>
      <c r="C91" s="115" t="s">
        <v>38</v>
      </c>
      <c r="D91" s="41" t="s">
        <v>168</v>
      </c>
      <c r="E91" s="18"/>
      <c r="F91" s="40">
        <v>0.01</v>
      </c>
      <c r="G91" s="40">
        <v>4233.72</v>
      </c>
      <c r="H91" s="13"/>
      <c r="I91" s="13">
        <v>0</v>
      </c>
    </row>
    <row r="92" spans="1:9" ht="15.75" customHeight="1">
      <c r="A92" s="30"/>
      <c r="B92" s="50" t="s">
        <v>52</v>
      </c>
      <c r="C92" s="46"/>
      <c r="D92" s="58"/>
      <c r="E92" s="58"/>
      <c r="F92" s="46">
        <v>1</v>
      </c>
      <c r="G92" s="46"/>
      <c r="H92" s="46"/>
      <c r="I92" s="32">
        <f>SUM(I87:I91)</f>
        <v>213.55604855999999</v>
      </c>
    </row>
    <row r="93" spans="1:9" ht="15.75" customHeight="1">
      <c r="A93" s="30"/>
      <c r="B93" s="56" t="s">
        <v>78</v>
      </c>
      <c r="C93" s="16"/>
      <c r="D93" s="16"/>
      <c r="E93" s="16"/>
      <c r="F93" s="47"/>
      <c r="G93" s="48"/>
      <c r="H93" s="48"/>
      <c r="I93" s="18">
        <v>0</v>
      </c>
    </row>
    <row r="94" spans="1:9" ht="15.75" customHeight="1">
      <c r="A94" s="59"/>
      <c r="B94" s="51" t="s">
        <v>133</v>
      </c>
      <c r="C94" s="38"/>
      <c r="D94" s="38"/>
      <c r="E94" s="38"/>
      <c r="F94" s="38"/>
      <c r="G94" s="38"/>
      <c r="H94" s="38"/>
      <c r="I94" s="49">
        <f>I85+I92</f>
        <v>30081.745103226665</v>
      </c>
    </row>
    <row r="95" spans="1:9" ht="15.75" customHeight="1">
      <c r="A95" s="131" t="s">
        <v>199</v>
      </c>
      <c r="B95" s="131"/>
      <c r="C95" s="131"/>
      <c r="D95" s="131"/>
      <c r="E95" s="131"/>
      <c r="F95" s="131"/>
      <c r="G95" s="131"/>
      <c r="H95" s="131"/>
      <c r="I95" s="131"/>
    </row>
    <row r="96" spans="1:9" ht="15.75" customHeight="1">
      <c r="A96" s="72"/>
      <c r="B96" s="147" t="s">
        <v>200</v>
      </c>
      <c r="C96" s="147"/>
      <c r="D96" s="147"/>
      <c r="E96" s="147"/>
      <c r="F96" s="147"/>
      <c r="G96" s="147"/>
      <c r="H96" s="84"/>
      <c r="I96" s="3"/>
    </row>
    <row r="97" spans="1:9" ht="15.75" customHeight="1">
      <c r="A97" s="75"/>
      <c r="B97" s="143" t="s">
        <v>6</v>
      </c>
      <c r="C97" s="143"/>
      <c r="D97" s="143"/>
      <c r="E97" s="143"/>
      <c r="F97" s="143"/>
      <c r="G97" s="143"/>
      <c r="H97" s="25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51" t="s">
        <v>7</v>
      </c>
      <c r="B99" s="151"/>
      <c r="C99" s="151"/>
      <c r="D99" s="151"/>
      <c r="E99" s="151"/>
      <c r="F99" s="151"/>
      <c r="G99" s="151"/>
      <c r="H99" s="151"/>
      <c r="I99" s="151"/>
    </row>
    <row r="100" spans="1:9" ht="15.75" customHeight="1">
      <c r="A100" s="151" t="s">
        <v>8</v>
      </c>
      <c r="B100" s="151"/>
      <c r="C100" s="151"/>
      <c r="D100" s="151"/>
      <c r="E100" s="151"/>
      <c r="F100" s="151"/>
      <c r="G100" s="151"/>
      <c r="H100" s="151"/>
      <c r="I100" s="151"/>
    </row>
    <row r="101" spans="1:9" ht="15.75" customHeight="1">
      <c r="A101" s="148" t="s">
        <v>61</v>
      </c>
      <c r="B101" s="148"/>
      <c r="C101" s="148"/>
      <c r="D101" s="148"/>
      <c r="E101" s="148"/>
      <c r="F101" s="148"/>
      <c r="G101" s="148"/>
      <c r="H101" s="148"/>
      <c r="I101" s="148"/>
    </row>
    <row r="102" spans="1:9" ht="15.75" customHeight="1">
      <c r="A102" s="11"/>
    </row>
    <row r="103" spans="1:9" ht="15.75" customHeight="1">
      <c r="A103" s="149" t="s">
        <v>9</v>
      </c>
      <c r="B103" s="149"/>
      <c r="C103" s="149"/>
      <c r="D103" s="149"/>
      <c r="E103" s="149"/>
      <c r="F103" s="149"/>
      <c r="G103" s="149"/>
      <c r="H103" s="149"/>
      <c r="I103" s="149"/>
    </row>
    <row r="104" spans="1:9" ht="15.75" customHeight="1">
      <c r="A104" s="4"/>
    </row>
    <row r="105" spans="1:9" ht="15.75" customHeight="1">
      <c r="B105" s="71" t="s">
        <v>10</v>
      </c>
      <c r="C105" s="150" t="s">
        <v>201</v>
      </c>
      <c r="D105" s="150"/>
      <c r="E105" s="150"/>
      <c r="F105" s="150"/>
      <c r="I105" s="74"/>
    </row>
    <row r="106" spans="1:9" ht="15.75" customHeight="1">
      <c r="A106" s="75"/>
      <c r="C106" s="143" t="s">
        <v>11</v>
      </c>
      <c r="D106" s="143"/>
      <c r="E106" s="143"/>
      <c r="F106" s="143"/>
      <c r="I106" s="73" t="s">
        <v>12</v>
      </c>
    </row>
    <row r="107" spans="1:9" ht="15.75" customHeight="1">
      <c r="A107" s="26"/>
      <c r="C107" s="12"/>
      <c r="D107" s="12"/>
      <c r="E107" s="12"/>
      <c r="G107" s="12"/>
      <c r="H107" s="12"/>
    </row>
    <row r="108" spans="1:9" ht="15.75" customHeight="1">
      <c r="B108" s="71" t="s">
        <v>13</v>
      </c>
      <c r="C108" s="145"/>
      <c r="D108" s="145"/>
      <c r="E108" s="145"/>
      <c r="F108" s="145"/>
      <c r="I108" s="74"/>
    </row>
    <row r="109" spans="1:9" ht="15.75" customHeight="1">
      <c r="A109" s="75"/>
      <c r="C109" s="132" t="s">
        <v>11</v>
      </c>
      <c r="D109" s="132"/>
      <c r="E109" s="132"/>
      <c r="F109" s="132"/>
      <c r="I109" s="73" t="s">
        <v>12</v>
      </c>
    </row>
    <row r="110" spans="1:9" ht="15.75" customHeight="1">
      <c r="A110" s="4" t="s">
        <v>14</v>
      </c>
    </row>
    <row r="111" spans="1:9">
      <c r="A111" s="146" t="s">
        <v>15</v>
      </c>
      <c r="B111" s="146"/>
      <c r="C111" s="146"/>
      <c r="D111" s="146"/>
      <c r="E111" s="146"/>
      <c r="F111" s="146"/>
      <c r="G111" s="146"/>
      <c r="H111" s="146"/>
      <c r="I111" s="146"/>
    </row>
    <row r="112" spans="1:9" ht="45" customHeight="1">
      <c r="A112" s="144" t="s">
        <v>16</v>
      </c>
      <c r="B112" s="144"/>
      <c r="C112" s="144"/>
      <c r="D112" s="144"/>
      <c r="E112" s="144"/>
      <c r="F112" s="144"/>
      <c r="G112" s="144"/>
      <c r="H112" s="144"/>
      <c r="I112" s="144"/>
    </row>
    <row r="113" spans="1:9" ht="30" customHeight="1">
      <c r="A113" s="144" t="s">
        <v>17</v>
      </c>
      <c r="B113" s="144"/>
      <c r="C113" s="144"/>
      <c r="D113" s="144"/>
      <c r="E113" s="144"/>
      <c r="F113" s="144"/>
      <c r="G113" s="144"/>
      <c r="H113" s="144"/>
      <c r="I113" s="144"/>
    </row>
    <row r="114" spans="1:9" ht="30" customHeight="1">
      <c r="A114" s="144" t="s">
        <v>21</v>
      </c>
      <c r="B114" s="144"/>
      <c r="C114" s="144"/>
      <c r="D114" s="144"/>
      <c r="E114" s="144"/>
      <c r="F114" s="144"/>
      <c r="G114" s="144"/>
      <c r="H114" s="144"/>
      <c r="I114" s="144"/>
    </row>
    <row r="115" spans="1:9" ht="15" customHeight="1">
      <c r="A115" s="144" t="s">
        <v>20</v>
      </c>
      <c r="B115" s="144"/>
      <c r="C115" s="144"/>
      <c r="D115" s="144"/>
      <c r="E115" s="144"/>
      <c r="F115" s="144"/>
      <c r="G115" s="144"/>
      <c r="H115" s="144"/>
      <c r="I115" s="144"/>
    </row>
  </sheetData>
  <autoFilter ref="I12:I66"/>
  <mergeCells count="29">
    <mergeCell ref="A111:I111"/>
    <mergeCell ref="A112:I112"/>
    <mergeCell ref="A113:I113"/>
    <mergeCell ref="A114:I114"/>
    <mergeCell ref="A115:I115"/>
    <mergeCell ref="R71:U71"/>
    <mergeCell ref="C109:F109"/>
    <mergeCell ref="A86:I86"/>
    <mergeCell ref="A95:I95"/>
    <mergeCell ref="B96:G96"/>
    <mergeCell ref="B97:G97"/>
    <mergeCell ref="A99:I99"/>
    <mergeCell ref="A100:I100"/>
    <mergeCell ref="A101:I101"/>
    <mergeCell ref="A103:I103"/>
    <mergeCell ref="C105:F105"/>
    <mergeCell ref="C106:F106"/>
    <mergeCell ref="C108:F108"/>
    <mergeCell ref="A82:I82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3"/>
  <sheetViews>
    <sheetView topLeftCell="A91" workbookViewId="0">
      <selection activeCell="I102" sqref="I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7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155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3" t="s">
        <v>144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</row>
    <row r="4" spans="1:13" ht="31.5" customHeight="1">
      <c r="A4" s="134" t="s">
        <v>127</v>
      </c>
      <c r="B4" s="134"/>
      <c r="C4" s="134"/>
      <c r="D4" s="134"/>
      <c r="E4" s="134"/>
      <c r="F4" s="134"/>
      <c r="G4" s="134"/>
      <c r="H4" s="134"/>
      <c r="I4" s="134"/>
    </row>
    <row r="5" spans="1:13" ht="15.75" customHeight="1">
      <c r="A5" s="133" t="s">
        <v>202</v>
      </c>
      <c r="B5" s="137"/>
      <c r="C5" s="137"/>
      <c r="D5" s="137"/>
      <c r="E5" s="137"/>
      <c r="F5" s="137"/>
      <c r="G5" s="137"/>
      <c r="H5" s="137"/>
      <c r="I5" s="137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44316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181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129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8" t="s">
        <v>59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90</v>
      </c>
      <c r="D16" s="86" t="s">
        <v>160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88</v>
      </c>
      <c r="C17" s="87" t="s">
        <v>90</v>
      </c>
      <c r="D17" s="86" t="s">
        <v>161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89</v>
      </c>
      <c r="C18" s="87" t="s">
        <v>90</v>
      </c>
      <c r="D18" s="86" t="s">
        <v>162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/>
      <c r="B19" s="86" t="s">
        <v>91</v>
      </c>
      <c r="C19" s="87" t="s">
        <v>86</v>
      </c>
      <c r="D19" s="86" t="s">
        <v>92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93</v>
      </c>
      <c r="C20" s="87" t="s">
        <v>90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94</v>
      </c>
      <c r="C21" s="87" t="s">
        <v>90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/>
      <c r="B22" s="86" t="s">
        <v>95</v>
      </c>
      <c r="C22" s="87" t="s">
        <v>53</v>
      </c>
      <c r="D22" s="86" t="s">
        <v>92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/>
      <c r="B23" s="86" t="s">
        <v>96</v>
      </c>
      <c r="C23" s="87" t="s">
        <v>53</v>
      </c>
      <c r="D23" s="86" t="s">
        <v>92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86" t="s">
        <v>97</v>
      </c>
      <c r="C24" s="87" t="s">
        <v>53</v>
      </c>
      <c r="D24" s="86" t="s">
        <v>92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45">
        <v>6</v>
      </c>
      <c r="B25" s="86" t="s">
        <v>98</v>
      </c>
      <c r="C25" s="87" t="s">
        <v>53</v>
      </c>
      <c r="D25" s="86" t="s">
        <v>92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45"/>
      <c r="B26" s="86" t="s">
        <v>99</v>
      </c>
      <c r="C26" s="87" t="s">
        <v>53</v>
      </c>
      <c r="D26" s="86" t="s">
        <v>92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hidden="1" customHeight="1">
      <c r="A27" s="45">
        <v>4</v>
      </c>
      <c r="B27" s="34" t="s">
        <v>159</v>
      </c>
      <c r="C27" s="44" t="s">
        <v>154</v>
      </c>
      <c r="D27" s="34" t="s">
        <v>163</v>
      </c>
      <c r="E27" s="117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39" t="s">
        <v>81</v>
      </c>
      <c r="B28" s="139"/>
      <c r="C28" s="139"/>
      <c r="D28" s="139"/>
      <c r="E28" s="139"/>
      <c r="F28" s="139"/>
      <c r="G28" s="139"/>
      <c r="H28" s="139"/>
      <c r="I28" s="139"/>
      <c r="J28" s="23"/>
      <c r="K28" s="8"/>
      <c r="L28" s="8"/>
      <c r="M28" s="8"/>
    </row>
    <row r="29" spans="1:13" ht="15.75" hidden="1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hidden="1" customHeight="1">
      <c r="A30" s="45">
        <v>2</v>
      </c>
      <c r="B30" s="86" t="s">
        <v>134</v>
      </c>
      <c r="C30" s="87" t="s">
        <v>100</v>
      </c>
      <c r="D30" s="86" t="s">
        <v>101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hidden="1" customHeight="1">
      <c r="A31" s="45">
        <v>3</v>
      </c>
      <c r="B31" s="86" t="s">
        <v>135</v>
      </c>
      <c r="C31" s="87" t="s">
        <v>100</v>
      </c>
      <c r="D31" s="86" t="s">
        <v>102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4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4</v>
      </c>
      <c r="B32" s="86" t="s">
        <v>26</v>
      </c>
      <c r="C32" s="87" t="s">
        <v>100</v>
      </c>
      <c r="D32" s="86" t="s">
        <v>54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hidden="1" customHeight="1">
      <c r="A33" s="45"/>
      <c r="B33" s="86" t="s">
        <v>103</v>
      </c>
      <c r="C33" s="87" t="s">
        <v>40</v>
      </c>
      <c r="D33" s="86" t="s">
        <v>63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5</v>
      </c>
      <c r="B34" s="86" t="s">
        <v>104</v>
      </c>
      <c r="C34" s="87" t="s">
        <v>29</v>
      </c>
      <c r="D34" s="86" t="s">
        <v>63</v>
      </c>
      <c r="E34" s="94">
        <f>1/3</f>
        <v>0.33333333333333331</v>
      </c>
      <c r="F34" s="89">
        <f>155/3</f>
        <v>51.666666666666664</v>
      </c>
      <c r="G34" s="89">
        <v>70.540000000000006</v>
      </c>
      <c r="H34" s="90">
        <f>SUM(G34*155/3/1000)</f>
        <v>3.644566666666667</v>
      </c>
      <c r="I34" s="13">
        <f t="shared" si="4"/>
        <v>607.42777777777781</v>
      </c>
      <c r="J34" s="24"/>
    </row>
    <row r="35" spans="1:14" ht="15.75" hidden="1" customHeight="1">
      <c r="A35" s="45">
        <v>4</v>
      </c>
      <c r="B35" s="86" t="s">
        <v>64</v>
      </c>
      <c r="C35" s="87" t="s">
        <v>32</v>
      </c>
      <c r="D35" s="86" t="s">
        <v>66</v>
      </c>
      <c r="E35" s="88"/>
      <c r="F35" s="89">
        <v>1</v>
      </c>
      <c r="G35" s="89">
        <v>238.07</v>
      </c>
      <c r="H35" s="90">
        <f t="shared" ref="H35:H36" si="5">SUM(F35*G35/1000)</f>
        <v>0.23807</v>
      </c>
      <c r="I35" s="13">
        <v>0</v>
      </c>
      <c r="J35" s="24"/>
    </row>
    <row r="36" spans="1:14" ht="15.75" hidden="1" customHeight="1">
      <c r="A36" s="30">
        <v>8</v>
      </c>
      <c r="B36" s="86" t="s">
        <v>65</v>
      </c>
      <c r="C36" s="87" t="s">
        <v>31</v>
      </c>
      <c r="D36" s="86" t="s">
        <v>66</v>
      </c>
      <c r="E36" s="88"/>
      <c r="F36" s="89">
        <v>1</v>
      </c>
      <c r="G36" s="89">
        <v>1413.96</v>
      </c>
      <c r="H36" s="90">
        <f t="shared" si="5"/>
        <v>1.4139600000000001</v>
      </c>
      <c r="I36" s="13">
        <v>0</v>
      </c>
      <c r="J36" s="24"/>
    </row>
    <row r="37" spans="1:14" ht="15.75" customHeight="1">
      <c r="A37" s="45"/>
      <c r="B37" s="53" t="s">
        <v>5</v>
      </c>
      <c r="C37" s="53"/>
      <c r="D37" s="53"/>
      <c r="E37" s="53"/>
      <c r="F37" s="13"/>
      <c r="G37" s="14"/>
      <c r="H37" s="14"/>
      <c r="I37" s="19"/>
      <c r="J37" s="24"/>
    </row>
    <row r="38" spans="1:14" ht="15.75" hidden="1" customHeight="1">
      <c r="A38" s="35">
        <v>6</v>
      </c>
      <c r="B38" s="86" t="s">
        <v>25</v>
      </c>
      <c r="C38" s="87" t="s">
        <v>31</v>
      </c>
      <c r="D38" s="86"/>
      <c r="E38" s="88"/>
      <c r="F38" s="89">
        <v>2</v>
      </c>
      <c r="G38" s="89">
        <v>1900.37</v>
      </c>
      <c r="H38" s="90">
        <f t="shared" ref="H38:H43" si="6">SUM(F38*G38/1000)</f>
        <v>3.8007399999999998</v>
      </c>
      <c r="I38" s="13">
        <f t="shared" ref="I38:I41" si="7">F38/6*G38</f>
        <v>633.45666666666659</v>
      </c>
      <c r="J38" s="24"/>
    </row>
    <row r="39" spans="1:14" ht="15.75" customHeight="1">
      <c r="A39" s="35">
        <v>4</v>
      </c>
      <c r="B39" s="86" t="s">
        <v>67</v>
      </c>
      <c r="C39" s="67" t="s">
        <v>28</v>
      </c>
      <c r="D39" s="36" t="s">
        <v>164</v>
      </c>
      <c r="E39" s="37">
        <v>65.25</v>
      </c>
      <c r="F39" s="89">
        <f>SUM(E39*30/1000)</f>
        <v>1.9575</v>
      </c>
      <c r="G39" s="89">
        <v>2616.4899999999998</v>
      </c>
      <c r="H39" s="90">
        <f t="shared" si="6"/>
        <v>5.1217791749999995</v>
      </c>
      <c r="I39" s="13">
        <f t="shared" si="7"/>
        <v>853.62986249999994</v>
      </c>
      <c r="J39" s="24"/>
    </row>
    <row r="40" spans="1:14" ht="15.75" customHeight="1">
      <c r="A40" s="35">
        <v>5</v>
      </c>
      <c r="B40" s="86" t="s">
        <v>68</v>
      </c>
      <c r="C40" s="44" t="s">
        <v>28</v>
      </c>
      <c r="D40" s="34" t="s">
        <v>165</v>
      </c>
      <c r="E40" s="33">
        <v>65.25</v>
      </c>
      <c r="F40" s="89">
        <f>SUM(E40*155/1000)</f>
        <v>10.11375</v>
      </c>
      <c r="G40" s="89">
        <v>436.45</v>
      </c>
      <c r="H40" s="90">
        <f t="shared" si="6"/>
        <v>4.4141461874999992</v>
      </c>
      <c r="I40" s="13">
        <f t="shared" si="7"/>
        <v>735.69103124999992</v>
      </c>
      <c r="J40" s="24"/>
    </row>
    <row r="41" spans="1:14" ht="46.5" customHeight="1">
      <c r="A41" s="35">
        <v>6</v>
      </c>
      <c r="B41" s="86" t="s">
        <v>80</v>
      </c>
      <c r="C41" s="44" t="s">
        <v>100</v>
      </c>
      <c r="D41" s="34" t="s">
        <v>166</v>
      </c>
      <c r="E41" s="33">
        <v>65.25</v>
      </c>
      <c r="F41" s="89">
        <f>SUM(E41*35/1000)</f>
        <v>2.2837499999999999</v>
      </c>
      <c r="G41" s="89">
        <v>7221.21</v>
      </c>
      <c r="H41" s="90">
        <f t="shared" si="6"/>
        <v>16.4914383375</v>
      </c>
      <c r="I41" s="13">
        <f t="shared" si="7"/>
        <v>2748.5730562499998</v>
      </c>
      <c r="J41" s="24"/>
      <c r="L41" s="20"/>
      <c r="M41" s="21"/>
      <c r="N41" s="22"/>
    </row>
    <row r="42" spans="1:14" ht="15.75" hidden="1" customHeight="1">
      <c r="A42" s="35">
        <v>8</v>
      </c>
      <c r="B42" s="86" t="s">
        <v>108</v>
      </c>
      <c r="C42" s="44" t="s">
        <v>100</v>
      </c>
      <c r="D42" s="34" t="s">
        <v>167</v>
      </c>
      <c r="E42" s="33">
        <v>65.25</v>
      </c>
      <c r="F42" s="89">
        <f>SUM(E42*20/1000)</f>
        <v>1.3049999999999999</v>
      </c>
      <c r="G42" s="89">
        <v>533.45000000000005</v>
      </c>
      <c r="H42" s="90">
        <f t="shared" si="6"/>
        <v>0.69615225000000003</v>
      </c>
      <c r="I42" s="13">
        <f>F42/7.5*1.5*G42</f>
        <v>139.23045000000002</v>
      </c>
      <c r="J42" s="24"/>
      <c r="L42" s="20"/>
      <c r="M42" s="21"/>
      <c r="N42" s="22"/>
    </row>
    <row r="43" spans="1:14" ht="15.75" hidden="1" customHeight="1">
      <c r="A43" s="35">
        <v>9</v>
      </c>
      <c r="B43" s="86" t="s">
        <v>69</v>
      </c>
      <c r="C43" s="87" t="s">
        <v>32</v>
      </c>
      <c r="D43" s="86"/>
      <c r="E43" s="88"/>
      <c r="F43" s="89">
        <v>0.5</v>
      </c>
      <c r="G43" s="89">
        <v>992.97</v>
      </c>
      <c r="H43" s="90">
        <f t="shared" si="6"/>
        <v>0.49648500000000001</v>
      </c>
      <c r="I43" s="13">
        <f>F43/7.5*1.5*G43</f>
        <v>99.297000000000011</v>
      </c>
      <c r="J43" s="24"/>
      <c r="L43" s="20"/>
      <c r="M43" s="21"/>
      <c r="N43" s="22"/>
    </row>
    <row r="44" spans="1:14" ht="18.75" hidden="1" customHeight="1">
      <c r="A44" s="140" t="s">
        <v>130</v>
      </c>
      <c r="B44" s="141"/>
      <c r="C44" s="141"/>
      <c r="D44" s="141"/>
      <c r="E44" s="141"/>
      <c r="F44" s="141"/>
      <c r="G44" s="141"/>
      <c r="H44" s="141"/>
      <c r="I44" s="142"/>
      <c r="J44" s="24"/>
      <c r="L44" s="20"/>
      <c r="M44" s="21"/>
      <c r="N44" s="22"/>
    </row>
    <row r="45" spans="1:14" ht="21.75" hidden="1" customHeight="1">
      <c r="A45" s="45">
        <v>15</v>
      </c>
      <c r="B45" s="86" t="s">
        <v>110</v>
      </c>
      <c r="C45" s="87" t="s">
        <v>100</v>
      </c>
      <c r="D45" s="86" t="s">
        <v>42</v>
      </c>
      <c r="E45" s="88">
        <v>1026.8</v>
      </c>
      <c r="F45" s="89">
        <f>SUM(E45*2/1000)</f>
        <v>2.0535999999999999</v>
      </c>
      <c r="G45" s="13">
        <v>1283.46</v>
      </c>
      <c r="H45" s="90">
        <f t="shared" ref="H45:H55" si="8">SUM(F45*G45/1000)</f>
        <v>2.635713456</v>
      </c>
      <c r="I45" s="13">
        <v>0</v>
      </c>
      <c r="J45" s="24"/>
      <c r="L45" s="20"/>
      <c r="M45" s="21"/>
      <c r="N45" s="22"/>
    </row>
    <row r="46" spans="1:14" ht="25.5" hidden="1" customHeight="1">
      <c r="A46" s="45"/>
      <c r="B46" s="86" t="s">
        <v>35</v>
      </c>
      <c r="C46" s="87" t="s">
        <v>100</v>
      </c>
      <c r="D46" s="86" t="s">
        <v>42</v>
      </c>
      <c r="E46" s="88">
        <v>19.8</v>
      </c>
      <c r="F46" s="89">
        <f>SUM(E46*2/1000)</f>
        <v>3.9600000000000003E-2</v>
      </c>
      <c r="G46" s="13">
        <v>4192.6400000000003</v>
      </c>
      <c r="H46" s="90">
        <f t="shared" si="8"/>
        <v>0.16602854400000003</v>
      </c>
      <c r="I46" s="13">
        <v>0</v>
      </c>
      <c r="J46" s="24"/>
      <c r="L46" s="20"/>
      <c r="M46" s="21"/>
      <c r="N46" s="22"/>
    </row>
    <row r="47" spans="1:14" ht="19.5" hidden="1" customHeight="1">
      <c r="A47" s="45">
        <v>16</v>
      </c>
      <c r="B47" s="86" t="s">
        <v>36</v>
      </c>
      <c r="C47" s="87" t="s">
        <v>100</v>
      </c>
      <c r="D47" s="86" t="s">
        <v>42</v>
      </c>
      <c r="E47" s="88">
        <v>660.84</v>
      </c>
      <c r="F47" s="89">
        <f>SUM(E47*2/1000)</f>
        <v>1.32168</v>
      </c>
      <c r="G47" s="13">
        <v>1711.28</v>
      </c>
      <c r="H47" s="90">
        <f t="shared" si="8"/>
        <v>2.2617645503999997</v>
      </c>
      <c r="I47" s="13">
        <v>0</v>
      </c>
      <c r="J47" s="24"/>
      <c r="L47" s="20"/>
      <c r="M47" s="21"/>
      <c r="N47" s="22"/>
    </row>
    <row r="48" spans="1:14" ht="21.75" hidden="1" customHeight="1">
      <c r="A48" s="45">
        <v>17</v>
      </c>
      <c r="B48" s="86" t="s">
        <v>37</v>
      </c>
      <c r="C48" s="87" t="s">
        <v>100</v>
      </c>
      <c r="D48" s="86" t="s">
        <v>42</v>
      </c>
      <c r="E48" s="88">
        <v>1156.21</v>
      </c>
      <c r="F48" s="89">
        <f>SUM(E48*2/1000)</f>
        <v>2.3124199999999999</v>
      </c>
      <c r="G48" s="13">
        <v>1179.73</v>
      </c>
      <c r="H48" s="90">
        <f t="shared" si="8"/>
        <v>2.7280312466000001</v>
      </c>
      <c r="I48" s="13">
        <v>0</v>
      </c>
      <c r="J48" s="24"/>
      <c r="L48" s="20"/>
      <c r="M48" s="21"/>
      <c r="N48" s="22"/>
    </row>
    <row r="49" spans="1:14" ht="20.25" hidden="1" customHeight="1">
      <c r="A49" s="45">
        <v>18</v>
      </c>
      <c r="B49" s="86" t="s">
        <v>33</v>
      </c>
      <c r="C49" s="87" t="s">
        <v>34</v>
      </c>
      <c r="D49" s="86" t="s">
        <v>42</v>
      </c>
      <c r="E49" s="88">
        <v>15</v>
      </c>
      <c r="F49" s="89">
        <f>SUM(E49*2/100)</f>
        <v>0.3</v>
      </c>
      <c r="G49" s="13">
        <v>90.61</v>
      </c>
      <c r="H49" s="90">
        <f t="shared" si="8"/>
        <v>2.7182999999999999E-2</v>
      </c>
      <c r="I49" s="13">
        <v>0</v>
      </c>
      <c r="J49" s="24"/>
      <c r="L49" s="20"/>
      <c r="M49" s="21"/>
      <c r="N49" s="22"/>
    </row>
    <row r="50" spans="1:14" ht="19.5" hidden="1" customHeight="1">
      <c r="A50" s="45">
        <v>12</v>
      </c>
      <c r="B50" s="86" t="s">
        <v>56</v>
      </c>
      <c r="C50" s="87" t="s">
        <v>100</v>
      </c>
      <c r="D50" s="86" t="s">
        <v>137</v>
      </c>
      <c r="E50" s="88">
        <v>1803.1</v>
      </c>
      <c r="F50" s="89">
        <f>SUM(E50*5/1000)</f>
        <v>9.0154999999999994</v>
      </c>
      <c r="G50" s="13">
        <v>1711.28</v>
      </c>
      <c r="H50" s="90">
        <f t="shared" si="8"/>
        <v>15.428044839999998</v>
      </c>
      <c r="I50" s="13">
        <f>F50/5*G50</f>
        <v>3085.608968</v>
      </c>
      <c r="J50" s="24"/>
      <c r="L50" s="20"/>
      <c r="M50" s="21"/>
      <c r="N50" s="22"/>
    </row>
    <row r="51" spans="1:14" ht="21" hidden="1" customHeight="1">
      <c r="A51" s="45">
        <v>12</v>
      </c>
      <c r="B51" s="86" t="s">
        <v>111</v>
      </c>
      <c r="C51" s="87" t="s">
        <v>100</v>
      </c>
      <c r="D51" s="86" t="s">
        <v>42</v>
      </c>
      <c r="E51" s="88">
        <v>1803.1</v>
      </c>
      <c r="F51" s="89">
        <f>SUM(E51*2/1000)</f>
        <v>3.6061999999999999</v>
      </c>
      <c r="G51" s="13">
        <v>1510.06</v>
      </c>
      <c r="H51" s="90">
        <f t="shared" si="8"/>
        <v>5.4455783719999999</v>
      </c>
      <c r="I51" s="13">
        <f>F51/2*G51</f>
        <v>2722.789186</v>
      </c>
      <c r="J51" s="24"/>
      <c r="L51" s="20"/>
      <c r="M51" s="21"/>
      <c r="N51" s="22"/>
    </row>
    <row r="52" spans="1:14" ht="18" hidden="1" customHeight="1">
      <c r="A52" s="45">
        <v>13</v>
      </c>
      <c r="B52" s="86" t="s">
        <v>112</v>
      </c>
      <c r="C52" s="87" t="s">
        <v>38</v>
      </c>
      <c r="D52" s="86" t="s">
        <v>42</v>
      </c>
      <c r="E52" s="88">
        <v>9</v>
      </c>
      <c r="F52" s="89">
        <f>SUM(E52*2/100)</f>
        <v>0.18</v>
      </c>
      <c r="G52" s="13">
        <v>3850.4</v>
      </c>
      <c r="H52" s="90">
        <f t="shared" si="8"/>
        <v>0.69307200000000002</v>
      </c>
      <c r="I52" s="13">
        <f>F52/2*G52</f>
        <v>346.536</v>
      </c>
      <c r="J52" s="24"/>
      <c r="L52" s="20"/>
      <c r="M52" s="21"/>
      <c r="N52" s="22"/>
    </row>
    <row r="53" spans="1:14" ht="18.75" hidden="1" customHeight="1">
      <c r="A53" s="45">
        <v>14</v>
      </c>
      <c r="B53" s="86" t="s">
        <v>39</v>
      </c>
      <c r="C53" s="87" t="s">
        <v>40</v>
      </c>
      <c r="D53" s="86" t="s">
        <v>42</v>
      </c>
      <c r="E53" s="88">
        <v>1</v>
      </c>
      <c r="F53" s="89">
        <v>0.02</v>
      </c>
      <c r="G53" s="13">
        <v>7033.13</v>
      </c>
      <c r="H53" s="90">
        <f t="shared" si="8"/>
        <v>0.1406626</v>
      </c>
      <c r="I53" s="13">
        <f>F53/2*G53</f>
        <v>70.331299999999999</v>
      </c>
      <c r="J53" s="24"/>
      <c r="L53" s="20"/>
      <c r="M53" s="21"/>
      <c r="N53" s="22"/>
    </row>
    <row r="54" spans="1:14" ht="15" hidden="1" customHeight="1">
      <c r="A54" s="45">
        <v>8</v>
      </c>
      <c r="B54" s="86" t="s">
        <v>136</v>
      </c>
      <c r="C54" s="87" t="s">
        <v>29</v>
      </c>
      <c r="D54" s="118">
        <v>43581</v>
      </c>
      <c r="E54" s="88">
        <v>36</v>
      </c>
      <c r="F54" s="89">
        <f>E54*3</f>
        <v>108</v>
      </c>
      <c r="G54" s="13">
        <v>175.6</v>
      </c>
      <c r="H54" s="90">
        <f t="shared" si="8"/>
        <v>18.9648</v>
      </c>
      <c r="I54" s="13">
        <f>E54*G54</f>
        <v>6321.5999999999995</v>
      </c>
      <c r="J54" s="24"/>
      <c r="L54" s="20"/>
      <c r="M54" s="21"/>
      <c r="N54" s="22"/>
    </row>
    <row r="55" spans="1:14" ht="15.75" hidden="1" customHeight="1">
      <c r="A55" s="45">
        <v>9</v>
      </c>
      <c r="B55" s="86" t="s">
        <v>41</v>
      </c>
      <c r="C55" s="87" t="s">
        <v>29</v>
      </c>
      <c r="D55" s="118">
        <v>43581</v>
      </c>
      <c r="E55" s="88">
        <v>36</v>
      </c>
      <c r="F55" s="89">
        <f>SUM(E55)*3</f>
        <v>108</v>
      </c>
      <c r="G55" s="13">
        <v>81.73</v>
      </c>
      <c r="H55" s="90">
        <f t="shared" si="8"/>
        <v>8.8268400000000007</v>
      </c>
      <c r="I55" s="13">
        <f>E55*G55</f>
        <v>2942.28</v>
      </c>
      <c r="J55" s="24"/>
      <c r="L55" s="20"/>
      <c r="M55" s="21"/>
      <c r="N55" s="22"/>
    </row>
    <row r="56" spans="1:14" ht="15.75" customHeight="1">
      <c r="A56" s="140" t="s">
        <v>142</v>
      </c>
      <c r="B56" s="141"/>
      <c r="C56" s="141"/>
      <c r="D56" s="141"/>
      <c r="E56" s="141"/>
      <c r="F56" s="141"/>
      <c r="G56" s="141"/>
      <c r="H56" s="141"/>
      <c r="I56" s="142"/>
      <c r="J56" s="24"/>
      <c r="L56" s="20"/>
      <c r="M56" s="21"/>
      <c r="N56" s="22"/>
    </row>
    <row r="57" spans="1:14" ht="15.75" hidden="1" customHeight="1">
      <c r="A57" s="57"/>
      <c r="B57" s="52" t="s">
        <v>43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5">
        <v>15</v>
      </c>
      <c r="B58" s="86" t="s">
        <v>114</v>
      </c>
      <c r="C58" s="87" t="s">
        <v>90</v>
      </c>
      <c r="D58" s="86" t="s">
        <v>71</v>
      </c>
      <c r="E58" s="88">
        <v>12</v>
      </c>
      <c r="F58" s="89">
        <f>E58*6/100</f>
        <v>0.72</v>
      </c>
      <c r="G58" s="95">
        <v>2306.62</v>
      </c>
      <c r="H58" s="90">
        <f>F58*G58/1000</f>
        <v>1.6607663999999998</v>
      </c>
      <c r="I58" s="13">
        <f>F58/6*G58</f>
        <v>276.7944</v>
      </c>
      <c r="J58" s="24"/>
      <c r="L58" s="20"/>
      <c r="M58" s="21"/>
      <c r="N58" s="22"/>
    </row>
    <row r="59" spans="1:14" ht="15.75" hidden="1" customHeight="1">
      <c r="A59" s="45">
        <v>10</v>
      </c>
      <c r="B59" s="96" t="s">
        <v>83</v>
      </c>
      <c r="C59" s="97" t="s">
        <v>115</v>
      </c>
      <c r="D59" s="96" t="s">
        <v>176</v>
      </c>
      <c r="E59" s="98"/>
      <c r="F59" s="99">
        <v>2</v>
      </c>
      <c r="G59" s="100">
        <v>1501</v>
      </c>
      <c r="H59" s="90">
        <f>F59*G59/1000</f>
        <v>3.0019999999999998</v>
      </c>
      <c r="I59" s="13">
        <f>G59*1</f>
        <v>1501</v>
      </c>
      <c r="J59" s="24"/>
      <c r="L59" s="20"/>
      <c r="M59" s="21"/>
      <c r="N59" s="22"/>
    </row>
    <row r="60" spans="1:14" ht="15.75" hidden="1" customHeight="1">
      <c r="A60" s="45"/>
      <c r="B60" s="77" t="s">
        <v>44</v>
      </c>
      <c r="C60" s="77"/>
      <c r="D60" s="77"/>
      <c r="E60" s="77"/>
      <c r="F60" s="77"/>
      <c r="G60" s="68"/>
      <c r="H60" s="68"/>
      <c r="I60" s="39"/>
      <c r="J60" s="24"/>
      <c r="L60" s="20"/>
      <c r="M60" s="21"/>
      <c r="N60" s="22"/>
    </row>
    <row r="61" spans="1:14" ht="15.75" hidden="1" customHeight="1">
      <c r="A61" s="45">
        <v>27</v>
      </c>
      <c r="B61" s="96" t="s">
        <v>45</v>
      </c>
      <c r="C61" s="97" t="s">
        <v>53</v>
      </c>
      <c r="D61" s="96" t="s">
        <v>54</v>
      </c>
      <c r="E61" s="98">
        <v>177</v>
      </c>
      <c r="F61" s="99">
        <f>E61/100</f>
        <v>1.77</v>
      </c>
      <c r="G61" s="100">
        <v>987.51</v>
      </c>
      <c r="H61" s="101">
        <f>G61*F61/1000</f>
        <v>1.7478927000000002</v>
      </c>
      <c r="I61" s="13">
        <v>0</v>
      </c>
      <c r="J61" s="24"/>
      <c r="L61" s="20"/>
      <c r="M61" s="21"/>
      <c r="N61" s="22"/>
    </row>
    <row r="62" spans="1:14" ht="15.75" customHeight="1">
      <c r="A62" s="45"/>
      <c r="B62" s="77" t="s">
        <v>46</v>
      </c>
      <c r="C62" s="17"/>
      <c r="D62" s="41"/>
      <c r="E62" s="41"/>
      <c r="F62" s="16"/>
      <c r="G62" s="69"/>
      <c r="H62" s="68"/>
      <c r="I62" s="19"/>
      <c r="J62" s="24"/>
      <c r="L62" s="20"/>
      <c r="M62" s="21"/>
      <c r="N62" s="22"/>
    </row>
    <row r="63" spans="1:14" ht="15.75" hidden="1" customHeight="1">
      <c r="A63" s="45">
        <v>17</v>
      </c>
      <c r="B63" s="15" t="s">
        <v>47</v>
      </c>
      <c r="C63" s="17" t="s">
        <v>113</v>
      </c>
      <c r="D63" s="15" t="s">
        <v>66</v>
      </c>
      <c r="E63" s="19">
        <v>1</v>
      </c>
      <c r="F63" s="89">
        <f>E63</f>
        <v>1</v>
      </c>
      <c r="G63" s="13">
        <v>276.74</v>
      </c>
      <c r="H63" s="102">
        <f t="shared" ref="H63:H71" si="9">SUM(F63*G63/1000)</f>
        <v>0.27673999999999999</v>
      </c>
      <c r="I63" s="13">
        <v>0</v>
      </c>
      <c r="J63" s="24"/>
      <c r="L63" s="20"/>
      <c r="M63" s="21"/>
      <c r="N63" s="22"/>
    </row>
    <row r="64" spans="1:14" ht="15.75" hidden="1" customHeight="1">
      <c r="A64" s="30">
        <v>29</v>
      </c>
      <c r="B64" s="15" t="s">
        <v>48</v>
      </c>
      <c r="C64" s="17" t="s">
        <v>113</v>
      </c>
      <c r="D64" s="15" t="s">
        <v>66</v>
      </c>
      <c r="E64" s="19">
        <v>3</v>
      </c>
      <c r="F64" s="89">
        <v>3</v>
      </c>
      <c r="G64" s="13">
        <v>94.89</v>
      </c>
      <c r="H64" s="102">
        <f t="shared" si="9"/>
        <v>0.28467000000000003</v>
      </c>
      <c r="I64" s="13">
        <v>0</v>
      </c>
      <c r="J64" s="24"/>
      <c r="L64" s="20"/>
    </row>
    <row r="65" spans="1:22" ht="15.75" hidden="1" customHeight="1">
      <c r="A65" s="30">
        <v>8</v>
      </c>
      <c r="B65" s="15" t="s">
        <v>49</v>
      </c>
      <c r="C65" s="17" t="s">
        <v>116</v>
      </c>
      <c r="D65" s="15" t="s">
        <v>54</v>
      </c>
      <c r="E65" s="88">
        <v>7265</v>
      </c>
      <c r="F65" s="13">
        <f>SUM(E65/100)</f>
        <v>72.650000000000006</v>
      </c>
      <c r="G65" s="13">
        <v>263.99</v>
      </c>
      <c r="H65" s="102">
        <f t="shared" si="9"/>
        <v>19.178873500000002</v>
      </c>
      <c r="I65" s="13">
        <v>0</v>
      </c>
    </row>
    <row r="66" spans="1:22" ht="15.75" hidden="1" customHeight="1">
      <c r="A66" s="30">
        <v>9</v>
      </c>
      <c r="B66" s="15" t="s">
        <v>50</v>
      </c>
      <c r="C66" s="17" t="s">
        <v>117</v>
      </c>
      <c r="D66" s="15" t="s">
        <v>54</v>
      </c>
      <c r="E66" s="88">
        <v>7265</v>
      </c>
      <c r="F66" s="13">
        <f>SUM(E66/1000)</f>
        <v>7.2649999999999997</v>
      </c>
      <c r="G66" s="13">
        <v>205.57</v>
      </c>
      <c r="H66" s="102">
        <f t="shared" si="9"/>
        <v>1.4934660500000001</v>
      </c>
      <c r="I66" s="13">
        <v>0</v>
      </c>
    </row>
    <row r="67" spans="1:22" ht="15.75" hidden="1" customHeight="1">
      <c r="A67" s="30">
        <v>10</v>
      </c>
      <c r="B67" s="15" t="s">
        <v>51</v>
      </c>
      <c r="C67" s="17" t="s">
        <v>76</v>
      </c>
      <c r="D67" s="15" t="s">
        <v>54</v>
      </c>
      <c r="E67" s="88">
        <v>1090</v>
      </c>
      <c r="F67" s="13">
        <f>SUM(E67/100)</f>
        <v>10.9</v>
      </c>
      <c r="G67" s="13">
        <v>2581.5300000000002</v>
      </c>
      <c r="H67" s="102">
        <f t="shared" si="9"/>
        <v>28.138677000000005</v>
      </c>
      <c r="I67" s="13">
        <v>0</v>
      </c>
    </row>
    <row r="68" spans="1:22" ht="15.75" hidden="1" customHeight="1">
      <c r="A68" s="30">
        <v>11</v>
      </c>
      <c r="B68" s="103" t="s">
        <v>118</v>
      </c>
      <c r="C68" s="17" t="s">
        <v>32</v>
      </c>
      <c r="D68" s="15"/>
      <c r="E68" s="88">
        <v>7.4</v>
      </c>
      <c r="F68" s="13">
        <f>SUM(E68)</f>
        <v>7.4</v>
      </c>
      <c r="G68" s="13">
        <v>47.45</v>
      </c>
      <c r="H68" s="102">
        <f t="shared" si="9"/>
        <v>0.35113000000000005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30">
        <v>12</v>
      </c>
      <c r="B69" s="103" t="s">
        <v>138</v>
      </c>
      <c r="C69" s="17" t="s">
        <v>32</v>
      </c>
      <c r="D69" s="15"/>
      <c r="E69" s="88">
        <v>7.4</v>
      </c>
      <c r="F69" s="13">
        <f>SUM(E69)</f>
        <v>7.4</v>
      </c>
      <c r="G69" s="13">
        <v>44.27</v>
      </c>
      <c r="H69" s="102">
        <f t="shared" si="9"/>
        <v>0.327598</v>
      </c>
      <c r="I69" s="13">
        <v>0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30">
        <v>13</v>
      </c>
      <c r="B70" s="15" t="s">
        <v>57</v>
      </c>
      <c r="C70" s="17" t="s">
        <v>58</v>
      </c>
      <c r="D70" s="15" t="s">
        <v>54</v>
      </c>
      <c r="E70" s="19">
        <v>3</v>
      </c>
      <c r="F70" s="89">
        <f>SUM(E70)</f>
        <v>3</v>
      </c>
      <c r="G70" s="13">
        <v>62.07</v>
      </c>
      <c r="H70" s="102">
        <f t="shared" si="9"/>
        <v>0.18621000000000001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customHeight="1">
      <c r="A71" s="30">
        <v>7</v>
      </c>
      <c r="B71" s="15" t="s">
        <v>84</v>
      </c>
      <c r="C71" s="30" t="s">
        <v>119</v>
      </c>
      <c r="D71" s="15"/>
      <c r="E71" s="19">
        <v>1803.1</v>
      </c>
      <c r="F71" s="89">
        <f>SUM(E71*12)</f>
        <v>21637.199999999997</v>
      </c>
      <c r="G71" s="13">
        <v>2.16</v>
      </c>
      <c r="H71" s="102">
        <f t="shared" si="9"/>
        <v>46.736351999999997</v>
      </c>
      <c r="I71" s="13">
        <f>F71/12*G71</f>
        <v>3894.6959999999995</v>
      </c>
      <c r="J71" s="5"/>
      <c r="K71" s="5"/>
      <c r="L71" s="5"/>
      <c r="M71" s="5"/>
      <c r="N71" s="5"/>
      <c r="O71" s="5"/>
      <c r="P71" s="5"/>
      <c r="Q71" s="5"/>
      <c r="R71" s="132"/>
      <c r="S71" s="132"/>
      <c r="T71" s="132"/>
      <c r="U71" s="132"/>
    </row>
    <row r="72" spans="1:22" ht="15.75" hidden="1" customHeight="1">
      <c r="A72" s="30"/>
      <c r="B72" s="53" t="s">
        <v>72</v>
      </c>
      <c r="C72" s="53"/>
      <c r="D72" s="53"/>
      <c r="E72" s="53"/>
      <c r="F72" s="19"/>
      <c r="G72" s="30"/>
      <c r="H72" s="30"/>
      <c r="I72" s="19"/>
    </row>
    <row r="73" spans="1:22" ht="15.75" hidden="1" customHeight="1">
      <c r="A73" s="30"/>
      <c r="B73" s="15" t="s">
        <v>121</v>
      </c>
      <c r="C73" s="17" t="s">
        <v>122</v>
      </c>
      <c r="D73" s="15" t="s">
        <v>66</v>
      </c>
      <c r="E73" s="19">
        <v>1</v>
      </c>
      <c r="F73" s="13">
        <f>E73</f>
        <v>1</v>
      </c>
      <c r="G73" s="13">
        <v>976.4</v>
      </c>
      <c r="H73" s="102">
        <f t="shared" ref="H73:H77" si="10">SUM(F73*G73/1000)</f>
        <v>0.97639999999999993</v>
      </c>
      <c r="I73" s="13">
        <v>0</v>
      </c>
    </row>
    <row r="74" spans="1:22" ht="15.75" hidden="1" customHeight="1">
      <c r="A74" s="30"/>
      <c r="B74" s="15" t="s">
        <v>123</v>
      </c>
      <c r="C74" s="17" t="s">
        <v>124</v>
      </c>
      <c r="D74" s="15"/>
      <c r="E74" s="19">
        <v>1</v>
      </c>
      <c r="F74" s="13">
        <v>1</v>
      </c>
      <c r="G74" s="13">
        <v>650</v>
      </c>
      <c r="H74" s="102">
        <f t="shared" si="10"/>
        <v>0.65</v>
      </c>
      <c r="I74" s="13">
        <v>0</v>
      </c>
    </row>
    <row r="75" spans="1:22" ht="15.75" hidden="1" customHeight="1">
      <c r="A75" s="30"/>
      <c r="B75" s="15" t="s">
        <v>73</v>
      </c>
      <c r="C75" s="17" t="s">
        <v>30</v>
      </c>
      <c r="D75" s="15" t="s">
        <v>66</v>
      </c>
      <c r="E75" s="19">
        <v>3</v>
      </c>
      <c r="F75" s="13">
        <f>E75/10</f>
        <v>0.3</v>
      </c>
      <c r="G75" s="13">
        <v>624.16999999999996</v>
      </c>
      <c r="H75" s="102">
        <f t="shared" si="10"/>
        <v>0.18725099999999997</v>
      </c>
      <c r="I75" s="13">
        <v>0</v>
      </c>
    </row>
    <row r="76" spans="1:22" ht="15.75" hidden="1" customHeight="1">
      <c r="A76" s="30"/>
      <c r="B76" s="15" t="s">
        <v>74</v>
      </c>
      <c r="C76" s="17" t="s">
        <v>29</v>
      </c>
      <c r="D76" s="15" t="s">
        <v>66</v>
      </c>
      <c r="E76" s="19">
        <v>1</v>
      </c>
      <c r="F76" s="13">
        <v>1</v>
      </c>
      <c r="G76" s="13">
        <v>1061.4100000000001</v>
      </c>
      <c r="H76" s="102">
        <f t="shared" si="10"/>
        <v>1.0614100000000002</v>
      </c>
      <c r="I76" s="13">
        <v>0</v>
      </c>
    </row>
    <row r="77" spans="1:22" ht="15.75" hidden="1" customHeight="1">
      <c r="A77" s="30">
        <v>17</v>
      </c>
      <c r="B77" s="15" t="s">
        <v>85</v>
      </c>
      <c r="C77" s="17" t="s">
        <v>29</v>
      </c>
      <c r="D77" s="15" t="s">
        <v>66</v>
      </c>
      <c r="E77" s="19">
        <v>1</v>
      </c>
      <c r="F77" s="89">
        <f>SUM(E77)</f>
        <v>1</v>
      </c>
      <c r="G77" s="13">
        <v>446.12</v>
      </c>
      <c r="H77" s="102">
        <f t="shared" si="10"/>
        <v>0.44612000000000002</v>
      </c>
      <c r="I77" s="13">
        <v>0</v>
      </c>
    </row>
    <row r="78" spans="1:22" ht="15.75" hidden="1" customHeight="1">
      <c r="A78" s="30"/>
      <c r="B78" s="54" t="s">
        <v>75</v>
      </c>
      <c r="C78" s="42"/>
      <c r="D78" s="30"/>
      <c r="E78" s="30"/>
      <c r="F78" s="19"/>
      <c r="G78" s="40" t="s">
        <v>128</v>
      </c>
      <c r="H78" s="40"/>
      <c r="I78" s="19"/>
    </row>
    <row r="79" spans="1:22" ht="15.75" hidden="1" customHeight="1">
      <c r="A79" s="30">
        <v>39</v>
      </c>
      <c r="B79" s="56" t="s">
        <v>125</v>
      </c>
      <c r="C79" s="17" t="s">
        <v>76</v>
      </c>
      <c r="D79" s="15"/>
      <c r="E79" s="19"/>
      <c r="F79" s="13">
        <v>1.35</v>
      </c>
      <c r="G79" s="13">
        <v>3433.68</v>
      </c>
      <c r="H79" s="102">
        <f t="shared" ref="H79" si="11">SUM(F79*G79/1000)</f>
        <v>4.6354679999999995</v>
      </c>
      <c r="I79" s="13">
        <v>0</v>
      </c>
    </row>
    <row r="80" spans="1:22" ht="15.75" hidden="1" customHeight="1">
      <c r="A80" s="57"/>
      <c r="B80" s="77" t="s">
        <v>120</v>
      </c>
      <c r="C80" s="77"/>
      <c r="D80" s="77"/>
      <c r="E80" s="77"/>
      <c r="F80" s="77"/>
      <c r="G80" s="77"/>
      <c r="H80" s="77"/>
      <c r="I80" s="19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9" ht="15.75" hidden="1" customHeight="1">
      <c r="A81" s="30">
        <v>36</v>
      </c>
      <c r="B81" s="86" t="s">
        <v>87</v>
      </c>
      <c r="C81" s="17"/>
      <c r="D81" s="15"/>
      <c r="E81" s="104"/>
      <c r="F81" s="13">
        <v>1</v>
      </c>
      <c r="G81" s="13">
        <v>14156.3</v>
      </c>
      <c r="H81" s="102">
        <f>G81*F81/1000</f>
        <v>14.1563</v>
      </c>
      <c r="I81" s="13">
        <v>0</v>
      </c>
    </row>
    <row r="82" spans="1:9" ht="15.75" customHeight="1">
      <c r="A82" s="125" t="s">
        <v>143</v>
      </c>
      <c r="B82" s="126"/>
      <c r="C82" s="126"/>
      <c r="D82" s="126"/>
      <c r="E82" s="126"/>
      <c r="F82" s="126"/>
      <c r="G82" s="126"/>
      <c r="H82" s="126"/>
      <c r="I82" s="127"/>
    </row>
    <row r="83" spans="1:9" ht="15.75" customHeight="1">
      <c r="A83" s="30">
        <v>8</v>
      </c>
      <c r="B83" s="86" t="s">
        <v>126</v>
      </c>
      <c r="C83" s="17" t="s">
        <v>55</v>
      </c>
      <c r="D83" s="105"/>
      <c r="E83" s="13">
        <v>1803.1</v>
      </c>
      <c r="F83" s="13">
        <f>SUM(E83*12)</f>
        <v>21637.199999999997</v>
      </c>
      <c r="G83" s="13">
        <v>2.95</v>
      </c>
      <c r="H83" s="102">
        <f>SUM(F83*G83/1000)</f>
        <v>63.829740000000001</v>
      </c>
      <c r="I83" s="13">
        <f>F83/12*G83</f>
        <v>5319.1449999999995</v>
      </c>
    </row>
    <row r="84" spans="1:9" ht="31.5" customHeight="1">
      <c r="A84" s="30">
        <v>9</v>
      </c>
      <c r="B84" s="15" t="s">
        <v>77</v>
      </c>
      <c r="C84" s="17"/>
      <c r="D84" s="105"/>
      <c r="E84" s="88">
        <v>1803.1</v>
      </c>
      <c r="F84" s="13">
        <f>E84*12</f>
        <v>21637.199999999997</v>
      </c>
      <c r="G84" s="13">
        <v>3.05</v>
      </c>
      <c r="H84" s="102">
        <f>F84*G84/1000</f>
        <v>65.993459999999999</v>
      </c>
      <c r="I84" s="13">
        <f>F84/12*G84</f>
        <v>5499.454999999999</v>
      </c>
    </row>
    <row r="85" spans="1:9" ht="15.75" customHeight="1">
      <c r="A85" s="57"/>
      <c r="B85" s="43" t="s">
        <v>79</v>
      </c>
      <c r="C85" s="45"/>
      <c r="D85" s="16"/>
      <c r="E85" s="16"/>
      <c r="F85" s="16"/>
      <c r="G85" s="19"/>
      <c r="H85" s="19"/>
      <c r="I85" s="32">
        <f>I84+I83+I71+I41+I40+I39+I18+I17+I16</f>
        <v>24683.646229666665</v>
      </c>
    </row>
    <row r="86" spans="1:9" ht="15.75" customHeight="1">
      <c r="A86" s="128" t="s">
        <v>60</v>
      </c>
      <c r="B86" s="129"/>
      <c r="C86" s="129"/>
      <c r="D86" s="129"/>
      <c r="E86" s="129"/>
      <c r="F86" s="129"/>
      <c r="G86" s="129"/>
      <c r="H86" s="129"/>
      <c r="I86" s="130"/>
    </row>
    <row r="87" spans="1:9" ht="18" customHeight="1">
      <c r="A87" s="106">
        <v>10</v>
      </c>
      <c r="B87" s="15" t="s">
        <v>153</v>
      </c>
      <c r="C87" s="17" t="s">
        <v>154</v>
      </c>
      <c r="D87" s="15"/>
      <c r="E87" s="19"/>
      <c r="F87" s="13">
        <v>24</v>
      </c>
      <c r="G87" s="13">
        <v>1.4</v>
      </c>
      <c r="H87" s="13">
        <f>F87*G87/1000</f>
        <v>3.3599999999999991E-2</v>
      </c>
      <c r="I87" s="13">
        <f>G87*12</f>
        <v>16.799999999999997</v>
      </c>
    </row>
    <row r="88" spans="1:9" ht="33" customHeight="1">
      <c r="A88" s="106">
        <v>11</v>
      </c>
      <c r="B88" s="107" t="s">
        <v>157</v>
      </c>
      <c r="C88" s="108" t="s">
        <v>28</v>
      </c>
      <c r="D88" s="41"/>
      <c r="E88" s="18"/>
      <c r="F88" s="116">
        <f>0.599*12/1000</f>
        <v>7.1879999999999999E-3</v>
      </c>
      <c r="G88" s="113">
        <v>21369.24</v>
      </c>
      <c r="H88" s="13"/>
      <c r="I88" s="13">
        <f>G88*0.599*3/1000</f>
        <v>38.400524279999999</v>
      </c>
    </row>
    <row r="89" spans="1:9" ht="33" customHeight="1">
      <c r="A89" s="106">
        <v>12</v>
      </c>
      <c r="B89" s="114" t="s">
        <v>203</v>
      </c>
      <c r="C89" s="115" t="s">
        <v>178</v>
      </c>
      <c r="D89" s="41" t="s">
        <v>204</v>
      </c>
      <c r="E89" s="18"/>
      <c r="F89" s="40">
        <v>1</v>
      </c>
      <c r="G89" s="40">
        <v>614.47</v>
      </c>
      <c r="H89" s="13"/>
      <c r="I89" s="13">
        <f>G89*1</f>
        <v>614.47</v>
      </c>
    </row>
    <row r="90" spans="1:9" ht="15.75" customHeight="1">
      <c r="A90" s="30"/>
      <c r="B90" s="50" t="s">
        <v>52</v>
      </c>
      <c r="C90" s="46"/>
      <c r="D90" s="58"/>
      <c r="E90" s="58"/>
      <c r="F90" s="46">
        <v>1</v>
      </c>
      <c r="G90" s="46"/>
      <c r="H90" s="46"/>
      <c r="I90" s="32">
        <f>SUM(I87:I89)</f>
        <v>669.67052428</v>
      </c>
    </row>
    <row r="91" spans="1:9" ht="15.75" customHeight="1">
      <c r="A91" s="30"/>
      <c r="B91" s="56" t="s">
        <v>78</v>
      </c>
      <c r="C91" s="16"/>
      <c r="D91" s="16"/>
      <c r="E91" s="16"/>
      <c r="F91" s="47"/>
      <c r="G91" s="48"/>
      <c r="H91" s="48"/>
      <c r="I91" s="18">
        <v>0</v>
      </c>
    </row>
    <row r="92" spans="1:9" ht="15.75" customHeight="1">
      <c r="A92" s="59"/>
      <c r="B92" s="51" t="s">
        <v>133</v>
      </c>
      <c r="C92" s="38"/>
      <c r="D92" s="38"/>
      <c r="E92" s="38"/>
      <c r="F92" s="38"/>
      <c r="G92" s="38"/>
      <c r="H92" s="38"/>
      <c r="I92" s="49">
        <f>I85+I90</f>
        <v>25353.316753946667</v>
      </c>
    </row>
    <row r="93" spans="1:9" ht="15.75" customHeight="1">
      <c r="A93" s="131" t="s">
        <v>205</v>
      </c>
      <c r="B93" s="131"/>
      <c r="C93" s="131"/>
      <c r="D93" s="131"/>
      <c r="E93" s="131"/>
      <c r="F93" s="131"/>
      <c r="G93" s="131"/>
      <c r="H93" s="131"/>
      <c r="I93" s="131"/>
    </row>
    <row r="94" spans="1:9" ht="15.75" customHeight="1">
      <c r="A94" s="72"/>
      <c r="B94" s="147" t="s">
        <v>206</v>
      </c>
      <c r="C94" s="147"/>
      <c r="D94" s="147"/>
      <c r="E94" s="147"/>
      <c r="F94" s="147"/>
      <c r="G94" s="147"/>
      <c r="H94" s="84"/>
      <c r="I94" s="3"/>
    </row>
    <row r="95" spans="1:9" ht="15.75" customHeight="1">
      <c r="A95" s="75"/>
      <c r="B95" s="143" t="s">
        <v>6</v>
      </c>
      <c r="C95" s="143"/>
      <c r="D95" s="143"/>
      <c r="E95" s="143"/>
      <c r="F95" s="143"/>
      <c r="G95" s="143"/>
      <c r="H95" s="25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51" t="s">
        <v>7</v>
      </c>
      <c r="B97" s="151"/>
      <c r="C97" s="151"/>
      <c r="D97" s="151"/>
      <c r="E97" s="151"/>
      <c r="F97" s="151"/>
      <c r="G97" s="151"/>
      <c r="H97" s="151"/>
      <c r="I97" s="151"/>
    </row>
    <row r="98" spans="1:9" ht="15.75" customHeight="1">
      <c r="A98" s="151" t="s">
        <v>8</v>
      </c>
      <c r="B98" s="151"/>
      <c r="C98" s="151"/>
      <c r="D98" s="151"/>
      <c r="E98" s="151"/>
      <c r="F98" s="151"/>
      <c r="G98" s="151"/>
      <c r="H98" s="151"/>
      <c r="I98" s="151"/>
    </row>
    <row r="99" spans="1:9" ht="15.75" customHeight="1">
      <c r="A99" s="148" t="s">
        <v>61</v>
      </c>
      <c r="B99" s="148"/>
      <c r="C99" s="148"/>
      <c r="D99" s="148"/>
      <c r="E99" s="148"/>
      <c r="F99" s="148"/>
      <c r="G99" s="148"/>
      <c r="H99" s="148"/>
      <c r="I99" s="148"/>
    </row>
    <row r="100" spans="1:9" ht="15.75" customHeight="1">
      <c r="A100" s="11"/>
    </row>
    <row r="101" spans="1:9" ht="15.75" customHeight="1">
      <c r="A101" s="149" t="s">
        <v>9</v>
      </c>
      <c r="B101" s="149"/>
      <c r="C101" s="149"/>
      <c r="D101" s="149"/>
      <c r="E101" s="149"/>
      <c r="F101" s="149"/>
      <c r="G101" s="149"/>
      <c r="H101" s="149"/>
      <c r="I101" s="149"/>
    </row>
    <row r="102" spans="1:9" ht="15.75" customHeight="1">
      <c r="A102" s="4"/>
    </row>
    <row r="103" spans="1:9" ht="15.75" customHeight="1">
      <c r="B103" s="71" t="s">
        <v>10</v>
      </c>
      <c r="C103" s="150" t="s">
        <v>182</v>
      </c>
      <c r="D103" s="150"/>
      <c r="E103" s="150"/>
      <c r="F103" s="150"/>
      <c r="I103" s="74"/>
    </row>
    <row r="104" spans="1:9" ht="15.75" customHeight="1">
      <c r="A104" s="75"/>
      <c r="C104" s="143" t="s">
        <v>11</v>
      </c>
      <c r="D104" s="143"/>
      <c r="E104" s="143"/>
      <c r="F104" s="143"/>
      <c r="I104" s="73" t="s">
        <v>12</v>
      </c>
    </row>
    <row r="105" spans="1:9" ht="15.75" customHeight="1">
      <c r="A105" s="26"/>
      <c r="C105" s="12"/>
      <c r="D105" s="12"/>
      <c r="E105" s="12"/>
      <c r="G105" s="12"/>
      <c r="H105" s="12"/>
    </row>
    <row r="106" spans="1:9" ht="15.75" customHeight="1">
      <c r="B106" s="71" t="s">
        <v>13</v>
      </c>
      <c r="C106" s="145"/>
      <c r="D106" s="145"/>
      <c r="E106" s="145"/>
      <c r="F106" s="145"/>
      <c r="I106" s="74"/>
    </row>
    <row r="107" spans="1:9" ht="15.75" customHeight="1">
      <c r="A107" s="75"/>
      <c r="C107" s="132" t="s">
        <v>11</v>
      </c>
      <c r="D107" s="132"/>
      <c r="E107" s="132"/>
      <c r="F107" s="132"/>
      <c r="I107" s="73" t="s">
        <v>12</v>
      </c>
    </row>
    <row r="108" spans="1:9" ht="15.75" customHeight="1">
      <c r="A108" s="4" t="s">
        <v>14</v>
      </c>
    </row>
    <row r="109" spans="1:9">
      <c r="A109" s="146" t="s">
        <v>15</v>
      </c>
      <c r="B109" s="146"/>
      <c r="C109" s="146"/>
      <c r="D109" s="146"/>
      <c r="E109" s="146"/>
      <c r="F109" s="146"/>
      <c r="G109" s="146"/>
      <c r="H109" s="146"/>
      <c r="I109" s="146"/>
    </row>
    <row r="110" spans="1:9" ht="45" customHeight="1">
      <c r="A110" s="144" t="s">
        <v>16</v>
      </c>
      <c r="B110" s="144"/>
      <c r="C110" s="144"/>
      <c r="D110" s="144"/>
      <c r="E110" s="144"/>
      <c r="F110" s="144"/>
      <c r="G110" s="144"/>
      <c r="H110" s="144"/>
      <c r="I110" s="144"/>
    </row>
    <row r="111" spans="1:9" ht="30" customHeight="1">
      <c r="A111" s="144" t="s">
        <v>17</v>
      </c>
      <c r="B111" s="144"/>
      <c r="C111" s="144"/>
      <c r="D111" s="144"/>
      <c r="E111" s="144"/>
      <c r="F111" s="144"/>
      <c r="G111" s="144"/>
      <c r="H111" s="144"/>
      <c r="I111" s="144"/>
    </row>
    <row r="112" spans="1:9" ht="30" customHeight="1">
      <c r="A112" s="144" t="s">
        <v>21</v>
      </c>
      <c r="B112" s="144"/>
      <c r="C112" s="144"/>
      <c r="D112" s="144"/>
      <c r="E112" s="144"/>
      <c r="F112" s="144"/>
      <c r="G112" s="144"/>
      <c r="H112" s="144"/>
      <c r="I112" s="144"/>
    </row>
    <row r="113" spans="1:9" ht="15" customHeight="1">
      <c r="A113" s="144" t="s">
        <v>20</v>
      </c>
      <c r="B113" s="144"/>
      <c r="C113" s="144"/>
      <c r="D113" s="144"/>
      <c r="E113" s="144"/>
      <c r="F113" s="144"/>
      <c r="G113" s="144"/>
      <c r="H113" s="144"/>
      <c r="I113" s="144"/>
    </row>
  </sheetData>
  <autoFilter ref="I12:I66"/>
  <mergeCells count="29">
    <mergeCell ref="A109:I109"/>
    <mergeCell ref="A110:I110"/>
    <mergeCell ref="A111:I111"/>
    <mergeCell ref="A112:I112"/>
    <mergeCell ref="A113:I113"/>
    <mergeCell ref="R71:U71"/>
    <mergeCell ref="C107:F107"/>
    <mergeCell ref="A86:I86"/>
    <mergeCell ref="A93:I93"/>
    <mergeCell ref="B94:G94"/>
    <mergeCell ref="B95:G95"/>
    <mergeCell ref="A97:I97"/>
    <mergeCell ref="A98:I98"/>
    <mergeCell ref="A99:I99"/>
    <mergeCell ref="A101:I101"/>
    <mergeCell ref="C103:F103"/>
    <mergeCell ref="C104:F104"/>
    <mergeCell ref="C106:F106"/>
    <mergeCell ref="A82:I82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2"/>
  <sheetViews>
    <sheetView topLeftCell="A55" workbookViewId="0">
      <selection activeCell="B93" sqref="B93:G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155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3" t="s">
        <v>145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</row>
    <row r="4" spans="1:13" ht="31.5" customHeight="1">
      <c r="A4" s="134" t="s">
        <v>127</v>
      </c>
      <c r="B4" s="134"/>
      <c r="C4" s="134"/>
      <c r="D4" s="134"/>
      <c r="E4" s="134"/>
      <c r="F4" s="134"/>
      <c r="G4" s="134"/>
      <c r="H4" s="134"/>
      <c r="I4" s="134"/>
    </row>
    <row r="5" spans="1:13" ht="15.75" customHeight="1">
      <c r="A5" s="133" t="s">
        <v>207</v>
      </c>
      <c r="B5" s="137"/>
      <c r="C5" s="137"/>
      <c r="D5" s="137"/>
      <c r="E5" s="137"/>
      <c r="F5" s="137"/>
      <c r="G5" s="137"/>
      <c r="H5" s="137"/>
      <c r="I5" s="137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44347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181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129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8" t="s">
        <v>59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90</v>
      </c>
      <c r="D16" s="86" t="s">
        <v>160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1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88</v>
      </c>
      <c r="C17" s="87" t="s">
        <v>90</v>
      </c>
      <c r="D17" s="86" t="s">
        <v>161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89</v>
      </c>
      <c r="C18" s="87" t="s">
        <v>90</v>
      </c>
      <c r="D18" s="86" t="s">
        <v>162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91</v>
      </c>
      <c r="C19" s="87" t="s">
        <v>86</v>
      </c>
      <c r="D19" s="86" t="s">
        <v>169</v>
      </c>
      <c r="E19" s="88">
        <v>15.3</v>
      </c>
      <c r="F19" s="89">
        <f>SUM(E19/10)</f>
        <v>1.53</v>
      </c>
      <c r="G19" s="89">
        <v>211.74</v>
      </c>
      <c r="H19" s="90">
        <f t="shared" ref="H19:H26" si="1">SUM(F19*G19/1000)</f>
        <v>0.32396219999999998</v>
      </c>
      <c r="I19" s="13">
        <f>F19*G19</f>
        <v>323.9622</v>
      </c>
      <c r="J19" s="23"/>
      <c r="K19" s="8"/>
      <c r="L19" s="8"/>
      <c r="M19" s="8"/>
    </row>
    <row r="20" spans="1:13" ht="15.75" hidden="1" customHeight="1">
      <c r="A20" s="30">
        <v>5</v>
      </c>
      <c r="B20" s="86" t="s">
        <v>93</v>
      </c>
      <c r="C20" s="87" t="s">
        <v>90</v>
      </c>
      <c r="D20" s="86" t="s">
        <v>168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1"/>
        <v>0.106387488</v>
      </c>
      <c r="I20" s="13">
        <f t="shared" ref="I20:I21" si="2">F20/2*G20</f>
        <v>53.193744000000002</v>
      </c>
      <c r="J20" s="23"/>
      <c r="K20" s="8"/>
      <c r="L20" s="8"/>
      <c r="M20" s="8"/>
    </row>
    <row r="21" spans="1:13" ht="15.75" hidden="1" customHeight="1">
      <c r="A21" s="30">
        <v>6</v>
      </c>
      <c r="B21" s="86" t="s">
        <v>94</v>
      </c>
      <c r="C21" s="87" t="s">
        <v>90</v>
      </c>
      <c r="D21" s="86" t="s">
        <v>168</v>
      </c>
      <c r="E21" s="88">
        <v>8.68</v>
      </c>
      <c r="F21" s="89">
        <f>SUM(E21*2/100)</f>
        <v>0.1736</v>
      </c>
      <c r="G21" s="89">
        <v>268.92</v>
      </c>
      <c r="H21" s="90">
        <f t="shared" si="1"/>
        <v>4.6684512000000004E-2</v>
      </c>
      <c r="I21" s="13">
        <f t="shared" si="2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95</v>
      </c>
      <c r="C22" s="87" t="s">
        <v>53</v>
      </c>
      <c r="D22" s="86" t="s">
        <v>170</v>
      </c>
      <c r="E22" s="88">
        <v>215</v>
      </c>
      <c r="F22" s="89">
        <f>SUM(E22/100)</f>
        <v>2.15</v>
      </c>
      <c r="G22" s="89">
        <v>335.05</v>
      </c>
      <c r="H22" s="90">
        <f t="shared" si="1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96</v>
      </c>
      <c r="C23" s="87" t="s">
        <v>53</v>
      </c>
      <c r="D23" s="86" t="s">
        <v>171</v>
      </c>
      <c r="E23" s="91">
        <v>17.64</v>
      </c>
      <c r="F23" s="89">
        <f>SUM(E23/100)</f>
        <v>0.1764</v>
      </c>
      <c r="G23" s="89">
        <v>55.1</v>
      </c>
      <c r="H23" s="90">
        <f t="shared" si="1"/>
        <v>9.7196399999999999E-3</v>
      </c>
      <c r="I23" s="13">
        <f t="shared" ref="I23:I26" si="3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97</v>
      </c>
      <c r="C24" s="87" t="s">
        <v>53</v>
      </c>
      <c r="D24" s="86" t="s">
        <v>172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3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98</v>
      </c>
      <c r="C25" s="87" t="s">
        <v>53</v>
      </c>
      <c r="D25" s="86" t="s">
        <v>172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3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99</v>
      </c>
      <c r="C26" s="87" t="s">
        <v>53</v>
      </c>
      <c r="D26" s="86" t="s">
        <v>172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1"/>
        <v>9.3319200000000005E-2</v>
      </c>
      <c r="I26" s="13">
        <f t="shared" si="3"/>
        <v>93.319200000000009</v>
      </c>
      <c r="J26" s="23"/>
      <c r="K26" s="8"/>
      <c r="L26" s="8"/>
      <c r="M26" s="8"/>
    </row>
    <row r="27" spans="1:13" ht="15.75" hidden="1" customHeight="1">
      <c r="A27" s="30">
        <v>4</v>
      </c>
      <c r="B27" s="34" t="s">
        <v>159</v>
      </c>
      <c r="C27" s="44" t="s">
        <v>154</v>
      </c>
      <c r="D27" s="34" t="s">
        <v>163</v>
      </c>
      <c r="E27" s="117">
        <v>3.36</v>
      </c>
      <c r="F27" s="33">
        <f>E27*258</f>
        <v>866.88</v>
      </c>
      <c r="G27" s="33">
        <v>10.39</v>
      </c>
      <c r="H27" s="90">
        <f t="shared" ref="H27" si="4">SUM(F27*G27/1000)</f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39" t="s">
        <v>81</v>
      </c>
      <c r="B28" s="139"/>
      <c r="C28" s="139"/>
      <c r="D28" s="139"/>
      <c r="E28" s="139"/>
      <c r="F28" s="139"/>
      <c r="G28" s="139"/>
      <c r="H28" s="139"/>
      <c r="I28" s="139"/>
      <c r="J28" s="23"/>
      <c r="K28" s="8"/>
      <c r="L28" s="8"/>
      <c r="M28" s="8"/>
    </row>
    <row r="29" spans="1:13" ht="15.75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customHeight="1">
      <c r="A30" s="45">
        <v>4</v>
      </c>
      <c r="B30" s="86" t="s">
        <v>134</v>
      </c>
      <c r="C30" s="87" t="s">
        <v>100</v>
      </c>
      <c r="D30" s="86" t="s">
        <v>161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5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customHeight="1">
      <c r="A31" s="45">
        <v>5</v>
      </c>
      <c r="B31" s="86" t="s">
        <v>135</v>
      </c>
      <c r="C31" s="87" t="s">
        <v>100</v>
      </c>
      <c r="D31" s="86" t="s">
        <v>160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5"/>
        <v>1.6379028900000001</v>
      </c>
      <c r="I31" s="13">
        <f t="shared" ref="I31:I33" si="6">F31/6*G31</f>
        <v>272.98381499999999</v>
      </c>
      <c r="J31" s="23"/>
      <c r="K31" s="8"/>
      <c r="L31" s="8"/>
      <c r="M31" s="8"/>
    </row>
    <row r="32" spans="1:13" ht="15.75" customHeight="1">
      <c r="A32" s="45">
        <v>6</v>
      </c>
      <c r="B32" s="86" t="s">
        <v>26</v>
      </c>
      <c r="C32" s="87" t="s">
        <v>100</v>
      </c>
      <c r="D32" s="86" t="s">
        <v>168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5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customHeight="1">
      <c r="A33" s="45">
        <v>7</v>
      </c>
      <c r="B33" s="86" t="s">
        <v>103</v>
      </c>
      <c r="C33" s="87" t="s">
        <v>40</v>
      </c>
      <c r="D33" s="86" t="s">
        <v>165</v>
      </c>
      <c r="E33" s="89">
        <v>1</v>
      </c>
      <c r="F33" s="89">
        <f>E33*155/100</f>
        <v>1.55</v>
      </c>
      <c r="G33" s="89">
        <v>1620.15</v>
      </c>
      <c r="H33" s="90">
        <f t="shared" si="5"/>
        <v>2.5112325000000002</v>
      </c>
      <c r="I33" s="13">
        <f t="shared" si="6"/>
        <v>418.53875000000005</v>
      </c>
      <c r="J33" s="23"/>
      <c r="K33" s="8"/>
    </row>
    <row r="34" spans="1:14" ht="15.75" hidden="1" customHeight="1">
      <c r="A34" s="45">
        <v>4</v>
      </c>
      <c r="B34" s="86" t="s">
        <v>64</v>
      </c>
      <c r="C34" s="87" t="s">
        <v>32</v>
      </c>
      <c r="D34" s="86" t="s">
        <v>66</v>
      </c>
      <c r="E34" s="88"/>
      <c r="F34" s="89">
        <v>1</v>
      </c>
      <c r="G34" s="89">
        <v>238.07</v>
      </c>
      <c r="H34" s="90">
        <f t="shared" ref="H34:H35" si="7">SUM(F34*G34/1000)</f>
        <v>0.23807</v>
      </c>
      <c r="I34" s="13">
        <v>0</v>
      </c>
      <c r="J34" s="24"/>
    </row>
    <row r="35" spans="1:14" ht="15.75" hidden="1" customHeight="1">
      <c r="A35" s="30">
        <v>8</v>
      </c>
      <c r="B35" s="86" t="s">
        <v>65</v>
      </c>
      <c r="C35" s="87" t="s">
        <v>31</v>
      </c>
      <c r="D35" s="86" t="s">
        <v>66</v>
      </c>
      <c r="E35" s="88"/>
      <c r="F35" s="89">
        <v>1</v>
      </c>
      <c r="G35" s="89">
        <v>1413.96</v>
      </c>
      <c r="H35" s="90">
        <f t="shared" si="7"/>
        <v>1.4139600000000001</v>
      </c>
      <c r="I35" s="13">
        <v>0</v>
      </c>
      <c r="J35" s="24"/>
    </row>
    <row r="36" spans="1:14" ht="15.75" hidden="1" customHeight="1">
      <c r="A36" s="45"/>
      <c r="B36" s="53" t="s">
        <v>5</v>
      </c>
      <c r="C36" s="53"/>
      <c r="D36" s="53"/>
      <c r="E36" s="53"/>
      <c r="F36" s="13"/>
      <c r="G36" s="14"/>
      <c r="H36" s="14"/>
      <c r="I36" s="19"/>
      <c r="J36" s="24"/>
    </row>
    <row r="37" spans="1:14" ht="15.75" hidden="1" customHeight="1">
      <c r="A37" s="35">
        <v>6</v>
      </c>
      <c r="B37" s="86" t="s">
        <v>25</v>
      </c>
      <c r="C37" s="87" t="s">
        <v>31</v>
      </c>
      <c r="D37" s="86"/>
      <c r="E37" s="88"/>
      <c r="F37" s="89">
        <v>2</v>
      </c>
      <c r="G37" s="89">
        <v>1900.37</v>
      </c>
      <c r="H37" s="90">
        <f t="shared" ref="H37:H42" si="8">SUM(F37*G37/1000)</f>
        <v>3.8007399999999998</v>
      </c>
      <c r="I37" s="13">
        <f t="shared" ref="I37:I42" si="9">F37/6*G37</f>
        <v>633.45666666666659</v>
      </c>
      <c r="J37" s="24"/>
    </row>
    <row r="38" spans="1:14" ht="15.75" hidden="1" customHeight="1">
      <c r="A38" s="35">
        <v>7</v>
      </c>
      <c r="B38" s="86" t="s">
        <v>67</v>
      </c>
      <c r="C38" s="67" t="s">
        <v>28</v>
      </c>
      <c r="D38" s="36" t="s">
        <v>105</v>
      </c>
      <c r="E38" s="37">
        <v>65.25</v>
      </c>
      <c r="F38" s="89">
        <f>SUM(E38*30/1000)</f>
        <v>1.9575</v>
      </c>
      <c r="G38" s="89">
        <v>2616.4899999999998</v>
      </c>
      <c r="H38" s="90">
        <f t="shared" si="8"/>
        <v>5.1217791749999995</v>
      </c>
      <c r="I38" s="13">
        <f t="shared" si="9"/>
        <v>853.62986249999994</v>
      </c>
      <c r="J38" s="24"/>
    </row>
    <row r="39" spans="1:14" ht="15.75" hidden="1" customHeight="1">
      <c r="A39" s="35">
        <v>8</v>
      </c>
      <c r="B39" s="86" t="s">
        <v>68</v>
      </c>
      <c r="C39" s="44" t="s">
        <v>28</v>
      </c>
      <c r="D39" s="34" t="s">
        <v>106</v>
      </c>
      <c r="E39" s="33">
        <v>65.25</v>
      </c>
      <c r="F39" s="89">
        <f>SUM(E39*155/1000)</f>
        <v>10.11375</v>
      </c>
      <c r="G39" s="89">
        <v>436.45</v>
      </c>
      <c r="H39" s="90">
        <f t="shared" si="8"/>
        <v>4.4141461874999992</v>
      </c>
      <c r="I39" s="13">
        <f t="shared" si="9"/>
        <v>735.69103124999992</v>
      </c>
      <c r="J39" s="24"/>
    </row>
    <row r="40" spans="1:14" ht="46.5" hidden="1" customHeight="1">
      <c r="A40" s="35">
        <v>9</v>
      </c>
      <c r="B40" s="86" t="s">
        <v>80</v>
      </c>
      <c r="C40" s="44" t="s">
        <v>100</v>
      </c>
      <c r="D40" s="34" t="s">
        <v>107</v>
      </c>
      <c r="E40" s="33">
        <v>65.25</v>
      </c>
      <c r="F40" s="89">
        <f>SUM(E40*35/1000)</f>
        <v>2.2837499999999999</v>
      </c>
      <c r="G40" s="89">
        <v>7221.21</v>
      </c>
      <c r="H40" s="90">
        <f t="shared" si="8"/>
        <v>16.4914383375</v>
      </c>
      <c r="I40" s="13">
        <f t="shared" si="9"/>
        <v>2748.5730562499998</v>
      </c>
      <c r="J40" s="24"/>
      <c r="L40" s="20"/>
      <c r="M40" s="21"/>
      <c r="N40" s="22"/>
    </row>
    <row r="41" spans="1:14" ht="15.75" hidden="1" customHeight="1">
      <c r="A41" s="35">
        <v>10</v>
      </c>
      <c r="B41" s="86" t="s">
        <v>108</v>
      </c>
      <c r="C41" s="44" t="s">
        <v>100</v>
      </c>
      <c r="D41" s="34" t="s">
        <v>109</v>
      </c>
      <c r="E41" s="33">
        <v>65.25</v>
      </c>
      <c r="F41" s="89">
        <f>SUM(E41*20/1000)</f>
        <v>1.3049999999999999</v>
      </c>
      <c r="G41" s="89">
        <v>533.45000000000005</v>
      </c>
      <c r="H41" s="90">
        <f t="shared" si="8"/>
        <v>0.69615225000000003</v>
      </c>
      <c r="I41" s="13">
        <f t="shared" si="9"/>
        <v>116.02537500000001</v>
      </c>
      <c r="J41" s="24"/>
      <c r="L41" s="20"/>
      <c r="M41" s="21"/>
      <c r="N41" s="22"/>
    </row>
    <row r="42" spans="1:14" ht="15.75" hidden="1" customHeight="1">
      <c r="A42" s="35">
        <v>11</v>
      </c>
      <c r="B42" s="86" t="s">
        <v>69</v>
      </c>
      <c r="C42" s="87" t="s">
        <v>32</v>
      </c>
      <c r="D42" s="86"/>
      <c r="E42" s="88"/>
      <c r="F42" s="89">
        <v>0.5</v>
      </c>
      <c r="G42" s="89">
        <v>992.97</v>
      </c>
      <c r="H42" s="90">
        <f t="shared" si="8"/>
        <v>0.49648500000000001</v>
      </c>
      <c r="I42" s="13">
        <f t="shared" si="9"/>
        <v>82.747500000000002</v>
      </c>
      <c r="J42" s="24"/>
      <c r="L42" s="20"/>
      <c r="M42" s="21"/>
      <c r="N42" s="22"/>
    </row>
    <row r="43" spans="1:14" ht="15.75" customHeight="1">
      <c r="A43" s="140" t="s">
        <v>130</v>
      </c>
      <c r="B43" s="141"/>
      <c r="C43" s="141"/>
      <c r="D43" s="141"/>
      <c r="E43" s="141"/>
      <c r="F43" s="141"/>
      <c r="G43" s="141"/>
      <c r="H43" s="141"/>
      <c r="I43" s="142"/>
      <c r="J43" s="24"/>
      <c r="L43" s="20"/>
      <c r="M43" s="21"/>
      <c r="N43" s="22"/>
    </row>
    <row r="44" spans="1:14" ht="15.75" customHeight="1">
      <c r="A44" s="45">
        <v>8</v>
      </c>
      <c r="B44" s="86" t="s">
        <v>110</v>
      </c>
      <c r="C44" s="87" t="s">
        <v>100</v>
      </c>
      <c r="D44" s="86" t="s">
        <v>168</v>
      </c>
      <c r="E44" s="88">
        <v>1026.8</v>
      </c>
      <c r="F44" s="89">
        <f>SUM(E44*2/1000)</f>
        <v>2.0535999999999999</v>
      </c>
      <c r="G44" s="13">
        <v>1283.46</v>
      </c>
      <c r="H44" s="90">
        <f t="shared" ref="H44:H54" si="10">SUM(F44*G44/1000)</f>
        <v>2.635713456</v>
      </c>
      <c r="I44" s="13">
        <f t="shared" ref="I44:I47" si="11">F44/2*G44</f>
        <v>1317.856728</v>
      </c>
      <c r="J44" s="24"/>
      <c r="L44" s="20"/>
      <c r="M44" s="21"/>
      <c r="N44" s="22"/>
    </row>
    <row r="45" spans="1:14" ht="15.75" customHeight="1">
      <c r="A45" s="45">
        <v>9</v>
      </c>
      <c r="B45" s="86" t="s">
        <v>35</v>
      </c>
      <c r="C45" s="87" t="s">
        <v>100</v>
      </c>
      <c r="D45" s="86" t="s">
        <v>168</v>
      </c>
      <c r="E45" s="88">
        <v>19.8</v>
      </c>
      <c r="F45" s="89">
        <f>SUM(E45*2/1000)</f>
        <v>3.9600000000000003E-2</v>
      </c>
      <c r="G45" s="13">
        <v>4192.6400000000003</v>
      </c>
      <c r="H45" s="90">
        <f t="shared" si="10"/>
        <v>0.16602854400000003</v>
      </c>
      <c r="I45" s="13">
        <f t="shared" si="11"/>
        <v>83.01427200000002</v>
      </c>
      <c r="J45" s="24"/>
      <c r="L45" s="20"/>
      <c r="M45" s="21"/>
      <c r="N45" s="22"/>
    </row>
    <row r="46" spans="1:14" ht="15.75" customHeight="1">
      <c r="A46" s="45">
        <v>10</v>
      </c>
      <c r="B46" s="86" t="s">
        <v>36</v>
      </c>
      <c r="C46" s="87" t="s">
        <v>100</v>
      </c>
      <c r="D46" s="86" t="s">
        <v>168</v>
      </c>
      <c r="E46" s="88">
        <v>660.84</v>
      </c>
      <c r="F46" s="89">
        <f>SUM(E46*2/1000)</f>
        <v>1.32168</v>
      </c>
      <c r="G46" s="13">
        <v>1711.28</v>
      </c>
      <c r="H46" s="90">
        <f t="shared" si="10"/>
        <v>2.2617645503999997</v>
      </c>
      <c r="I46" s="13">
        <f t="shared" si="11"/>
        <v>1130.8822751999999</v>
      </c>
      <c r="J46" s="24"/>
      <c r="L46" s="20"/>
      <c r="M46" s="21"/>
      <c r="N46" s="22"/>
    </row>
    <row r="47" spans="1:14" ht="15.75" customHeight="1">
      <c r="A47" s="45">
        <v>11</v>
      </c>
      <c r="B47" s="86" t="s">
        <v>37</v>
      </c>
      <c r="C47" s="87" t="s">
        <v>100</v>
      </c>
      <c r="D47" s="86" t="s">
        <v>168</v>
      </c>
      <c r="E47" s="88">
        <v>1156.21</v>
      </c>
      <c r="F47" s="89">
        <f>SUM(E47*2/1000)</f>
        <v>2.3124199999999999</v>
      </c>
      <c r="G47" s="13">
        <v>1179.73</v>
      </c>
      <c r="H47" s="90">
        <f t="shared" si="10"/>
        <v>2.7280312466000001</v>
      </c>
      <c r="I47" s="13">
        <f t="shared" si="11"/>
        <v>1364.0156233</v>
      </c>
      <c r="J47" s="24"/>
      <c r="L47" s="20"/>
      <c r="M47" s="21"/>
      <c r="N47" s="22"/>
    </row>
    <row r="48" spans="1:14" ht="15.75" customHeight="1">
      <c r="A48" s="45">
        <v>12</v>
      </c>
      <c r="B48" s="86" t="s">
        <v>33</v>
      </c>
      <c r="C48" s="87" t="s">
        <v>34</v>
      </c>
      <c r="D48" s="86" t="s">
        <v>168</v>
      </c>
      <c r="E48" s="88">
        <v>15</v>
      </c>
      <c r="F48" s="89">
        <f>SUM(E48*2/100)</f>
        <v>0.3</v>
      </c>
      <c r="G48" s="13">
        <v>90.61</v>
      </c>
      <c r="H48" s="90">
        <f t="shared" si="10"/>
        <v>2.7182999999999999E-2</v>
      </c>
      <c r="I48" s="13">
        <f>F48/2*G48</f>
        <v>13.5915</v>
      </c>
      <c r="J48" s="24"/>
      <c r="L48" s="20"/>
      <c r="M48" s="21"/>
      <c r="N48" s="22"/>
    </row>
    <row r="49" spans="1:14" ht="15.75" customHeight="1">
      <c r="A49" s="45">
        <v>13</v>
      </c>
      <c r="B49" s="86" t="s">
        <v>56</v>
      </c>
      <c r="C49" s="87" t="s">
        <v>100</v>
      </c>
      <c r="D49" s="86" t="s">
        <v>168</v>
      </c>
      <c r="E49" s="88">
        <v>1803.1</v>
      </c>
      <c r="F49" s="89">
        <f>SUM(E49*5/1000)</f>
        <v>9.0154999999999994</v>
      </c>
      <c r="G49" s="13">
        <v>1711.28</v>
      </c>
      <c r="H49" s="90">
        <f t="shared" si="10"/>
        <v>15.428044839999998</v>
      </c>
      <c r="I49" s="13">
        <f>F49/5*G49</f>
        <v>3085.608968</v>
      </c>
      <c r="J49" s="24"/>
      <c r="L49" s="20"/>
      <c r="M49" s="21"/>
      <c r="N49" s="22"/>
    </row>
    <row r="50" spans="1:14" ht="17.25" customHeight="1">
      <c r="A50" s="45">
        <v>14</v>
      </c>
      <c r="B50" s="86" t="s">
        <v>111</v>
      </c>
      <c r="C50" s="87" t="s">
        <v>100</v>
      </c>
      <c r="D50" s="86" t="s">
        <v>168</v>
      </c>
      <c r="E50" s="88">
        <v>1803.1</v>
      </c>
      <c r="F50" s="89">
        <f>SUM(E50*2/1000)</f>
        <v>3.6061999999999999</v>
      </c>
      <c r="G50" s="13">
        <v>1510.06</v>
      </c>
      <c r="H50" s="90">
        <f t="shared" si="10"/>
        <v>5.4455783719999999</v>
      </c>
      <c r="I50" s="13">
        <f>F50/2*G50</f>
        <v>2722.789186</v>
      </c>
      <c r="J50" s="24"/>
      <c r="L50" s="20"/>
      <c r="M50" s="21"/>
      <c r="N50" s="22"/>
    </row>
    <row r="51" spans="1:14" ht="15.75" customHeight="1">
      <c r="A51" s="45">
        <v>15</v>
      </c>
      <c r="B51" s="86" t="s">
        <v>112</v>
      </c>
      <c r="C51" s="87" t="s">
        <v>38</v>
      </c>
      <c r="D51" s="86" t="s">
        <v>168</v>
      </c>
      <c r="E51" s="88">
        <v>9</v>
      </c>
      <c r="F51" s="89">
        <f>SUM(E51*2/100)</f>
        <v>0.18</v>
      </c>
      <c r="G51" s="13">
        <v>3850.4</v>
      </c>
      <c r="H51" s="90">
        <f t="shared" si="10"/>
        <v>0.69307200000000002</v>
      </c>
      <c r="I51" s="13">
        <f t="shared" ref="I51:I52" si="12">F51/2*G51</f>
        <v>346.536</v>
      </c>
      <c r="J51" s="24"/>
      <c r="L51" s="20"/>
      <c r="M51" s="21"/>
      <c r="N51" s="22"/>
    </row>
    <row r="52" spans="1:14" ht="17.25" customHeight="1">
      <c r="A52" s="45">
        <v>16</v>
      </c>
      <c r="B52" s="86" t="s">
        <v>39</v>
      </c>
      <c r="C52" s="87" t="s">
        <v>40</v>
      </c>
      <c r="D52" s="86" t="s">
        <v>168</v>
      </c>
      <c r="E52" s="88">
        <v>1</v>
      </c>
      <c r="F52" s="89">
        <v>0.02</v>
      </c>
      <c r="G52" s="13">
        <v>7033.13</v>
      </c>
      <c r="H52" s="90">
        <f t="shared" si="10"/>
        <v>0.1406626</v>
      </c>
      <c r="I52" s="13">
        <f t="shared" si="12"/>
        <v>70.331299999999999</v>
      </c>
      <c r="J52" s="24"/>
      <c r="L52" s="20"/>
      <c r="M52" s="21"/>
      <c r="N52" s="22"/>
    </row>
    <row r="53" spans="1:14" ht="18" customHeight="1">
      <c r="A53" s="45">
        <v>17</v>
      </c>
      <c r="B53" s="86" t="s">
        <v>136</v>
      </c>
      <c r="C53" s="87" t="s">
        <v>29</v>
      </c>
      <c r="D53" s="118">
        <v>44333</v>
      </c>
      <c r="E53" s="88">
        <v>36</v>
      </c>
      <c r="F53" s="89">
        <f>E53*3</f>
        <v>108</v>
      </c>
      <c r="G53" s="13">
        <v>175.6</v>
      </c>
      <c r="H53" s="90">
        <f t="shared" si="10"/>
        <v>18.9648</v>
      </c>
      <c r="I53" s="13">
        <f>E53*G53</f>
        <v>6321.5999999999995</v>
      </c>
      <c r="J53" s="24"/>
      <c r="L53" s="20"/>
      <c r="M53" s="21"/>
      <c r="N53" s="22"/>
    </row>
    <row r="54" spans="1:14" ht="18" customHeight="1">
      <c r="A54" s="45">
        <v>18</v>
      </c>
      <c r="B54" s="86" t="s">
        <v>41</v>
      </c>
      <c r="C54" s="87" t="s">
        <v>29</v>
      </c>
      <c r="D54" s="118">
        <v>44333</v>
      </c>
      <c r="E54" s="88">
        <v>36</v>
      </c>
      <c r="F54" s="89">
        <f>SUM(E54)*3</f>
        <v>108</v>
      </c>
      <c r="G54" s="13">
        <v>81.73</v>
      </c>
      <c r="H54" s="90">
        <f t="shared" si="10"/>
        <v>8.8268400000000007</v>
      </c>
      <c r="I54" s="13">
        <f>E54*G54</f>
        <v>2942.28</v>
      </c>
      <c r="J54" s="24"/>
      <c r="L54" s="20"/>
      <c r="M54" s="21"/>
      <c r="N54" s="22"/>
    </row>
    <row r="55" spans="1:14" ht="15.75" customHeight="1">
      <c r="A55" s="140" t="s">
        <v>131</v>
      </c>
      <c r="B55" s="141"/>
      <c r="C55" s="141"/>
      <c r="D55" s="141"/>
      <c r="E55" s="141"/>
      <c r="F55" s="141"/>
      <c r="G55" s="141"/>
      <c r="H55" s="141"/>
      <c r="I55" s="142"/>
      <c r="J55" s="24"/>
      <c r="L55" s="20"/>
      <c r="M55" s="21"/>
      <c r="N55" s="22"/>
    </row>
    <row r="56" spans="1:14" ht="15.75" hidden="1" customHeight="1">
      <c r="A56" s="57"/>
      <c r="B56" s="52" t="s">
        <v>43</v>
      </c>
      <c r="C56" s="17"/>
      <c r="D56" s="16"/>
      <c r="E56" s="16"/>
      <c r="F56" s="16"/>
      <c r="G56" s="30"/>
      <c r="H56" s="30"/>
      <c r="I56" s="19"/>
      <c r="J56" s="24"/>
      <c r="L56" s="20"/>
      <c r="M56" s="21"/>
      <c r="N56" s="22"/>
    </row>
    <row r="57" spans="1:14" ht="31.5" hidden="1" customHeight="1">
      <c r="A57" s="45">
        <v>12</v>
      </c>
      <c r="B57" s="86" t="s">
        <v>114</v>
      </c>
      <c r="C57" s="87" t="s">
        <v>90</v>
      </c>
      <c r="D57" s="86" t="s">
        <v>71</v>
      </c>
      <c r="E57" s="88">
        <v>12</v>
      </c>
      <c r="F57" s="89">
        <f>E57*6/100</f>
        <v>0.72</v>
      </c>
      <c r="G57" s="95">
        <v>2306.62</v>
      </c>
      <c r="H57" s="90">
        <f>F57*G57/1000</f>
        <v>1.6607663999999998</v>
      </c>
      <c r="I57" s="13">
        <f>F57/6*G57</f>
        <v>276.7944</v>
      </c>
      <c r="J57" s="24"/>
      <c r="L57" s="20"/>
      <c r="M57" s="21"/>
      <c r="N57" s="22"/>
    </row>
    <row r="58" spans="1:14" ht="15.75" hidden="1" customHeight="1">
      <c r="A58" s="45"/>
      <c r="B58" s="96" t="s">
        <v>83</v>
      </c>
      <c r="C58" s="97" t="s">
        <v>115</v>
      </c>
      <c r="D58" s="96" t="s">
        <v>66</v>
      </c>
      <c r="E58" s="98"/>
      <c r="F58" s="99">
        <v>2</v>
      </c>
      <c r="G58" s="100">
        <v>1501</v>
      </c>
      <c r="H58" s="90">
        <f>F58*G58/1000</f>
        <v>3.0019999999999998</v>
      </c>
      <c r="I58" s="13">
        <v>0</v>
      </c>
      <c r="J58" s="24"/>
      <c r="L58" s="20"/>
      <c r="M58" s="21"/>
      <c r="N58" s="22"/>
    </row>
    <row r="59" spans="1:14" ht="15.75" hidden="1" customHeight="1">
      <c r="A59" s="45"/>
      <c r="B59" s="77" t="s">
        <v>44</v>
      </c>
      <c r="C59" s="77"/>
      <c r="D59" s="77"/>
      <c r="E59" s="77"/>
      <c r="F59" s="77"/>
      <c r="G59" s="68"/>
      <c r="H59" s="68"/>
      <c r="I59" s="39"/>
      <c r="J59" s="24"/>
      <c r="L59" s="20"/>
      <c r="M59" s="21"/>
      <c r="N59" s="22"/>
    </row>
    <row r="60" spans="1:14" ht="15.75" hidden="1" customHeight="1">
      <c r="A60" s="45">
        <v>27</v>
      </c>
      <c r="B60" s="96" t="s">
        <v>45</v>
      </c>
      <c r="C60" s="97" t="s">
        <v>53</v>
      </c>
      <c r="D60" s="96" t="s">
        <v>54</v>
      </c>
      <c r="E60" s="98">
        <v>177</v>
      </c>
      <c r="F60" s="99">
        <f>E60/100</f>
        <v>1.77</v>
      </c>
      <c r="G60" s="100">
        <v>987.51</v>
      </c>
      <c r="H60" s="101">
        <f>G60*F60/1000</f>
        <v>1.7478927000000002</v>
      </c>
      <c r="I60" s="13">
        <v>0</v>
      </c>
      <c r="J60" s="24"/>
      <c r="L60" s="20"/>
      <c r="M60" s="21"/>
      <c r="N60" s="22"/>
    </row>
    <row r="61" spans="1:14" ht="15.75" customHeight="1">
      <c r="A61" s="45"/>
      <c r="B61" s="77" t="s">
        <v>46</v>
      </c>
      <c r="C61" s="17"/>
      <c r="D61" s="41"/>
      <c r="E61" s="41"/>
      <c r="F61" s="16"/>
      <c r="G61" s="69"/>
      <c r="H61" s="68"/>
      <c r="I61" s="19"/>
      <c r="J61" s="24"/>
      <c r="L61" s="20"/>
      <c r="M61" s="21"/>
      <c r="N61" s="22"/>
    </row>
    <row r="62" spans="1:14" ht="18.75" hidden="1" customHeight="1">
      <c r="A62" s="45">
        <v>26</v>
      </c>
      <c r="B62" s="15" t="s">
        <v>47</v>
      </c>
      <c r="C62" s="17" t="s">
        <v>113</v>
      </c>
      <c r="D62" s="15" t="s">
        <v>167</v>
      </c>
      <c r="E62" s="19">
        <v>1</v>
      </c>
      <c r="F62" s="89">
        <f>E62</f>
        <v>1</v>
      </c>
      <c r="G62" s="13">
        <v>276.74</v>
      </c>
      <c r="H62" s="102">
        <f t="shared" ref="H62:H70" si="13">SUM(F62*G62/1000)</f>
        <v>0.27673999999999999</v>
      </c>
      <c r="I62" s="13">
        <f>G62*3</f>
        <v>830.22</v>
      </c>
      <c r="J62" s="24"/>
      <c r="L62" s="20"/>
      <c r="M62" s="21"/>
      <c r="N62" s="22"/>
    </row>
    <row r="63" spans="1:14" ht="15.75" hidden="1" customHeight="1">
      <c r="A63" s="30">
        <v>29</v>
      </c>
      <c r="B63" s="15" t="s">
        <v>48</v>
      </c>
      <c r="C63" s="17" t="s">
        <v>113</v>
      </c>
      <c r="D63" s="15" t="s">
        <v>66</v>
      </c>
      <c r="E63" s="19">
        <v>3</v>
      </c>
      <c r="F63" s="89">
        <v>3</v>
      </c>
      <c r="G63" s="13">
        <v>94.89</v>
      </c>
      <c r="H63" s="102">
        <f t="shared" si="13"/>
        <v>0.28467000000000003</v>
      </c>
      <c r="I63" s="13">
        <v>0</v>
      </c>
      <c r="J63" s="24"/>
      <c r="L63" s="20"/>
    </row>
    <row r="64" spans="1:14" ht="15.75" hidden="1" customHeight="1">
      <c r="A64" s="30">
        <v>28</v>
      </c>
      <c r="B64" s="15" t="s">
        <v>49</v>
      </c>
      <c r="C64" s="17" t="s">
        <v>116</v>
      </c>
      <c r="D64" s="15" t="s">
        <v>54</v>
      </c>
      <c r="E64" s="88">
        <v>7265</v>
      </c>
      <c r="F64" s="13">
        <f>SUM(E64/100)</f>
        <v>72.650000000000006</v>
      </c>
      <c r="G64" s="13">
        <v>263.99</v>
      </c>
      <c r="H64" s="102">
        <f t="shared" si="13"/>
        <v>19.178873500000002</v>
      </c>
      <c r="I64" s="13">
        <f>F64*G64</f>
        <v>19178.873500000002</v>
      </c>
    </row>
    <row r="65" spans="1:22" ht="15.75" hidden="1" customHeight="1">
      <c r="A65" s="30">
        <v>29</v>
      </c>
      <c r="B65" s="15" t="s">
        <v>50</v>
      </c>
      <c r="C65" s="17" t="s">
        <v>117</v>
      </c>
      <c r="D65" s="15" t="s">
        <v>54</v>
      </c>
      <c r="E65" s="88">
        <v>7265</v>
      </c>
      <c r="F65" s="13">
        <f>SUM(E65/1000)</f>
        <v>7.2649999999999997</v>
      </c>
      <c r="G65" s="13">
        <v>205.57</v>
      </c>
      <c r="H65" s="102">
        <f t="shared" si="13"/>
        <v>1.4934660500000001</v>
      </c>
      <c r="I65" s="13">
        <f t="shared" ref="I65:I68" si="14">F65*G65</f>
        <v>1493.46605</v>
      </c>
    </row>
    <row r="66" spans="1:22" ht="15.75" hidden="1" customHeight="1">
      <c r="A66" s="30">
        <v>30</v>
      </c>
      <c r="B66" s="15" t="s">
        <v>51</v>
      </c>
      <c r="C66" s="17" t="s">
        <v>76</v>
      </c>
      <c r="D66" s="15" t="s">
        <v>54</v>
      </c>
      <c r="E66" s="88">
        <v>1090</v>
      </c>
      <c r="F66" s="13">
        <f>SUM(E66/100)</f>
        <v>10.9</v>
      </c>
      <c r="G66" s="13">
        <v>2581.5300000000002</v>
      </c>
      <c r="H66" s="102">
        <f t="shared" si="13"/>
        <v>28.138677000000005</v>
      </c>
      <c r="I66" s="13">
        <f t="shared" si="14"/>
        <v>28138.677000000003</v>
      </c>
    </row>
    <row r="67" spans="1:22" ht="15.75" hidden="1" customHeight="1">
      <c r="A67" s="30">
        <v>31</v>
      </c>
      <c r="B67" s="103" t="s">
        <v>118</v>
      </c>
      <c r="C67" s="17" t="s">
        <v>32</v>
      </c>
      <c r="D67" s="15"/>
      <c r="E67" s="88">
        <v>7.4</v>
      </c>
      <c r="F67" s="13">
        <f>SUM(E67)</f>
        <v>7.4</v>
      </c>
      <c r="G67" s="13">
        <v>47.45</v>
      </c>
      <c r="H67" s="102">
        <f t="shared" si="13"/>
        <v>0.35113000000000005</v>
      </c>
      <c r="I67" s="13">
        <f t="shared" si="14"/>
        <v>351.13000000000005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0">
        <v>32</v>
      </c>
      <c r="B68" s="103" t="s">
        <v>138</v>
      </c>
      <c r="C68" s="17" t="s">
        <v>32</v>
      </c>
      <c r="D68" s="15"/>
      <c r="E68" s="88">
        <v>7.4</v>
      </c>
      <c r="F68" s="13">
        <f>SUM(E68)</f>
        <v>7.4</v>
      </c>
      <c r="G68" s="13">
        <v>44.27</v>
      </c>
      <c r="H68" s="102">
        <f t="shared" si="13"/>
        <v>0.327598</v>
      </c>
      <c r="I68" s="13">
        <f t="shared" si="14"/>
        <v>327.59800000000001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0">
        <v>13</v>
      </c>
      <c r="B69" s="15" t="s">
        <v>57</v>
      </c>
      <c r="C69" s="17" t="s">
        <v>58</v>
      </c>
      <c r="D69" s="15" t="s">
        <v>54</v>
      </c>
      <c r="E69" s="19">
        <v>3</v>
      </c>
      <c r="F69" s="89">
        <f>SUM(E69)</f>
        <v>3</v>
      </c>
      <c r="G69" s="13">
        <v>62.07</v>
      </c>
      <c r="H69" s="102">
        <f t="shared" si="13"/>
        <v>0.18621000000000001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customHeight="1">
      <c r="A70" s="30">
        <v>19</v>
      </c>
      <c r="B70" s="15" t="s">
        <v>84</v>
      </c>
      <c r="C70" s="30" t="s">
        <v>119</v>
      </c>
      <c r="D70" s="15"/>
      <c r="E70" s="19">
        <v>1803.1</v>
      </c>
      <c r="F70" s="89">
        <f>SUM(E70*12)</f>
        <v>21637.199999999997</v>
      </c>
      <c r="G70" s="13">
        <v>2.16</v>
      </c>
      <c r="H70" s="102">
        <f t="shared" si="13"/>
        <v>46.736351999999997</v>
      </c>
      <c r="I70" s="13">
        <f>F70/12*G70</f>
        <v>3894.6959999999995</v>
      </c>
      <c r="J70" s="5"/>
      <c r="K70" s="5"/>
      <c r="L70" s="5"/>
      <c r="M70" s="5"/>
      <c r="N70" s="5"/>
      <c r="O70" s="5"/>
      <c r="P70" s="5"/>
      <c r="Q70" s="5"/>
      <c r="R70" s="132"/>
      <c r="S70" s="132"/>
      <c r="T70" s="132"/>
      <c r="U70" s="132"/>
    </row>
    <row r="71" spans="1:22" ht="15.75" hidden="1" customHeight="1">
      <c r="A71" s="30"/>
      <c r="B71" s="53" t="s">
        <v>72</v>
      </c>
      <c r="C71" s="53"/>
      <c r="D71" s="53"/>
      <c r="E71" s="53"/>
      <c r="F71" s="19"/>
      <c r="G71" s="30"/>
      <c r="H71" s="30"/>
      <c r="I71" s="19"/>
    </row>
    <row r="72" spans="1:22" ht="15.75" hidden="1" customHeight="1">
      <c r="A72" s="30"/>
      <c r="B72" s="15" t="s">
        <v>121</v>
      </c>
      <c r="C72" s="17" t="s">
        <v>122</v>
      </c>
      <c r="D72" s="15" t="s">
        <v>66</v>
      </c>
      <c r="E72" s="19">
        <v>1</v>
      </c>
      <c r="F72" s="13">
        <f>E72</f>
        <v>1</v>
      </c>
      <c r="G72" s="13">
        <v>976.4</v>
      </c>
      <c r="H72" s="102">
        <f t="shared" ref="H72:H76" si="15">SUM(F72*G72/1000)</f>
        <v>0.97639999999999993</v>
      </c>
      <c r="I72" s="13">
        <v>0</v>
      </c>
    </row>
    <row r="73" spans="1:22" ht="15.75" hidden="1" customHeight="1">
      <c r="A73" s="30"/>
      <c r="B73" s="15" t="s">
        <v>123</v>
      </c>
      <c r="C73" s="17" t="s">
        <v>124</v>
      </c>
      <c r="D73" s="15"/>
      <c r="E73" s="19">
        <v>1</v>
      </c>
      <c r="F73" s="13">
        <v>1</v>
      </c>
      <c r="G73" s="13">
        <v>650</v>
      </c>
      <c r="H73" s="102">
        <f t="shared" si="15"/>
        <v>0.65</v>
      </c>
      <c r="I73" s="13">
        <v>0</v>
      </c>
    </row>
    <row r="74" spans="1:22" ht="15.75" hidden="1" customHeight="1">
      <c r="A74" s="30"/>
      <c r="B74" s="15" t="s">
        <v>73</v>
      </c>
      <c r="C74" s="17" t="s">
        <v>30</v>
      </c>
      <c r="D74" s="15" t="s">
        <v>66</v>
      </c>
      <c r="E74" s="19">
        <v>3</v>
      </c>
      <c r="F74" s="13">
        <f>E74/10</f>
        <v>0.3</v>
      </c>
      <c r="G74" s="13">
        <v>624.16999999999996</v>
      </c>
      <c r="H74" s="102">
        <f t="shared" si="15"/>
        <v>0.18725099999999997</v>
      </c>
      <c r="I74" s="13">
        <v>0</v>
      </c>
    </row>
    <row r="75" spans="1:22" ht="15.75" hidden="1" customHeight="1">
      <c r="A75" s="30"/>
      <c r="B75" s="15" t="s">
        <v>74</v>
      </c>
      <c r="C75" s="17" t="s">
        <v>29</v>
      </c>
      <c r="D75" s="15" t="s">
        <v>66</v>
      </c>
      <c r="E75" s="19">
        <v>1</v>
      </c>
      <c r="F75" s="13">
        <v>1</v>
      </c>
      <c r="G75" s="13">
        <v>1061.4100000000001</v>
      </c>
      <c r="H75" s="102">
        <f t="shared" si="15"/>
        <v>1.0614100000000002</v>
      </c>
      <c r="I75" s="13">
        <v>0</v>
      </c>
    </row>
    <row r="76" spans="1:22" ht="15.75" hidden="1" customHeight="1">
      <c r="A76" s="30">
        <v>17</v>
      </c>
      <c r="B76" s="15" t="s">
        <v>85</v>
      </c>
      <c r="C76" s="17" t="s">
        <v>29</v>
      </c>
      <c r="D76" s="15" t="s">
        <v>66</v>
      </c>
      <c r="E76" s="19">
        <v>1</v>
      </c>
      <c r="F76" s="89">
        <f>SUM(E76)</f>
        <v>1</v>
      </c>
      <c r="G76" s="13">
        <v>446.12</v>
      </c>
      <c r="H76" s="102">
        <f t="shared" si="15"/>
        <v>0.44612000000000002</v>
      </c>
      <c r="I76" s="13">
        <v>0</v>
      </c>
    </row>
    <row r="77" spans="1:22" ht="15.75" hidden="1" customHeight="1">
      <c r="A77" s="30"/>
      <c r="B77" s="54" t="s">
        <v>75</v>
      </c>
      <c r="C77" s="42"/>
      <c r="D77" s="30"/>
      <c r="E77" s="30"/>
      <c r="F77" s="19"/>
      <c r="G77" s="40" t="s">
        <v>128</v>
      </c>
      <c r="H77" s="40"/>
      <c r="I77" s="19"/>
    </row>
    <row r="78" spans="1:22" ht="15.75" hidden="1" customHeight="1">
      <c r="A78" s="30">
        <v>39</v>
      </c>
      <c r="B78" s="56" t="s">
        <v>125</v>
      </c>
      <c r="C78" s="17" t="s">
        <v>76</v>
      </c>
      <c r="D78" s="15"/>
      <c r="E78" s="19"/>
      <c r="F78" s="13">
        <v>1.35</v>
      </c>
      <c r="G78" s="13">
        <v>3433.68</v>
      </c>
      <c r="H78" s="102">
        <f t="shared" ref="H78" si="16">SUM(F78*G78/1000)</f>
        <v>4.6354679999999995</v>
      </c>
      <c r="I78" s="13">
        <v>0</v>
      </c>
    </row>
    <row r="79" spans="1:22" ht="18" hidden="1" customHeight="1">
      <c r="A79" s="57"/>
      <c r="B79" s="77" t="s">
        <v>120</v>
      </c>
      <c r="C79" s="77"/>
      <c r="D79" s="77"/>
      <c r="E79" s="77"/>
      <c r="F79" s="77"/>
      <c r="G79" s="77"/>
      <c r="H79" s="77"/>
      <c r="I79" s="19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2" ht="15" hidden="1" customHeight="1">
      <c r="A80" s="30">
        <v>31</v>
      </c>
      <c r="B80" s="86" t="s">
        <v>87</v>
      </c>
      <c r="C80" s="17"/>
      <c r="D80" s="15"/>
      <c r="E80" s="104"/>
      <c r="F80" s="13">
        <v>1</v>
      </c>
      <c r="G80" s="13">
        <v>14997.6</v>
      </c>
      <c r="H80" s="102">
        <f>G80*F80/1000</f>
        <v>14.9976</v>
      </c>
      <c r="I80" s="13">
        <f>G80</f>
        <v>14997.6</v>
      </c>
    </row>
    <row r="81" spans="1:9" ht="15.75" customHeight="1">
      <c r="A81" s="125" t="s">
        <v>132</v>
      </c>
      <c r="B81" s="126"/>
      <c r="C81" s="126"/>
      <c r="D81" s="126"/>
      <c r="E81" s="126"/>
      <c r="F81" s="126"/>
      <c r="G81" s="126"/>
      <c r="H81" s="126"/>
      <c r="I81" s="127"/>
    </row>
    <row r="82" spans="1:9" ht="15.75" customHeight="1">
      <c r="A82" s="30">
        <v>20</v>
      </c>
      <c r="B82" s="86" t="s">
        <v>126</v>
      </c>
      <c r="C82" s="17" t="s">
        <v>55</v>
      </c>
      <c r="D82" s="105"/>
      <c r="E82" s="13">
        <v>1803.1</v>
      </c>
      <c r="F82" s="13">
        <f>SUM(E82*12)</f>
        <v>21637.199999999997</v>
      </c>
      <c r="G82" s="13">
        <v>2.95</v>
      </c>
      <c r="H82" s="102">
        <f>SUM(F82*G82/1000)</f>
        <v>63.829740000000001</v>
      </c>
      <c r="I82" s="13">
        <f>F82/12*G82</f>
        <v>5319.1449999999995</v>
      </c>
    </row>
    <row r="83" spans="1:9" ht="31.5" customHeight="1">
      <c r="A83" s="30">
        <v>21</v>
      </c>
      <c r="B83" s="15" t="s">
        <v>77</v>
      </c>
      <c r="C83" s="17"/>
      <c r="D83" s="105"/>
      <c r="E83" s="88">
        <v>1803.1</v>
      </c>
      <c r="F83" s="13">
        <f>E83*12</f>
        <v>21637.199999999997</v>
      </c>
      <c r="G83" s="13">
        <v>3.05</v>
      </c>
      <c r="H83" s="102">
        <f>F83*G83/1000</f>
        <v>65.993459999999999</v>
      </c>
      <c r="I83" s="13">
        <f>F83/12*G83</f>
        <v>5499.454999999999</v>
      </c>
    </row>
    <row r="84" spans="1:9" ht="15.75" customHeight="1">
      <c r="A84" s="57"/>
      <c r="B84" s="43" t="s">
        <v>79</v>
      </c>
      <c r="C84" s="45"/>
      <c r="D84" s="16"/>
      <c r="E84" s="16"/>
      <c r="F84" s="16"/>
      <c r="G84" s="19"/>
      <c r="H84" s="19"/>
      <c r="I84" s="32">
        <f>I83+I82+I70+I54+I53+I52+I51+I50+I49+I48+I47+I46+I45+I44+I33+I32+I31+I30+I18+I17+I16</f>
        <v>40565.781241833327</v>
      </c>
    </row>
    <row r="85" spans="1:9" ht="15.75" customHeight="1">
      <c r="A85" s="128" t="s">
        <v>60</v>
      </c>
      <c r="B85" s="129"/>
      <c r="C85" s="129"/>
      <c r="D85" s="129"/>
      <c r="E85" s="129"/>
      <c r="F85" s="129"/>
      <c r="G85" s="129"/>
      <c r="H85" s="129"/>
      <c r="I85" s="130"/>
    </row>
    <row r="86" spans="1:9" ht="17.25" customHeight="1">
      <c r="A86" s="106">
        <v>22</v>
      </c>
      <c r="B86" s="15" t="s">
        <v>153</v>
      </c>
      <c r="C86" s="17" t="s">
        <v>154</v>
      </c>
      <c r="D86" s="15"/>
      <c r="E86" s="19"/>
      <c r="F86" s="13">
        <v>24</v>
      </c>
      <c r="G86" s="13">
        <v>1.4</v>
      </c>
      <c r="H86" s="13">
        <f>F86*G86/1000</f>
        <v>3.3599999999999991E-2</v>
      </c>
      <c r="I86" s="13">
        <f>G86*12</f>
        <v>16.799999999999997</v>
      </c>
    </row>
    <row r="87" spans="1:9" ht="30.75" customHeight="1">
      <c r="A87" s="106">
        <v>23</v>
      </c>
      <c r="B87" s="114" t="s">
        <v>179</v>
      </c>
      <c r="C87" s="115" t="s">
        <v>180</v>
      </c>
      <c r="D87" s="41" t="s">
        <v>208</v>
      </c>
      <c r="E87" s="18"/>
      <c r="F87" s="40">
        <v>1</v>
      </c>
      <c r="G87" s="40">
        <v>64.040000000000006</v>
      </c>
      <c r="H87" s="13"/>
      <c r="I87" s="13">
        <f>G87*1</f>
        <v>64.040000000000006</v>
      </c>
    </row>
    <row r="88" spans="1:9" ht="34.5" customHeight="1">
      <c r="A88" s="106">
        <v>24</v>
      </c>
      <c r="B88" s="114" t="s">
        <v>173</v>
      </c>
      <c r="C88" s="115" t="s">
        <v>156</v>
      </c>
      <c r="D88" s="41" t="s">
        <v>211</v>
      </c>
      <c r="E88" s="18"/>
      <c r="F88" s="40">
        <v>1</v>
      </c>
      <c r="G88" s="40">
        <v>231.54</v>
      </c>
      <c r="H88" s="13"/>
      <c r="I88" s="13">
        <v>0</v>
      </c>
    </row>
    <row r="89" spans="1:9" ht="15.75" customHeight="1">
      <c r="A89" s="30"/>
      <c r="B89" s="50" t="s">
        <v>52</v>
      </c>
      <c r="C89" s="46"/>
      <c r="D89" s="58"/>
      <c r="E89" s="58"/>
      <c r="F89" s="46">
        <v>1</v>
      </c>
      <c r="G89" s="46"/>
      <c r="H89" s="46"/>
      <c r="I89" s="32">
        <f>SUM(I86:I87)</f>
        <v>80.84</v>
      </c>
    </row>
    <row r="90" spans="1:9" ht="15.75" customHeight="1">
      <c r="A90" s="30"/>
      <c r="B90" s="56" t="s">
        <v>78</v>
      </c>
      <c r="C90" s="16"/>
      <c r="D90" s="16"/>
      <c r="E90" s="16"/>
      <c r="F90" s="47"/>
      <c r="G90" s="48"/>
      <c r="H90" s="48"/>
      <c r="I90" s="18">
        <v>0</v>
      </c>
    </row>
    <row r="91" spans="1:9" ht="15.75" customHeight="1">
      <c r="A91" s="59"/>
      <c r="B91" s="51" t="s">
        <v>133</v>
      </c>
      <c r="C91" s="38"/>
      <c r="D91" s="38"/>
      <c r="E91" s="38"/>
      <c r="F91" s="38"/>
      <c r="G91" s="38"/>
      <c r="H91" s="38"/>
      <c r="I91" s="49">
        <f>I84+I89</f>
        <v>40646.621241833323</v>
      </c>
    </row>
    <row r="92" spans="1:9" ht="15.75" customHeight="1">
      <c r="A92" s="131" t="s">
        <v>209</v>
      </c>
      <c r="B92" s="131"/>
      <c r="C92" s="131"/>
      <c r="D92" s="131"/>
      <c r="E92" s="131"/>
      <c r="F92" s="131"/>
      <c r="G92" s="131"/>
      <c r="H92" s="131"/>
      <c r="I92" s="131"/>
    </row>
    <row r="93" spans="1:9" ht="15.75" customHeight="1">
      <c r="A93" s="72"/>
      <c r="B93" s="147" t="s">
        <v>210</v>
      </c>
      <c r="C93" s="147"/>
      <c r="D93" s="147"/>
      <c r="E93" s="147"/>
      <c r="F93" s="147"/>
      <c r="G93" s="147"/>
      <c r="H93" s="84"/>
      <c r="I93" s="3"/>
    </row>
    <row r="94" spans="1:9" ht="15.75" customHeight="1">
      <c r="A94" s="75"/>
      <c r="B94" s="143" t="s">
        <v>6</v>
      </c>
      <c r="C94" s="143"/>
      <c r="D94" s="143"/>
      <c r="E94" s="143"/>
      <c r="F94" s="143"/>
      <c r="G94" s="143"/>
      <c r="H94" s="25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 customHeight="1">
      <c r="A96" s="151" t="s">
        <v>7</v>
      </c>
      <c r="B96" s="151"/>
      <c r="C96" s="151"/>
      <c r="D96" s="151"/>
      <c r="E96" s="151"/>
      <c r="F96" s="151"/>
      <c r="G96" s="151"/>
      <c r="H96" s="151"/>
      <c r="I96" s="151"/>
    </row>
    <row r="97" spans="1:9" ht="15.75" customHeight="1">
      <c r="A97" s="151" t="s">
        <v>8</v>
      </c>
      <c r="B97" s="151"/>
      <c r="C97" s="151"/>
      <c r="D97" s="151"/>
      <c r="E97" s="151"/>
      <c r="F97" s="151"/>
      <c r="G97" s="151"/>
      <c r="H97" s="151"/>
      <c r="I97" s="151"/>
    </row>
    <row r="98" spans="1:9" ht="15.75" customHeight="1">
      <c r="A98" s="148" t="s">
        <v>61</v>
      </c>
      <c r="B98" s="148"/>
      <c r="C98" s="148"/>
      <c r="D98" s="148"/>
      <c r="E98" s="148"/>
      <c r="F98" s="148"/>
      <c r="G98" s="148"/>
      <c r="H98" s="148"/>
      <c r="I98" s="148"/>
    </row>
    <row r="99" spans="1:9" ht="15.75" customHeight="1">
      <c r="A99" s="11"/>
    </row>
    <row r="100" spans="1:9" ht="15.75" customHeight="1">
      <c r="A100" s="149" t="s">
        <v>9</v>
      </c>
      <c r="B100" s="149"/>
      <c r="C100" s="149"/>
      <c r="D100" s="149"/>
      <c r="E100" s="149"/>
      <c r="F100" s="149"/>
      <c r="G100" s="149"/>
      <c r="H100" s="149"/>
      <c r="I100" s="149"/>
    </row>
    <row r="101" spans="1:9" ht="15.75" customHeight="1">
      <c r="A101" s="4"/>
    </row>
    <row r="102" spans="1:9" ht="15.75" customHeight="1">
      <c r="B102" s="71" t="s">
        <v>10</v>
      </c>
      <c r="C102" s="150" t="s">
        <v>182</v>
      </c>
      <c r="D102" s="150"/>
      <c r="E102" s="150"/>
      <c r="F102" s="150"/>
      <c r="I102" s="74"/>
    </row>
    <row r="103" spans="1:9" ht="15.75" customHeight="1">
      <c r="A103" s="75"/>
      <c r="C103" s="143" t="s">
        <v>11</v>
      </c>
      <c r="D103" s="143"/>
      <c r="E103" s="143"/>
      <c r="F103" s="143"/>
      <c r="I103" s="73" t="s">
        <v>12</v>
      </c>
    </row>
    <row r="104" spans="1:9" ht="15.75" customHeight="1">
      <c r="A104" s="26"/>
      <c r="C104" s="12"/>
      <c r="D104" s="12"/>
      <c r="E104" s="12"/>
      <c r="G104" s="12"/>
      <c r="H104" s="12"/>
    </row>
    <row r="105" spans="1:9" ht="15.75" customHeight="1">
      <c r="B105" s="71" t="s">
        <v>13</v>
      </c>
      <c r="C105" s="145"/>
      <c r="D105" s="145"/>
      <c r="E105" s="145"/>
      <c r="F105" s="145"/>
      <c r="I105" s="74"/>
    </row>
    <row r="106" spans="1:9" ht="15.75" customHeight="1">
      <c r="A106" s="75"/>
      <c r="C106" s="132" t="s">
        <v>11</v>
      </c>
      <c r="D106" s="132"/>
      <c r="E106" s="132"/>
      <c r="F106" s="132"/>
      <c r="I106" s="73" t="s">
        <v>12</v>
      </c>
    </row>
    <row r="107" spans="1:9" ht="15.75" customHeight="1">
      <c r="A107" s="4" t="s">
        <v>14</v>
      </c>
    </row>
    <row r="108" spans="1:9">
      <c r="A108" s="146" t="s">
        <v>15</v>
      </c>
      <c r="B108" s="146"/>
      <c r="C108" s="146"/>
      <c r="D108" s="146"/>
      <c r="E108" s="146"/>
      <c r="F108" s="146"/>
      <c r="G108" s="146"/>
      <c r="H108" s="146"/>
      <c r="I108" s="146"/>
    </row>
    <row r="109" spans="1:9" ht="45" customHeight="1">
      <c r="A109" s="144" t="s">
        <v>16</v>
      </c>
      <c r="B109" s="144"/>
      <c r="C109" s="144"/>
      <c r="D109" s="144"/>
      <c r="E109" s="144"/>
      <c r="F109" s="144"/>
      <c r="G109" s="144"/>
      <c r="H109" s="144"/>
      <c r="I109" s="144"/>
    </row>
    <row r="110" spans="1:9" ht="30" customHeight="1">
      <c r="A110" s="144" t="s">
        <v>17</v>
      </c>
      <c r="B110" s="144"/>
      <c r="C110" s="144"/>
      <c r="D110" s="144"/>
      <c r="E110" s="144"/>
      <c r="F110" s="144"/>
      <c r="G110" s="144"/>
      <c r="H110" s="144"/>
      <c r="I110" s="144"/>
    </row>
    <row r="111" spans="1:9" ht="30" customHeight="1">
      <c r="A111" s="144" t="s">
        <v>21</v>
      </c>
      <c r="B111" s="144"/>
      <c r="C111" s="144"/>
      <c r="D111" s="144"/>
      <c r="E111" s="144"/>
      <c r="F111" s="144"/>
      <c r="G111" s="144"/>
      <c r="H111" s="144"/>
      <c r="I111" s="144"/>
    </row>
    <row r="112" spans="1:9" ht="15" customHeight="1">
      <c r="A112" s="144" t="s">
        <v>20</v>
      </c>
      <c r="B112" s="144"/>
      <c r="C112" s="144"/>
      <c r="D112" s="144"/>
      <c r="E112" s="144"/>
      <c r="F112" s="144"/>
      <c r="G112" s="144"/>
      <c r="H112" s="144"/>
      <c r="I112" s="144"/>
    </row>
  </sheetData>
  <autoFilter ref="I12:I65"/>
  <mergeCells count="29">
    <mergeCell ref="A108:I108"/>
    <mergeCell ref="A109:I109"/>
    <mergeCell ref="A110:I110"/>
    <mergeCell ref="A111:I111"/>
    <mergeCell ref="A112:I112"/>
    <mergeCell ref="R70:U70"/>
    <mergeCell ref="C106:F106"/>
    <mergeCell ref="A85:I85"/>
    <mergeCell ref="A92:I92"/>
    <mergeCell ref="B93:G93"/>
    <mergeCell ref="B94:G94"/>
    <mergeCell ref="A96:I96"/>
    <mergeCell ref="A97:I97"/>
    <mergeCell ref="A98:I98"/>
    <mergeCell ref="A100:I100"/>
    <mergeCell ref="C102:F102"/>
    <mergeCell ref="C103:F103"/>
    <mergeCell ref="C105:F105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3"/>
  <sheetViews>
    <sheetView topLeftCell="A87" workbookViewId="0">
      <selection activeCell="A101" sqref="A101:I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155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3" t="s">
        <v>146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</row>
    <row r="4" spans="1:13" ht="31.5" customHeight="1">
      <c r="A4" s="134" t="s">
        <v>127</v>
      </c>
      <c r="B4" s="134"/>
      <c r="C4" s="134"/>
      <c r="D4" s="134"/>
      <c r="E4" s="134"/>
      <c r="F4" s="134"/>
      <c r="G4" s="134"/>
      <c r="H4" s="134"/>
      <c r="I4" s="134"/>
    </row>
    <row r="5" spans="1:13" ht="15.75" customHeight="1">
      <c r="A5" s="133" t="s">
        <v>212</v>
      </c>
      <c r="B5" s="137"/>
      <c r="C5" s="137"/>
      <c r="D5" s="137"/>
      <c r="E5" s="137"/>
      <c r="F5" s="137"/>
      <c r="G5" s="137"/>
      <c r="H5" s="137"/>
      <c r="I5" s="137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44377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181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129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8" t="s">
        <v>59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90</v>
      </c>
      <c r="D16" s="86" t="s">
        <v>160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88</v>
      </c>
      <c r="C17" s="87" t="s">
        <v>90</v>
      </c>
      <c r="D17" s="86" t="s">
        <v>161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89</v>
      </c>
      <c r="C18" s="87" t="s">
        <v>90</v>
      </c>
      <c r="D18" s="86" t="s">
        <v>162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customHeight="1">
      <c r="A19" s="30">
        <v>4</v>
      </c>
      <c r="B19" s="86" t="s">
        <v>91</v>
      </c>
      <c r="C19" s="87" t="s">
        <v>86</v>
      </c>
      <c r="D19" s="86" t="s">
        <v>168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F19*G19</f>
        <v>323.9622</v>
      </c>
      <c r="J19" s="23"/>
      <c r="K19" s="8"/>
      <c r="L19" s="8"/>
      <c r="M19" s="8"/>
    </row>
    <row r="20" spans="1:13" ht="15.75" hidden="1" customHeight="1">
      <c r="A20" s="30">
        <v>5</v>
      </c>
      <c r="B20" s="86" t="s">
        <v>93</v>
      </c>
      <c r="C20" s="87" t="s">
        <v>90</v>
      </c>
      <c r="D20" s="86" t="s">
        <v>168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6</v>
      </c>
      <c r="B21" s="86" t="s">
        <v>94</v>
      </c>
      <c r="C21" s="87" t="s">
        <v>90</v>
      </c>
      <c r="D21" s="86" t="s">
        <v>168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95</v>
      </c>
      <c r="C22" s="87" t="s">
        <v>53</v>
      </c>
      <c r="D22" s="86" t="s">
        <v>172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96</v>
      </c>
      <c r="C23" s="87" t="s">
        <v>53</v>
      </c>
      <c r="D23" s="86" t="s">
        <v>169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97</v>
      </c>
      <c r="C24" s="87" t="s">
        <v>53</v>
      </c>
      <c r="D24" s="86" t="s">
        <v>169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98</v>
      </c>
      <c r="C25" s="87" t="s">
        <v>53</v>
      </c>
      <c r="D25" s="86" t="s">
        <v>168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99</v>
      </c>
      <c r="C26" s="87" t="s">
        <v>53</v>
      </c>
      <c r="D26" s="86" t="s">
        <v>171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hidden="1" customHeight="1">
      <c r="A27" s="30">
        <v>12</v>
      </c>
      <c r="B27" s="34" t="s">
        <v>159</v>
      </c>
      <c r="C27" s="44" t="s">
        <v>154</v>
      </c>
      <c r="D27" s="34" t="s">
        <v>163</v>
      </c>
      <c r="E27" s="117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39" t="s">
        <v>81</v>
      </c>
      <c r="B28" s="139"/>
      <c r="C28" s="139"/>
      <c r="D28" s="139"/>
      <c r="E28" s="139"/>
      <c r="F28" s="139"/>
      <c r="G28" s="139"/>
      <c r="H28" s="139"/>
      <c r="I28" s="139"/>
      <c r="J28" s="23"/>
      <c r="K28" s="8"/>
      <c r="L28" s="8"/>
      <c r="M28" s="8"/>
    </row>
    <row r="29" spans="1:13" ht="15.75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customHeight="1">
      <c r="A30" s="45">
        <v>5</v>
      </c>
      <c r="B30" s="86" t="s">
        <v>134</v>
      </c>
      <c r="C30" s="87" t="s">
        <v>100</v>
      </c>
      <c r="D30" s="86" t="s">
        <v>161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customHeight="1">
      <c r="A31" s="45">
        <v>6</v>
      </c>
      <c r="B31" s="86" t="s">
        <v>135</v>
      </c>
      <c r="C31" s="87" t="s">
        <v>100</v>
      </c>
      <c r="D31" s="86" t="s">
        <v>160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3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16</v>
      </c>
      <c r="B32" s="86" t="s">
        <v>26</v>
      </c>
      <c r="C32" s="87" t="s">
        <v>100</v>
      </c>
      <c r="D32" s="86" t="s">
        <v>168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customHeight="1">
      <c r="A33" s="45">
        <v>7</v>
      </c>
      <c r="B33" s="86" t="s">
        <v>103</v>
      </c>
      <c r="C33" s="87" t="s">
        <v>40</v>
      </c>
      <c r="D33" s="86" t="s">
        <v>165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4</v>
      </c>
      <c r="B34" s="86" t="s">
        <v>64</v>
      </c>
      <c r="C34" s="87" t="s">
        <v>32</v>
      </c>
      <c r="D34" s="86" t="s">
        <v>66</v>
      </c>
      <c r="E34" s="88"/>
      <c r="F34" s="89">
        <v>1</v>
      </c>
      <c r="G34" s="89">
        <v>238.07</v>
      </c>
      <c r="H34" s="90">
        <f t="shared" ref="H34:H35" si="5">SUM(F34*G34/1000)</f>
        <v>0.23807</v>
      </c>
      <c r="I34" s="13">
        <v>0</v>
      </c>
      <c r="J34" s="24"/>
    </row>
    <row r="35" spans="1:14" ht="15.75" hidden="1" customHeight="1">
      <c r="A35" s="30">
        <v>8</v>
      </c>
      <c r="B35" s="86" t="s">
        <v>65</v>
      </c>
      <c r="C35" s="87" t="s">
        <v>31</v>
      </c>
      <c r="D35" s="86" t="s">
        <v>66</v>
      </c>
      <c r="E35" s="88"/>
      <c r="F35" s="89">
        <v>1</v>
      </c>
      <c r="G35" s="89">
        <v>1413.96</v>
      </c>
      <c r="H35" s="90">
        <f t="shared" si="5"/>
        <v>1.4139600000000001</v>
      </c>
      <c r="I35" s="13">
        <v>0</v>
      </c>
      <c r="J35" s="24"/>
    </row>
    <row r="36" spans="1:14" ht="15.75" hidden="1" customHeight="1">
      <c r="A36" s="45"/>
      <c r="B36" s="53" t="s">
        <v>5</v>
      </c>
      <c r="C36" s="53"/>
      <c r="D36" s="53"/>
      <c r="E36" s="53"/>
      <c r="F36" s="13"/>
      <c r="G36" s="14"/>
      <c r="H36" s="14"/>
      <c r="I36" s="19"/>
      <c r="J36" s="24"/>
    </row>
    <row r="37" spans="1:14" ht="15.75" hidden="1" customHeight="1">
      <c r="A37" s="35">
        <v>6</v>
      </c>
      <c r="B37" s="86" t="s">
        <v>25</v>
      </c>
      <c r="C37" s="87" t="s">
        <v>31</v>
      </c>
      <c r="D37" s="86"/>
      <c r="E37" s="88"/>
      <c r="F37" s="89">
        <v>2</v>
      </c>
      <c r="G37" s="89">
        <v>1900.37</v>
      </c>
      <c r="H37" s="90">
        <f t="shared" ref="H37:H42" si="6">SUM(F37*G37/1000)</f>
        <v>3.8007399999999998</v>
      </c>
      <c r="I37" s="13">
        <f t="shared" ref="I37:I42" si="7">F37/6*G37</f>
        <v>633.45666666666659</v>
      </c>
      <c r="J37" s="24"/>
    </row>
    <row r="38" spans="1:14" ht="15.75" hidden="1" customHeight="1">
      <c r="A38" s="35">
        <v>7</v>
      </c>
      <c r="B38" s="86" t="s">
        <v>67</v>
      </c>
      <c r="C38" s="67" t="s">
        <v>28</v>
      </c>
      <c r="D38" s="36" t="s">
        <v>105</v>
      </c>
      <c r="E38" s="37">
        <v>65.25</v>
      </c>
      <c r="F38" s="89">
        <f>SUM(E38*30/1000)</f>
        <v>1.9575</v>
      </c>
      <c r="G38" s="89">
        <v>2616.4899999999998</v>
      </c>
      <c r="H38" s="90">
        <f t="shared" si="6"/>
        <v>5.1217791749999995</v>
      </c>
      <c r="I38" s="13">
        <f t="shared" si="7"/>
        <v>853.62986249999994</v>
      </c>
      <c r="J38" s="24"/>
    </row>
    <row r="39" spans="1:14" ht="15.75" hidden="1" customHeight="1">
      <c r="A39" s="35">
        <v>8</v>
      </c>
      <c r="B39" s="86" t="s">
        <v>68</v>
      </c>
      <c r="C39" s="44" t="s">
        <v>28</v>
      </c>
      <c r="D39" s="34" t="s">
        <v>106</v>
      </c>
      <c r="E39" s="33">
        <v>65.25</v>
      </c>
      <c r="F39" s="89">
        <f>SUM(E39*155/1000)</f>
        <v>10.11375</v>
      </c>
      <c r="G39" s="89">
        <v>436.45</v>
      </c>
      <c r="H39" s="90">
        <f t="shared" si="6"/>
        <v>4.4141461874999992</v>
      </c>
      <c r="I39" s="13">
        <f t="shared" si="7"/>
        <v>735.69103124999992</v>
      </c>
      <c r="J39" s="24"/>
    </row>
    <row r="40" spans="1:14" ht="46.5" hidden="1" customHeight="1">
      <c r="A40" s="35">
        <v>9</v>
      </c>
      <c r="B40" s="86" t="s">
        <v>80</v>
      </c>
      <c r="C40" s="44" t="s">
        <v>100</v>
      </c>
      <c r="D40" s="34" t="s">
        <v>107</v>
      </c>
      <c r="E40" s="33">
        <v>65.25</v>
      </c>
      <c r="F40" s="89">
        <f>SUM(E40*35/1000)</f>
        <v>2.2837499999999999</v>
      </c>
      <c r="G40" s="89">
        <v>7221.21</v>
      </c>
      <c r="H40" s="90">
        <f t="shared" si="6"/>
        <v>16.4914383375</v>
      </c>
      <c r="I40" s="13">
        <f t="shared" si="7"/>
        <v>2748.5730562499998</v>
      </c>
      <c r="J40" s="24"/>
      <c r="L40" s="20"/>
      <c r="M40" s="21"/>
      <c r="N40" s="22"/>
    </row>
    <row r="41" spans="1:14" ht="15.75" hidden="1" customHeight="1">
      <c r="A41" s="35">
        <v>10</v>
      </c>
      <c r="B41" s="86" t="s">
        <v>108</v>
      </c>
      <c r="C41" s="44" t="s">
        <v>100</v>
      </c>
      <c r="D41" s="34" t="s">
        <v>109</v>
      </c>
      <c r="E41" s="33">
        <v>65.25</v>
      </c>
      <c r="F41" s="89">
        <f>SUM(E41*20/1000)</f>
        <v>1.3049999999999999</v>
      </c>
      <c r="G41" s="89">
        <v>533.45000000000005</v>
      </c>
      <c r="H41" s="90">
        <f t="shared" si="6"/>
        <v>0.69615225000000003</v>
      </c>
      <c r="I41" s="13">
        <f t="shared" si="7"/>
        <v>116.02537500000001</v>
      </c>
      <c r="J41" s="24"/>
      <c r="L41" s="20"/>
      <c r="M41" s="21"/>
      <c r="N41" s="22"/>
    </row>
    <row r="42" spans="1:14" ht="15.75" hidden="1" customHeight="1">
      <c r="A42" s="35">
        <v>11</v>
      </c>
      <c r="B42" s="86" t="s">
        <v>69</v>
      </c>
      <c r="C42" s="87" t="s">
        <v>32</v>
      </c>
      <c r="D42" s="86"/>
      <c r="E42" s="88"/>
      <c r="F42" s="89">
        <v>0.5</v>
      </c>
      <c r="G42" s="89">
        <v>992.97</v>
      </c>
      <c r="H42" s="90">
        <f t="shared" si="6"/>
        <v>0.49648500000000001</v>
      </c>
      <c r="I42" s="13">
        <f t="shared" si="7"/>
        <v>82.747500000000002</v>
      </c>
      <c r="J42" s="24"/>
      <c r="L42" s="20"/>
      <c r="M42" s="21"/>
      <c r="N42" s="22"/>
    </row>
    <row r="43" spans="1:14" ht="15.75" hidden="1" customHeight="1">
      <c r="A43" s="140" t="s">
        <v>130</v>
      </c>
      <c r="B43" s="141"/>
      <c r="C43" s="141"/>
      <c r="D43" s="141"/>
      <c r="E43" s="141"/>
      <c r="F43" s="141"/>
      <c r="G43" s="141"/>
      <c r="H43" s="141"/>
      <c r="I43" s="142"/>
      <c r="J43" s="24"/>
      <c r="L43" s="20"/>
      <c r="M43" s="21"/>
      <c r="N43" s="22"/>
    </row>
    <row r="44" spans="1:14" ht="15.75" hidden="1" customHeight="1">
      <c r="A44" s="45">
        <v>19</v>
      </c>
      <c r="B44" s="86" t="s">
        <v>110</v>
      </c>
      <c r="C44" s="87" t="s">
        <v>100</v>
      </c>
      <c r="D44" s="86" t="s">
        <v>42</v>
      </c>
      <c r="E44" s="88">
        <v>1026.8</v>
      </c>
      <c r="F44" s="89">
        <f>SUM(E44*2/1000)</f>
        <v>2.0535999999999999</v>
      </c>
      <c r="G44" s="13">
        <v>1283.46</v>
      </c>
      <c r="H44" s="90">
        <f t="shared" ref="H44:H54" si="8">SUM(F44*G44/1000)</f>
        <v>2.635713456</v>
      </c>
      <c r="I44" s="13">
        <f t="shared" ref="I44:I47" si="9">F44/2*G44</f>
        <v>1317.856728</v>
      </c>
      <c r="J44" s="24"/>
      <c r="L44" s="20"/>
      <c r="M44" s="21"/>
      <c r="N44" s="22"/>
    </row>
    <row r="45" spans="1:14" ht="15.75" hidden="1" customHeight="1">
      <c r="A45" s="45">
        <v>20</v>
      </c>
      <c r="B45" s="86" t="s">
        <v>35</v>
      </c>
      <c r="C45" s="87" t="s">
        <v>100</v>
      </c>
      <c r="D45" s="86" t="s">
        <v>42</v>
      </c>
      <c r="E45" s="88">
        <v>19.8</v>
      </c>
      <c r="F45" s="89">
        <f>SUM(E45*2/1000)</f>
        <v>3.9600000000000003E-2</v>
      </c>
      <c r="G45" s="13">
        <v>4192.6400000000003</v>
      </c>
      <c r="H45" s="90">
        <f t="shared" si="8"/>
        <v>0.16602854400000003</v>
      </c>
      <c r="I45" s="13">
        <f t="shared" si="9"/>
        <v>83.01427200000002</v>
      </c>
      <c r="J45" s="24"/>
      <c r="L45" s="20"/>
      <c r="M45" s="21"/>
      <c r="N45" s="22"/>
    </row>
    <row r="46" spans="1:14" ht="15.75" hidden="1" customHeight="1">
      <c r="A46" s="45">
        <v>21</v>
      </c>
      <c r="B46" s="86" t="s">
        <v>36</v>
      </c>
      <c r="C46" s="87" t="s">
        <v>100</v>
      </c>
      <c r="D46" s="86" t="s">
        <v>42</v>
      </c>
      <c r="E46" s="88">
        <v>660.84</v>
      </c>
      <c r="F46" s="89">
        <f>SUM(E46*2/1000)</f>
        <v>1.32168</v>
      </c>
      <c r="G46" s="13">
        <v>1711.28</v>
      </c>
      <c r="H46" s="90">
        <f t="shared" si="8"/>
        <v>2.2617645503999997</v>
      </c>
      <c r="I46" s="13">
        <f t="shared" si="9"/>
        <v>1130.8822751999999</v>
      </c>
      <c r="J46" s="24"/>
      <c r="L46" s="20"/>
      <c r="M46" s="21"/>
      <c r="N46" s="22"/>
    </row>
    <row r="47" spans="1:14" ht="15.75" hidden="1" customHeight="1">
      <c r="A47" s="45">
        <v>22</v>
      </c>
      <c r="B47" s="86" t="s">
        <v>37</v>
      </c>
      <c r="C47" s="87" t="s">
        <v>100</v>
      </c>
      <c r="D47" s="86" t="s">
        <v>42</v>
      </c>
      <c r="E47" s="88">
        <v>1156.21</v>
      </c>
      <c r="F47" s="89">
        <f>SUM(E47*2/1000)</f>
        <v>2.3124199999999999</v>
      </c>
      <c r="G47" s="13">
        <v>1179.73</v>
      </c>
      <c r="H47" s="90">
        <f t="shared" si="8"/>
        <v>2.7280312466000001</v>
      </c>
      <c r="I47" s="13">
        <f t="shared" si="9"/>
        <v>1364.0156233</v>
      </c>
      <c r="J47" s="24"/>
      <c r="L47" s="20"/>
      <c r="M47" s="21"/>
      <c r="N47" s="22"/>
    </row>
    <row r="48" spans="1:14" ht="15.75" hidden="1" customHeight="1">
      <c r="A48" s="45">
        <v>23</v>
      </c>
      <c r="B48" s="86" t="s">
        <v>33</v>
      </c>
      <c r="C48" s="87" t="s">
        <v>34</v>
      </c>
      <c r="D48" s="86" t="s">
        <v>42</v>
      </c>
      <c r="E48" s="88">
        <v>15</v>
      </c>
      <c r="F48" s="89">
        <f>SUM(E48*2/100)</f>
        <v>0.3</v>
      </c>
      <c r="G48" s="13">
        <v>90.61</v>
      </c>
      <c r="H48" s="90">
        <f t="shared" si="8"/>
        <v>2.7182999999999999E-2</v>
      </c>
      <c r="I48" s="13">
        <f>F48/2*G48</f>
        <v>13.5915</v>
      </c>
      <c r="J48" s="24"/>
      <c r="L48" s="20"/>
      <c r="M48" s="21"/>
      <c r="N48" s="22"/>
    </row>
    <row r="49" spans="1:14" ht="15.75" hidden="1" customHeight="1">
      <c r="A49" s="45">
        <v>24</v>
      </c>
      <c r="B49" s="86" t="s">
        <v>56</v>
      </c>
      <c r="C49" s="87" t="s">
        <v>100</v>
      </c>
      <c r="D49" s="86" t="s">
        <v>137</v>
      </c>
      <c r="E49" s="88">
        <v>1803.1</v>
      </c>
      <c r="F49" s="89">
        <f>SUM(E49*5/1000)</f>
        <v>9.0154999999999994</v>
      </c>
      <c r="G49" s="13">
        <v>1711.28</v>
      </c>
      <c r="H49" s="90">
        <f t="shared" si="8"/>
        <v>15.428044839999998</v>
      </c>
      <c r="I49" s="13">
        <f>F49/5*G49</f>
        <v>3085.608968</v>
      </c>
      <c r="J49" s="24"/>
      <c r="L49" s="20"/>
      <c r="M49" s="21"/>
      <c r="N49" s="22"/>
    </row>
    <row r="50" spans="1:14" ht="31.5" hidden="1" customHeight="1">
      <c r="A50" s="45">
        <v>25</v>
      </c>
      <c r="B50" s="86" t="s">
        <v>111</v>
      </c>
      <c r="C50" s="87" t="s">
        <v>100</v>
      </c>
      <c r="D50" s="86" t="s">
        <v>42</v>
      </c>
      <c r="E50" s="88">
        <v>1803.1</v>
      </c>
      <c r="F50" s="89">
        <f>SUM(E50*2/1000)</f>
        <v>3.6061999999999999</v>
      </c>
      <c r="G50" s="13">
        <v>1510.06</v>
      </c>
      <c r="H50" s="90">
        <f t="shared" si="8"/>
        <v>5.4455783719999999</v>
      </c>
      <c r="I50" s="13">
        <f>F50/2*G50</f>
        <v>2722.789186</v>
      </c>
      <c r="J50" s="24"/>
      <c r="L50" s="20"/>
      <c r="M50" s="21"/>
      <c r="N50" s="22"/>
    </row>
    <row r="51" spans="1:14" ht="31.5" hidden="1" customHeight="1">
      <c r="A51" s="45">
        <v>26</v>
      </c>
      <c r="B51" s="86" t="s">
        <v>112</v>
      </c>
      <c r="C51" s="87" t="s">
        <v>38</v>
      </c>
      <c r="D51" s="86" t="s">
        <v>42</v>
      </c>
      <c r="E51" s="88">
        <v>9</v>
      </c>
      <c r="F51" s="89">
        <f>SUM(E51*2/100)</f>
        <v>0.18</v>
      </c>
      <c r="G51" s="13">
        <v>3850.4</v>
      </c>
      <c r="H51" s="90">
        <f t="shared" si="8"/>
        <v>0.69307200000000002</v>
      </c>
      <c r="I51" s="13">
        <f t="shared" ref="I51:I52" si="10">F51/2*G51</f>
        <v>346.536</v>
      </c>
      <c r="J51" s="24"/>
      <c r="L51" s="20"/>
      <c r="M51" s="21"/>
      <c r="N51" s="22"/>
    </row>
    <row r="52" spans="1:14" ht="15.75" hidden="1" customHeight="1">
      <c r="A52" s="45">
        <v>27</v>
      </c>
      <c r="B52" s="86" t="s">
        <v>39</v>
      </c>
      <c r="C52" s="87" t="s">
        <v>40</v>
      </c>
      <c r="D52" s="86" t="s">
        <v>42</v>
      </c>
      <c r="E52" s="88">
        <v>1</v>
      </c>
      <c r="F52" s="89">
        <v>0.02</v>
      </c>
      <c r="G52" s="13">
        <v>7033.13</v>
      </c>
      <c r="H52" s="90">
        <f t="shared" si="8"/>
        <v>0.1406626</v>
      </c>
      <c r="I52" s="13">
        <f t="shared" si="10"/>
        <v>70.331299999999999</v>
      </c>
      <c r="J52" s="24"/>
      <c r="L52" s="20"/>
      <c r="M52" s="21"/>
      <c r="N52" s="22"/>
    </row>
    <row r="53" spans="1:14" ht="15.75" hidden="1" customHeight="1">
      <c r="A53" s="45">
        <v>10</v>
      </c>
      <c r="B53" s="86" t="s">
        <v>136</v>
      </c>
      <c r="C53" s="87" t="s">
        <v>29</v>
      </c>
      <c r="D53" s="86" t="s">
        <v>70</v>
      </c>
      <c r="E53" s="88">
        <v>36</v>
      </c>
      <c r="F53" s="89">
        <f>E53*3</f>
        <v>108</v>
      </c>
      <c r="G53" s="13">
        <v>175.6</v>
      </c>
      <c r="H53" s="90">
        <f t="shared" si="8"/>
        <v>18.9648</v>
      </c>
      <c r="I53" s="13">
        <f>E53*G53</f>
        <v>6321.5999999999995</v>
      </c>
      <c r="J53" s="24"/>
      <c r="L53" s="20"/>
      <c r="M53" s="21"/>
      <c r="N53" s="22"/>
    </row>
    <row r="54" spans="1:14" ht="15.75" hidden="1" customHeight="1">
      <c r="A54" s="45">
        <v>11</v>
      </c>
      <c r="B54" s="86" t="s">
        <v>41</v>
      </c>
      <c r="C54" s="87" t="s">
        <v>29</v>
      </c>
      <c r="D54" s="86" t="s">
        <v>70</v>
      </c>
      <c r="E54" s="88">
        <v>36</v>
      </c>
      <c r="F54" s="89">
        <f>SUM(E54)*3</f>
        <v>108</v>
      </c>
      <c r="G54" s="13">
        <v>81.73</v>
      </c>
      <c r="H54" s="90">
        <f t="shared" si="8"/>
        <v>8.8268400000000007</v>
      </c>
      <c r="I54" s="13">
        <f>E54*G54</f>
        <v>2942.28</v>
      </c>
      <c r="J54" s="24"/>
      <c r="L54" s="20"/>
      <c r="M54" s="21"/>
      <c r="N54" s="22"/>
    </row>
    <row r="55" spans="1:14" ht="15.75" customHeight="1">
      <c r="A55" s="140" t="s">
        <v>142</v>
      </c>
      <c r="B55" s="141"/>
      <c r="C55" s="141"/>
      <c r="D55" s="141"/>
      <c r="E55" s="141"/>
      <c r="F55" s="141"/>
      <c r="G55" s="141"/>
      <c r="H55" s="141"/>
      <c r="I55" s="142"/>
      <c r="J55" s="24"/>
      <c r="L55" s="20"/>
      <c r="M55" s="21"/>
      <c r="N55" s="22"/>
    </row>
    <row r="56" spans="1:14" ht="15.75" hidden="1" customHeight="1">
      <c r="A56" s="57"/>
      <c r="B56" s="52" t="s">
        <v>43</v>
      </c>
      <c r="C56" s="17"/>
      <c r="D56" s="16"/>
      <c r="E56" s="16"/>
      <c r="F56" s="16"/>
      <c r="G56" s="30"/>
      <c r="H56" s="30"/>
      <c r="I56" s="19"/>
      <c r="J56" s="24"/>
      <c r="L56" s="20"/>
      <c r="M56" s="21"/>
      <c r="N56" s="22"/>
    </row>
    <row r="57" spans="1:14" ht="31.5" hidden="1" customHeight="1">
      <c r="A57" s="45">
        <v>12</v>
      </c>
      <c r="B57" s="86" t="s">
        <v>114</v>
      </c>
      <c r="C57" s="87" t="s">
        <v>90</v>
      </c>
      <c r="D57" s="86" t="s">
        <v>71</v>
      </c>
      <c r="E57" s="88">
        <v>12</v>
      </c>
      <c r="F57" s="89">
        <f>E57*6/100</f>
        <v>0.72</v>
      </c>
      <c r="G57" s="95">
        <v>2306.62</v>
      </c>
      <c r="H57" s="90">
        <f>F57*G57/1000</f>
        <v>1.6607663999999998</v>
      </c>
      <c r="I57" s="13">
        <f>F57/6*G57</f>
        <v>276.7944</v>
      </c>
      <c r="J57" s="24"/>
      <c r="L57" s="20"/>
      <c r="M57" s="21"/>
      <c r="N57" s="22"/>
    </row>
    <row r="58" spans="1:14" ht="15.75" hidden="1" customHeight="1">
      <c r="A58" s="45"/>
      <c r="B58" s="96" t="s">
        <v>83</v>
      </c>
      <c r="C58" s="97" t="s">
        <v>115</v>
      </c>
      <c r="D58" s="96" t="s">
        <v>66</v>
      </c>
      <c r="E58" s="98"/>
      <c r="F58" s="99">
        <v>2</v>
      </c>
      <c r="G58" s="100">
        <v>1501</v>
      </c>
      <c r="H58" s="90">
        <f>F58*G58/1000</f>
        <v>3.0019999999999998</v>
      </c>
      <c r="I58" s="13">
        <v>0</v>
      </c>
      <c r="J58" s="24"/>
      <c r="L58" s="20"/>
      <c r="M58" s="21"/>
      <c r="N58" s="22"/>
    </row>
    <row r="59" spans="1:14" ht="15.75" hidden="1" customHeight="1">
      <c r="A59" s="45"/>
      <c r="B59" s="77" t="s">
        <v>44</v>
      </c>
      <c r="C59" s="77"/>
      <c r="D59" s="77"/>
      <c r="E59" s="77"/>
      <c r="F59" s="77"/>
      <c r="G59" s="68"/>
      <c r="H59" s="68"/>
      <c r="I59" s="39"/>
      <c r="J59" s="24"/>
      <c r="L59" s="20"/>
      <c r="M59" s="21"/>
      <c r="N59" s="22"/>
    </row>
    <row r="60" spans="1:14" ht="15.75" hidden="1" customHeight="1">
      <c r="A60" s="45">
        <v>27</v>
      </c>
      <c r="B60" s="96" t="s">
        <v>45</v>
      </c>
      <c r="C60" s="97" t="s">
        <v>53</v>
      </c>
      <c r="D60" s="96" t="s">
        <v>54</v>
      </c>
      <c r="E60" s="98">
        <v>177</v>
      </c>
      <c r="F60" s="99">
        <f>E60/100</f>
        <v>1.77</v>
      </c>
      <c r="G60" s="100">
        <v>987.51</v>
      </c>
      <c r="H60" s="101">
        <f>G60*F60/1000</f>
        <v>1.7478927000000002</v>
      </c>
      <c r="I60" s="13">
        <v>0</v>
      </c>
      <c r="J60" s="24"/>
      <c r="L60" s="20"/>
      <c r="M60" s="21"/>
      <c r="N60" s="22"/>
    </row>
    <row r="61" spans="1:14" ht="15.75" customHeight="1">
      <c r="A61" s="45"/>
      <c r="B61" s="77" t="s">
        <v>46</v>
      </c>
      <c r="C61" s="17"/>
      <c r="D61" s="41"/>
      <c r="E61" s="41"/>
      <c r="F61" s="16"/>
      <c r="G61" s="69"/>
      <c r="H61" s="68"/>
      <c r="I61" s="19"/>
      <c r="J61" s="24"/>
      <c r="L61" s="20"/>
      <c r="M61" s="21"/>
      <c r="N61" s="22"/>
    </row>
    <row r="62" spans="1:14" ht="15.75" hidden="1" customHeight="1">
      <c r="A62" s="45">
        <v>17</v>
      </c>
      <c r="B62" s="15" t="s">
        <v>47</v>
      </c>
      <c r="C62" s="17" t="s">
        <v>113</v>
      </c>
      <c r="D62" s="15" t="s">
        <v>66</v>
      </c>
      <c r="E62" s="19">
        <v>1</v>
      </c>
      <c r="F62" s="89">
        <f>E62</f>
        <v>1</v>
      </c>
      <c r="G62" s="13">
        <v>276.74</v>
      </c>
      <c r="H62" s="102">
        <f t="shared" ref="H62:H70" si="11">SUM(F62*G62/1000)</f>
        <v>0.27673999999999999</v>
      </c>
      <c r="I62" s="13">
        <v>0</v>
      </c>
      <c r="J62" s="24"/>
      <c r="L62" s="20"/>
      <c r="M62" s="21"/>
      <c r="N62" s="22"/>
    </row>
    <row r="63" spans="1:14" ht="16.5" hidden="1" customHeight="1">
      <c r="A63" s="30">
        <v>29</v>
      </c>
      <c r="B63" s="15" t="s">
        <v>48</v>
      </c>
      <c r="C63" s="17" t="s">
        <v>113</v>
      </c>
      <c r="D63" s="15" t="s">
        <v>66</v>
      </c>
      <c r="E63" s="19">
        <v>3</v>
      </c>
      <c r="F63" s="89">
        <v>3</v>
      </c>
      <c r="G63" s="13">
        <v>94.89</v>
      </c>
      <c r="H63" s="102">
        <f t="shared" si="11"/>
        <v>0.28467000000000003</v>
      </c>
      <c r="I63" s="13">
        <v>0</v>
      </c>
      <c r="J63" s="24"/>
      <c r="L63" s="20"/>
    </row>
    <row r="64" spans="1:14" ht="18" customHeight="1">
      <c r="A64" s="30">
        <v>8</v>
      </c>
      <c r="B64" s="15" t="s">
        <v>49</v>
      </c>
      <c r="C64" s="17" t="s">
        <v>116</v>
      </c>
      <c r="D64" s="15"/>
      <c r="E64" s="88">
        <v>7265</v>
      </c>
      <c r="F64" s="13">
        <f>SUM(E64/100)</f>
        <v>72.650000000000006</v>
      </c>
      <c r="G64" s="13">
        <v>263.99</v>
      </c>
      <c r="H64" s="102">
        <f t="shared" si="11"/>
        <v>19.178873500000002</v>
      </c>
      <c r="I64" s="13">
        <f>F64*G64</f>
        <v>19178.873500000002</v>
      </c>
    </row>
    <row r="65" spans="1:22" ht="19.5" customHeight="1">
      <c r="A65" s="30">
        <v>9</v>
      </c>
      <c r="B65" s="15" t="s">
        <v>50</v>
      </c>
      <c r="C65" s="17" t="s">
        <v>117</v>
      </c>
      <c r="D65" s="15"/>
      <c r="E65" s="88">
        <v>7265</v>
      </c>
      <c r="F65" s="13">
        <f>SUM(E65/1000)</f>
        <v>7.2649999999999997</v>
      </c>
      <c r="G65" s="13">
        <v>205.57</v>
      </c>
      <c r="H65" s="102">
        <f t="shared" si="11"/>
        <v>1.4934660500000001</v>
      </c>
      <c r="I65" s="13">
        <f t="shared" ref="I65:I68" si="12">F65*G65</f>
        <v>1493.46605</v>
      </c>
    </row>
    <row r="66" spans="1:22" ht="19.5" customHeight="1">
      <c r="A66" s="30">
        <v>10</v>
      </c>
      <c r="B66" s="15" t="s">
        <v>51</v>
      </c>
      <c r="C66" s="17" t="s">
        <v>76</v>
      </c>
      <c r="D66" s="15"/>
      <c r="E66" s="88">
        <v>1090</v>
      </c>
      <c r="F66" s="13">
        <f>SUM(E66/100)</f>
        <v>10.9</v>
      </c>
      <c r="G66" s="13">
        <v>2581.5300000000002</v>
      </c>
      <c r="H66" s="102">
        <f t="shared" si="11"/>
        <v>28.138677000000005</v>
      </c>
      <c r="I66" s="13">
        <f t="shared" si="12"/>
        <v>28138.677000000003</v>
      </c>
    </row>
    <row r="67" spans="1:22" ht="19.5" customHeight="1">
      <c r="A67" s="30">
        <v>11</v>
      </c>
      <c r="B67" s="103" t="s">
        <v>118</v>
      </c>
      <c r="C67" s="17" t="s">
        <v>32</v>
      </c>
      <c r="D67" s="15"/>
      <c r="E67" s="88">
        <v>7.4</v>
      </c>
      <c r="F67" s="13">
        <f>SUM(E67)</f>
        <v>7.4</v>
      </c>
      <c r="G67" s="13">
        <v>47.45</v>
      </c>
      <c r="H67" s="102">
        <f t="shared" si="11"/>
        <v>0.35113000000000005</v>
      </c>
      <c r="I67" s="13">
        <f t="shared" si="12"/>
        <v>351.13000000000005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7.25" customHeight="1">
      <c r="A68" s="30">
        <v>12</v>
      </c>
      <c r="B68" s="103" t="s">
        <v>138</v>
      </c>
      <c r="C68" s="17" t="s">
        <v>32</v>
      </c>
      <c r="D68" s="15"/>
      <c r="E68" s="88">
        <v>7.4</v>
      </c>
      <c r="F68" s="13">
        <f>SUM(E68)</f>
        <v>7.4</v>
      </c>
      <c r="G68" s="13">
        <v>44.27</v>
      </c>
      <c r="H68" s="102">
        <f t="shared" si="11"/>
        <v>0.327598</v>
      </c>
      <c r="I68" s="13">
        <f t="shared" si="12"/>
        <v>327.59800000000001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6.5" hidden="1" customHeight="1">
      <c r="A69" s="30">
        <v>13</v>
      </c>
      <c r="B69" s="15" t="s">
        <v>57</v>
      </c>
      <c r="C69" s="17" t="s">
        <v>58</v>
      </c>
      <c r="D69" s="15" t="s">
        <v>54</v>
      </c>
      <c r="E69" s="19">
        <v>3</v>
      </c>
      <c r="F69" s="89">
        <f>SUM(E69)</f>
        <v>3</v>
      </c>
      <c r="G69" s="13">
        <v>62.07</v>
      </c>
      <c r="H69" s="102">
        <f t="shared" si="11"/>
        <v>0.18621000000000001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customHeight="1">
      <c r="A70" s="30">
        <v>13</v>
      </c>
      <c r="B70" s="15" t="s">
        <v>84</v>
      </c>
      <c r="C70" s="30" t="s">
        <v>119</v>
      </c>
      <c r="D70" s="15"/>
      <c r="E70" s="19">
        <v>1803.1</v>
      </c>
      <c r="F70" s="89">
        <f>SUM(E70*12)</f>
        <v>21637.199999999997</v>
      </c>
      <c r="G70" s="13">
        <v>2.16</v>
      </c>
      <c r="H70" s="102">
        <f t="shared" si="11"/>
        <v>46.736351999999997</v>
      </c>
      <c r="I70" s="13">
        <f>F70/12*G70</f>
        <v>3894.6959999999995</v>
      </c>
      <c r="J70" s="5"/>
      <c r="K70" s="5"/>
      <c r="L70" s="5"/>
      <c r="M70" s="5"/>
      <c r="N70" s="5"/>
      <c r="O70" s="5"/>
      <c r="P70" s="5"/>
      <c r="Q70" s="5"/>
      <c r="R70" s="132"/>
      <c r="S70" s="132"/>
      <c r="T70" s="132"/>
      <c r="U70" s="132"/>
    </row>
    <row r="71" spans="1:22" ht="15.75" hidden="1" customHeight="1">
      <c r="A71" s="30"/>
      <c r="B71" s="53" t="s">
        <v>72</v>
      </c>
      <c r="C71" s="53"/>
      <c r="D71" s="53"/>
      <c r="E71" s="53"/>
      <c r="F71" s="19"/>
      <c r="G71" s="30"/>
      <c r="H71" s="30"/>
      <c r="I71" s="19"/>
    </row>
    <row r="72" spans="1:22" ht="15.75" hidden="1" customHeight="1">
      <c r="A72" s="30"/>
      <c r="B72" s="15" t="s">
        <v>121</v>
      </c>
      <c r="C72" s="17" t="s">
        <v>122</v>
      </c>
      <c r="D72" s="15" t="s">
        <v>66</v>
      </c>
      <c r="E72" s="19">
        <v>1</v>
      </c>
      <c r="F72" s="13">
        <f>E72</f>
        <v>1</v>
      </c>
      <c r="G72" s="13">
        <v>976.4</v>
      </c>
      <c r="H72" s="102">
        <f t="shared" ref="H72:H76" si="13">SUM(F72*G72/1000)</f>
        <v>0.97639999999999993</v>
      </c>
      <c r="I72" s="13">
        <v>0</v>
      </c>
    </row>
    <row r="73" spans="1:22" ht="15.75" hidden="1" customHeight="1">
      <c r="A73" s="30"/>
      <c r="B73" s="15" t="s">
        <v>123</v>
      </c>
      <c r="C73" s="17" t="s">
        <v>124</v>
      </c>
      <c r="D73" s="15"/>
      <c r="E73" s="19">
        <v>1</v>
      </c>
      <c r="F73" s="13">
        <v>1</v>
      </c>
      <c r="G73" s="13">
        <v>650</v>
      </c>
      <c r="H73" s="102">
        <f t="shared" si="13"/>
        <v>0.65</v>
      </c>
      <c r="I73" s="13">
        <v>0</v>
      </c>
    </row>
    <row r="74" spans="1:22" ht="15.75" hidden="1" customHeight="1">
      <c r="A74" s="30"/>
      <c r="B74" s="15" t="s">
        <v>73</v>
      </c>
      <c r="C74" s="17" t="s">
        <v>30</v>
      </c>
      <c r="D74" s="15" t="s">
        <v>66</v>
      </c>
      <c r="E74" s="19">
        <v>3</v>
      </c>
      <c r="F74" s="13">
        <f>E74/10</f>
        <v>0.3</v>
      </c>
      <c r="G74" s="13">
        <v>624.16999999999996</v>
      </c>
      <c r="H74" s="102">
        <f t="shared" si="13"/>
        <v>0.18725099999999997</v>
      </c>
      <c r="I74" s="13">
        <v>0</v>
      </c>
    </row>
    <row r="75" spans="1:22" ht="15.75" hidden="1" customHeight="1">
      <c r="A75" s="30"/>
      <c r="B75" s="15" t="s">
        <v>74</v>
      </c>
      <c r="C75" s="17" t="s">
        <v>29</v>
      </c>
      <c r="D75" s="15" t="s">
        <v>66</v>
      </c>
      <c r="E75" s="19">
        <v>1</v>
      </c>
      <c r="F75" s="13">
        <v>1</v>
      </c>
      <c r="G75" s="13">
        <v>1061.4100000000001</v>
      </c>
      <c r="H75" s="102">
        <f t="shared" si="13"/>
        <v>1.0614100000000002</v>
      </c>
      <c r="I75" s="13">
        <v>0</v>
      </c>
    </row>
    <row r="76" spans="1:22" ht="15.75" hidden="1" customHeight="1">
      <c r="A76" s="30">
        <v>17</v>
      </c>
      <c r="B76" s="15" t="s">
        <v>85</v>
      </c>
      <c r="C76" s="17" t="s">
        <v>29</v>
      </c>
      <c r="D76" s="15" t="s">
        <v>66</v>
      </c>
      <c r="E76" s="19">
        <v>1</v>
      </c>
      <c r="F76" s="89">
        <f>SUM(E76)</f>
        <v>1</v>
      </c>
      <c r="G76" s="13">
        <v>446.12</v>
      </c>
      <c r="H76" s="102">
        <f t="shared" si="13"/>
        <v>0.44612000000000002</v>
      </c>
      <c r="I76" s="13">
        <v>0</v>
      </c>
    </row>
    <row r="77" spans="1:22" ht="15.75" hidden="1" customHeight="1">
      <c r="A77" s="30"/>
      <c r="B77" s="54" t="s">
        <v>75</v>
      </c>
      <c r="C77" s="42"/>
      <c r="D77" s="30"/>
      <c r="E77" s="30"/>
      <c r="F77" s="19"/>
      <c r="G77" s="40" t="s">
        <v>128</v>
      </c>
      <c r="H77" s="40"/>
      <c r="I77" s="19"/>
    </row>
    <row r="78" spans="1:22" ht="15.75" hidden="1" customHeight="1">
      <c r="A78" s="30">
        <v>39</v>
      </c>
      <c r="B78" s="56" t="s">
        <v>125</v>
      </c>
      <c r="C78" s="17" t="s">
        <v>76</v>
      </c>
      <c r="D78" s="15"/>
      <c r="E78" s="19"/>
      <c r="F78" s="13">
        <v>1.35</v>
      </c>
      <c r="G78" s="13">
        <v>3433.68</v>
      </c>
      <c r="H78" s="102">
        <f t="shared" ref="H78" si="14">SUM(F78*G78/1000)</f>
        <v>4.6354679999999995</v>
      </c>
      <c r="I78" s="13">
        <v>0</v>
      </c>
    </row>
    <row r="79" spans="1:22" ht="20.25" hidden="1" customHeight="1">
      <c r="A79" s="57"/>
      <c r="B79" s="77" t="s">
        <v>120</v>
      </c>
      <c r="C79" s="77"/>
      <c r="D79" s="77"/>
      <c r="E79" s="77"/>
      <c r="F79" s="77"/>
      <c r="G79" s="77"/>
      <c r="H79" s="77"/>
      <c r="I79" s="19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2" ht="14.25" hidden="1" customHeight="1">
      <c r="A80" s="30">
        <v>13</v>
      </c>
      <c r="B80" s="86" t="s">
        <v>87</v>
      </c>
      <c r="C80" s="17"/>
      <c r="D80" s="15"/>
      <c r="E80" s="104"/>
      <c r="F80" s="13">
        <v>1</v>
      </c>
      <c r="G80" s="13"/>
      <c r="H80" s="102">
        <f>G80*F80/1000</f>
        <v>0</v>
      </c>
      <c r="I80" s="13">
        <v>811.62</v>
      </c>
    </row>
    <row r="81" spans="1:9" ht="15.75" customHeight="1">
      <c r="A81" s="125" t="s">
        <v>143</v>
      </c>
      <c r="B81" s="126"/>
      <c r="C81" s="126"/>
      <c r="D81" s="126"/>
      <c r="E81" s="126"/>
      <c r="F81" s="126"/>
      <c r="G81" s="126"/>
      <c r="H81" s="126"/>
      <c r="I81" s="127"/>
    </row>
    <row r="82" spans="1:9" ht="15.75" customHeight="1">
      <c r="A82" s="30">
        <v>14</v>
      </c>
      <c r="B82" s="86" t="s">
        <v>126</v>
      </c>
      <c r="C82" s="17" t="s">
        <v>55</v>
      </c>
      <c r="D82" s="105"/>
      <c r="E82" s="13">
        <v>1803.1</v>
      </c>
      <c r="F82" s="13">
        <f>SUM(E82*12)</f>
        <v>21637.199999999997</v>
      </c>
      <c r="G82" s="13">
        <v>2.95</v>
      </c>
      <c r="H82" s="102">
        <f>SUM(F82*G82/1000)</f>
        <v>63.829740000000001</v>
      </c>
      <c r="I82" s="13">
        <f>F82/12*G82</f>
        <v>5319.1449999999995</v>
      </c>
    </row>
    <row r="83" spans="1:9" ht="31.5" customHeight="1">
      <c r="A83" s="30">
        <v>15</v>
      </c>
      <c r="B83" s="15" t="s">
        <v>77</v>
      </c>
      <c r="C83" s="17"/>
      <c r="D83" s="105"/>
      <c r="E83" s="88">
        <v>1803.1</v>
      </c>
      <c r="F83" s="13">
        <f>E83*12</f>
        <v>21637.199999999997</v>
      </c>
      <c r="G83" s="13">
        <v>3.05</v>
      </c>
      <c r="H83" s="102">
        <f>F83*G83/1000</f>
        <v>65.993459999999999</v>
      </c>
      <c r="I83" s="13">
        <f>F83/12*G83</f>
        <v>5499.454999999999</v>
      </c>
    </row>
    <row r="84" spans="1:9" ht="15.75" customHeight="1">
      <c r="A84" s="57"/>
      <c r="B84" s="43" t="s">
        <v>79</v>
      </c>
      <c r="C84" s="45"/>
      <c r="D84" s="16"/>
      <c r="E84" s="16"/>
      <c r="F84" s="16"/>
      <c r="G84" s="19"/>
      <c r="H84" s="19"/>
      <c r="I84" s="32">
        <f>I83+I82+I70+I68+I67+I66+I65+I64+I33+I31+I30+I19+I18+I17+I16</f>
        <v>70891.159247333329</v>
      </c>
    </row>
    <row r="85" spans="1:9" ht="15.75" customHeight="1">
      <c r="A85" s="128" t="s">
        <v>60</v>
      </c>
      <c r="B85" s="129"/>
      <c r="C85" s="129"/>
      <c r="D85" s="129"/>
      <c r="E85" s="129"/>
      <c r="F85" s="129"/>
      <c r="G85" s="129"/>
      <c r="H85" s="129"/>
      <c r="I85" s="130"/>
    </row>
    <row r="86" spans="1:9" ht="15.75" customHeight="1">
      <c r="A86" s="46">
        <v>16</v>
      </c>
      <c r="B86" s="15" t="s">
        <v>153</v>
      </c>
      <c r="C86" s="17" t="s">
        <v>154</v>
      </c>
      <c r="D86" s="15"/>
      <c r="E86" s="19"/>
      <c r="F86" s="13">
        <v>24</v>
      </c>
      <c r="G86" s="13">
        <v>1.4</v>
      </c>
      <c r="H86" s="13">
        <f>F86*G86/1000</f>
        <v>3.3599999999999991E-2</v>
      </c>
      <c r="I86" s="13">
        <f>G86*12</f>
        <v>16.799999999999997</v>
      </c>
    </row>
    <row r="87" spans="1:9" ht="36.75" customHeight="1">
      <c r="A87" s="30">
        <v>17</v>
      </c>
      <c r="B87" s="114" t="s">
        <v>179</v>
      </c>
      <c r="C87" s="115" t="s">
        <v>180</v>
      </c>
      <c r="D87" s="41" t="s">
        <v>216</v>
      </c>
      <c r="E87" s="18"/>
      <c r="F87" s="40">
        <v>2</v>
      </c>
      <c r="G87" s="40">
        <v>64.040000000000006</v>
      </c>
      <c r="H87" s="13"/>
      <c r="I87" s="13">
        <f>G87*1</f>
        <v>64.040000000000006</v>
      </c>
    </row>
    <row r="88" spans="1:9" ht="15.75" customHeight="1">
      <c r="A88" s="46">
        <v>18</v>
      </c>
      <c r="B88" s="114" t="s">
        <v>213</v>
      </c>
      <c r="C88" s="115" t="s">
        <v>154</v>
      </c>
      <c r="D88" s="41"/>
      <c r="E88" s="18"/>
      <c r="F88" s="40">
        <v>47.6</v>
      </c>
      <c r="G88" s="40">
        <v>1.4</v>
      </c>
      <c r="H88" s="13"/>
      <c r="I88" s="13">
        <f>G88*47.6</f>
        <v>66.64</v>
      </c>
    </row>
    <row r="89" spans="1:9" ht="15.75" customHeight="1">
      <c r="A89" s="46">
        <v>19</v>
      </c>
      <c r="B89" s="114" t="s">
        <v>214</v>
      </c>
      <c r="C89" s="115" t="s">
        <v>113</v>
      </c>
      <c r="D89" s="41" t="s">
        <v>215</v>
      </c>
      <c r="E89" s="18"/>
      <c r="F89" s="40">
        <v>10</v>
      </c>
      <c r="G89" s="40">
        <v>18.600000000000001</v>
      </c>
      <c r="H89" s="13"/>
      <c r="I89" s="13">
        <f>G89*10</f>
        <v>186</v>
      </c>
    </row>
    <row r="90" spans="1:9" ht="15.75" customHeight="1">
      <c r="A90" s="30"/>
      <c r="B90" s="50" t="s">
        <v>52</v>
      </c>
      <c r="C90" s="46"/>
      <c r="D90" s="58"/>
      <c r="E90" s="58"/>
      <c r="F90" s="46">
        <v>1</v>
      </c>
      <c r="G90" s="46"/>
      <c r="H90" s="46"/>
      <c r="I90" s="32">
        <f>SUM(I86:I89)</f>
        <v>333.48</v>
      </c>
    </row>
    <row r="91" spans="1:9" ht="15.75" customHeight="1">
      <c r="A91" s="30"/>
      <c r="B91" s="56" t="s">
        <v>78</v>
      </c>
      <c r="C91" s="16"/>
      <c r="D91" s="16"/>
      <c r="E91" s="16"/>
      <c r="F91" s="47"/>
      <c r="G91" s="48"/>
      <c r="H91" s="48"/>
      <c r="I91" s="18">
        <v>0</v>
      </c>
    </row>
    <row r="92" spans="1:9" ht="15.75" customHeight="1">
      <c r="A92" s="59"/>
      <c r="B92" s="51" t="s">
        <v>133</v>
      </c>
      <c r="C92" s="38"/>
      <c r="D92" s="38"/>
      <c r="E92" s="38"/>
      <c r="F92" s="38"/>
      <c r="G92" s="38"/>
      <c r="H92" s="38"/>
      <c r="I92" s="49">
        <f>I84+I90</f>
        <v>71224.639247333325</v>
      </c>
    </row>
    <row r="93" spans="1:9" ht="15.75" customHeight="1">
      <c r="A93" s="131" t="s">
        <v>217</v>
      </c>
      <c r="B93" s="131"/>
      <c r="C93" s="131"/>
      <c r="D93" s="131"/>
      <c r="E93" s="131"/>
      <c r="F93" s="131"/>
      <c r="G93" s="131"/>
      <c r="H93" s="131"/>
      <c r="I93" s="131"/>
    </row>
    <row r="94" spans="1:9" ht="15.75" customHeight="1">
      <c r="A94" s="72"/>
      <c r="B94" s="147" t="s">
        <v>218</v>
      </c>
      <c r="C94" s="147"/>
      <c r="D94" s="147"/>
      <c r="E94" s="147"/>
      <c r="F94" s="147"/>
      <c r="G94" s="147"/>
      <c r="H94" s="84"/>
      <c r="I94" s="3"/>
    </row>
    <row r="95" spans="1:9" ht="15.75" customHeight="1">
      <c r="A95" s="75"/>
      <c r="B95" s="143" t="s">
        <v>6</v>
      </c>
      <c r="C95" s="143"/>
      <c r="D95" s="143"/>
      <c r="E95" s="143"/>
      <c r="F95" s="143"/>
      <c r="G95" s="143"/>
      <c r="H95" s="25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51" t="s">
        <v>7</v>
      </c>
      <c r="B97" s="151"/>
      <c r="C97" s="151"/>
      <c r="D97" s="151"/>
      <c r="E97" s="151"/>
      <c r="F97" s="151"/>
      <c r="G97" s="151"/>
      <c r="H97" s="151"/>
      <c r="I97" s="151"/>
    </row>
    <row r="98" spans="1:9" ht="15.75" customHeight="1">
      <c r="A98" s="151" t="s">
        <v>8</v>
      </c>
      <c r="B98" s="151"/>
      <c r="C98" s="151"/>
      <c r="D98" s="151"/>
      <c r="E98" s="151"/>
      <c r="F98" s="151"/>
      <c r="G98" s="151"/>
      <c r="H98" s="151"/>
      <c r="I98" s="151"/>
    </row>
    <row r="99" spans="1:9" ht="15.75" customHeight="1">
      <c r="A99" s="148" t="s">
        <v>61</v>
      </c>
      <c r="B99" s="148"/>
      <c r="C99" s="148"/>
      <c r="D99" s="148"/>
      <c r="E99" s="148"/>
      <c r="F99" s="148"/>
      <c r="G99" s="148"/>
      <c r="H99" s="148"/>
      <c r="I99" s="148"/>
    </row>
    <row r="100" spans="1:9" ht="15.75" customHeight="1">
      <c r="A100" s="11"/>
    </row>
    <row r="101" spans="1:9" ht="15.75" customHeight="1">
      <c r="A101" s="149" t="s">
        <v>9</v>
      </c>
      <c r="B101" s="149"/>
      <c r="C101" s="149"/>
      <c r="D101" s="149"/>
      <c r="E101" s="149"/>
      <c r="F101" s="149"/>
      <c r="G101" s="149"/>
      <c r="H101" s="149"/>
      <c r="I101" s="149"/>
    </row>
    <row r="102" spans="1:9" ht="15.75" customHeight="1">
      <c r="A102" s="4"/>
    </row>
    <row r="103" spans="1:9" ht="15.75" customHeight="1">
      <c r="B103" s="71" t="s">
        <v>10</v>
      </c>
      <c r="C103" s="150" t="s">
        <v>182</v>
      </c>
      <c r="D103" s="150"/>
      <c r="E103" s="150"/>
      <c r="F103" s="150"/>
      <c r="I103" s="74"/>
    </row>
    <row r="104" spans="1:9" ht="15.75" customHeight="1">
      <c r="A104" s="75"/>
      <c r="C104" s="143" t="s">
        <v>11</v>
      </c>
      <c r="D104" s="143"/>
      <c r="E104" s="143"/>
      <c r="F104" s="143"/>
      <c r="I104" s="73" t="s">
        <v>12</v>
      </c>
    </row>
    <row r="105" spans="1:9" ht="15.75" customHeight="1">
      <c r="A105" s="26"/>
      <c r="C105" s="12"/>
      <c r="D105" s="12"/>
      <c r="E105" s="12"/>
      <c r="G105" s="12"/>
      <c r="H105" s="12"/>
    </row>
    <row r="106" spans="1:9" ht="15.75" customHeight="1">
      <c r="B106" s="71" t="s">
        <v>13</v>
      </c>
      <c r="C106" s="145"/>
      <c r="D106" s="145"/>
      <c r="E106" s="145"/>
      <c r="F106" s="145"/>
      <c r="I106" s="74"/>
    </row>
    <row r="107" spans="1:9" ht="15.75" customHeight="1">
      <c r="A107" s="75"/>
      <c r="C107" s="132" t="s">
        <v>11</v>
      </c>
      <c r="D107" s="132"/>
      <c r="E107" s="132"/>
      <c r="F107" s="132"/>
      <c r="I107" s="73" t="s">
        <v>12</v>
      </c>
    </row>
    <row r="108" spans="1:9" ht="15.75" customHeight="1">
      <c r="A108" s="4" t="s">
        <v>14</v>
      </c>
    </row>
    <row r="109" spans="1:9">
      <c r="A109" s="146" t="s">
        <v>15</v>
      </c>
      <c r="B109" s="146"/>
      <c r="C109" s="146"/>
      <c r="D109" s="146"/>
      <c r="E109" s="146"/>
      <c r="F109" s="146"/>
      <c r="G109" s="146"/>
      <c r="H109" s="146"/>
      <c r="I109" s="146"/>
    </row>
    <row r="110" spans="1:9" ht="45" customHeight="1">
      <c r="A110" s="144" t="s">
        <v>16</v>
      </c>
      <c r="B110" s="144"/>
      <c r="C110" s="144"/>
      <c r="D110" s="144"/>
      <c r="E110" s="144"/>
      <c r="F110" s="144"/>
      <c r="G110" s="144"/>
      <c r="H110" s="144"/>
      <c r="I110" s="144"/>
    </row>
    <row r="111" spans="1:9" ht="30" customHeight="1">
      <c r="A111" s="144" t="s">
        <v>17</v>
      </c>
      <c r="B111" s="144"/>
      <c r="C111" s="144"/>
      <c r="D111" s="144"/>
      <c r="E111" s="144"/>
      <c r="F111" s="144"/>
      <c r="G111" s="144"/>
      <c r="H111" s="144"/>
      <c r="I111" s="144"/>
    </row>
    <row r="112" spans="1:9" ht="30" customHeight="1">
      <c r="A112" s="144" t="s">
        <v>21</v>
      </c>
      <c r="B112" s="144"/>
      <c r="C112" s="144"/>
      <c r="D112" s="144"/>
      <c r="E112" s="144"/>
      <c r="F112" s="144"/>
      <c r="G112" s="144"/>
      <c r="H112" s="144"/>
      <c r="I112" s="144"/>
    </row>
    <row r="113" spans="1:9" ht="15" customHeight="1">
      <c r="A113" s="144" t="s">
        <v>20</v>
      </c>
      <c r="B113" s="144"/>
      <c r="C113" s="144"/>
      <c r="D113" s="144"/>
      <c r="E113" s="144"/>
      <c r="F113" s="144"/>
      <c r="G113" s="144"/>
      <c r="H113" s="144"/>
      <c r="I113" s="144"/>
    </row>
  </sheetData>
  <autoFilter ref="I12:I65"/>
  <mergeCells count="29">
    <mergeCell ref="A109:I109"/>
    <mergeCell ref="A110:I110"/>
    <mergeCell ref="A111:I111"/>
    <mergeCell ref="A112:I112"/>
    <mergeCell ref="A113:I113"/>
    <mergeCell ref="R70:U70"/>
    <mergeCell ref="C107:F107"/>
    <mergeCell ref="A85:I85"/>
    <mergeCell ref="A93:I93"/>
    <mergeCell ref="B94:G94"/>
    <mergeCell ref="B95:G95"/>
    <mergeCell ref="A97:I97"/>
    <mergeCell ref="A98:I98"/>
    <mergeCell ref="A99:I99"/>
    <mergeCell ref="A101:I101"/>
    <mergeCell ref="C103:F103"/>
    <mergeCell ref="C104:F104"/>
    <mergeCell ref="C106:F106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1"/>
  <sheetViews>
    <sheetView topLeftCell="A82" workbookViewId="0">
      <selection activeCell="A97" sqref="A97:I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155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3" t="s">
        <v>147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</row>
    <row r="4" spans="1:13" ht="31.5" customHeight="1">
      <c r="A4" s="134" t="s">
        <v>127</v>
      </c>
      <c r="B4" s="134"/>
      <c r="C4" s="134"/>
      <c r="D4" s="134"/>
      <c r="E4" s="134"/>
      <c r="F4" s="134"/>
      <c r="G4" s="134"/>
      <c r="H4" s="134"/>
      <c r="I4" s="134"/>
    </row>
    <row r="5" spans="1:13" ht="15.75" customHeight="1">
      <c r="A5" s="133" t="s">
        <v>219</v>
      </c>
      <c r="B5" s="137"/>
      <c r="C5" s="137"/>
      <c r="D5" s="137"/>
      <c r="E5" s="137"/>
      <c r="F5" s="137"/>
      <c r="G5" s="137"/>
      <c r="H5" s="137"/>
      <c r="I5" s="137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44408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181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129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8" t="s">
        <v>59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90</v>
      </c>
      <c r="D16" s="86" t="s">
        <v>160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88</v>
      </c>
      <c r="C17" s="87" t="s">
        <v>90</v>
      </c>
      <c r="D17" s="86" t="s">
        <v>161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89</v>
      </c>
      <c r="C18" s="87" t="s">
        <v>90</v>
      </c>
      <c r="D18" s="86" t="s">
        <v>162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91</v>
      </c>
      <c r="C19" s="87" t="s">
        <v>86</v>
      </c>
      <c r="D19" s="86" t="s">
        <v>92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customHeight="1">
      <c r="A20" s="30">
        <v>4</v>
      </c>
      <c r="B20" s="86" t="s">
        <v>93</v>
      </c>
      <c r="C20" s="87" t="s">
        <v>90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customHeight="1">
      <c r="A21" s="30">
        <v>5</v>
      </c>
      <c r="B21" s="86" t="s">
        <v>94</v>
      </c>
      <c r="C21" s="87" t="s">
        <v>90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customHeight="1">
      <c r="A22" s="30">
        <v>6</v>
      </c>
      <c r="B22" s="86" t="s">
        <v>95</v>
      </c>
      <c r="C22" s="87" t="s">
        <v>53</v>
      </c>
      <c r="D22" s="86" t="s">
        <v>92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customHeight="1">
      <c r="A23" s="30">
        <v>7</v>
      </c>
      <c r="B23" s="86" t="s">
        <v>96</v>
      </c>
      <c r="C23" s="87" t="s">
        <v>53</v>
      </c>
      <c r="D23" s="86" t="s">
        <v>92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customHeight="1">
      <c r="A24" s="30">
        <v>8</v>
      </c>
      <c r="B24" s="86" t="s">
        <v>97</v>
      </c>
      <c r="C24" s="87" t="s">
        <v>53</v>
      </c>
      <c r="D24" s="86" t="s">
        <v>92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customHeight="1">
      <c r="A25" s="30">
        <v>9</v>
      </c>
      <c r="B25" s="86" t="s">
        <v>98</v>
      </c>
      <c r="C25" s="87" t="s">
        <v>53</v>
      </c>
      <c r="D25" s="86" t="s">
        <v>92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customHeight="1">
      <c r="A26" s="30">
        <v>10</v>
      </c>
      <c r="B26" s="86" t="s">
        <v>99</v>
      </c>
      <c r="C26" s="87" t="s">
        <v>53</v>
      </c>
      <c r="D26" s="86" t="s">
        <v>92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hidden="1" customHeight="1">
      <c r="A27" s="30">
        <v>4</v>
      </c>
      <c r="B27" s="34" t="s">
        <v>159</v>
      </c>
      <c r="C27" s="44" t="s">
        <v>154</v>
      </c>
      <c r="D27" s="34" t="s">
        <v>163</v>
      </c>
      <c r="E27" s="117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39" t="s">
        <v>81</v>
      </c>
      <c r="B28" s="139"/>
      <c r="C28" s="139"/>
      <c r="D28" s="139"/>
      <c r="E28" s="139"/>
      <c r="F28" s="139"/>
      <c r="G28" s="139"/>
      <c r="H28" s="139"/>
      <c r="I28" s="139"/>
      <c r="J28" s="23"/>
      <c r="K28" s="8"/>
      <c r="L28" s="8"/>
      <c r="M28" s="8"/>
    </row>
    <row r="29" spans="1:13" ht="15.75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customHeight="1">
      <c r="A30" s="45">
        <v>11</v>
      </c>
      <c r="B30" s="86" t="s">
        <v>134</v>
      </c>
      <c r="C30" s="87" t="s">
        <v>100</v>
      </c>
      <c r="D30" s="86" t="s">
        <v>161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customHeight="1">
      <c r="A31" s="45">
        <v>12</v>
      </c>
      <c r="B31" s="86" t="s">
        <v>135</v>
      </c>
      <c r="C31" s="87" t="s">
        <v>100</v>
      </c>
      <c r="D31" s="86" t="s">
        <v>160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3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16</v>
      </c>
      <c r="B32" s="86" t="s">
        <v>26</v>
      </c>
      <c r="C32" s="87" t="s">
        <v>100</v>
      </c>
      <c r="D32" s="86" t="s">
        <v>168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customHeight="1">
      <c r="A33" s="45">
        <v>13</v>
      </c>
      <c r="B33" s="86" t="s">
        <v>103</v>
      </c>
      <c r="C33" s="87" t="s">
        <v>40</v>
      </c>
      <c r="D33" s="86" t="s">
        <v>165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4</v>
      </c>
      <c r="B34" s="86" t="s">
        <v>64</v>
      </c>
      <c r="C34" s="87" t="s">
        <v>32</v>
      </c>
      <c r="D34" s="86" t="s">
        <v>66</v>
      </c>
      <c r="E34" s="88"/>
      <c r="F34" s="89">
        <v>1</v>
      </c>
      <c r="G34" s="89">
        <v>238.07</v>
      </c>
      <c r="H34" s="90">
        <f t="shared" ref="H34:H35" si="5">SUM(F34*G34/1000)</f>
        <v>0.23807</v>
      </c>
      <c r="I34" s="13">
        <v>0</v>
      </c>
      <c r="J34" s="24"/>
    </row>
    <row r="35" spans="1:14" ht="15.75" hidden="1" customHeight="1">
      <c r="A35" s="30">
        <v>8</v>
      </c>
      <c r="B35" s="86" t="s">
        <v>65</v>
      </c>
      <c r="C35" s="87" t="s">
        <v>31</v>
      </c>
      <c r="D35" s="86" t="s">
        <v>66</v>
      </c>
      <c r="E35" s="88"/>
      <c r="F35" s="89">
        <v>1</v>
      </c>
      <c r="G35" s="89">
        <v>1413.96</v>
      </c>
      <c r="H35" s="90">
        <f t="shared" si="5"/>
        <v>1.4139600000000001</v>
      </c>
      <c r="I35" s="13">
        <v>0</v>
      </c>
      <c r="J35" s="24"/>
    </row>
    <row r="36" spans="1:14" ht="15.75" hidden="1" customHeight="1">
      <c r="A36" s="45"/>
      <c r="B36" s="53" t="s">
        <v>5</v>
      </c>
      <c r="C36" s="53"/>
      <c r="D36" s="53"/>
      <c r="E36" s="53"/>
      <c r="F36" s="13"/>
      <c r="G36" s="14"/>
      <c r="H36" s="14"/>
      <c r="I36" s="19"/>
      <c r="J36" s="24"/>
    </row>
    <row r="37" spans="1:14" ht="15.75" hidden="1" customHeight="1">
      <c r="A37" s="35">
        <v>6</v>
      </c>
      <c r="B37" s="86" t="s">
        <v>25</v>
      </c>
      <c r="C37" s="87" t="s">
        <v>31</v>
      </c>
      <c r="D37" s="86"/>
      <c r="E37" s="88"/>
      <c r="F37" s="89">
        <v>2</v>
      </c>
      <c r="G37" s="89">
        <v>1900.37</v>
      </c>
      <c r="H37" s="90">
        <f t="shared" ref="H37:H42" si="6">SUM(F37*G37/1000)</f>
        <v>3.8007399999999998</v>
      </c>
      <c r="I37" s="13">
        <f t="shared" ref="I37:I42" si="7">F37/6*G37</f>
        <v>633.45666666666659</v>
      </c>
      <c r="J37" s="24"/>
    </row>
    <row r="38" spans="1:14" ht="15.75" hidden="1" customHeight="1">
      <c r="A38" s="35">
        <v>7</v>
      </c>
      <c r="B38" s="86" t="s">
        <v>67</v>
      </c>
      <c r="C38" s="67" t="s">
        <v>28</v>
      </c>
      <c r="D38" s="36" t="s">
        <v>105</v>
      </c>
      <c r="E38" s="37">
        <v>65.25</v>
      </c>
      <c r="F38" s="89">
        <f>SUM(E38*30/1000)</f>
        <v>1.9575</v>
      </c>
      <c r="G38" s="89">
        <v>2616.4899999999998</v>
      </c>
      <c r="H38" s="90">
        <f t="shared" si="6"/>
        <v>5.1217791749999995</v>
      </c>
      <c r="I38" s="13">
        <f t="shared" si="7"/>
        <v>853.62986249999994</v>
      </c>
      <c r="J38" s="24"/>
    </row>
    <row r="39" spans="1:14" ht="15.75" hidden="1" customHeight="1">
      <c r="A39" s="35">
        <v>8</v>
      </c>
      <c r="B39" s="86" t="s">
        <v>68</v>
      </c>
      <c r="C39" s="44" t="s">
        <v>28</v>
      </c>
      <c r="D39" s="34" t="s">
        <v>106</v>
      </c>
      <c r="E39" s="33">
        <v>65.25</v>
      </c>
      <c r="F39" s="89">
        <f>SUM(E39*155/1000)</f>
        <v>10.11375</v>
      </c>
      <c r="G39" s="89">
        <v>436.45</v>
      </c>
      <c r="H39" s="90">
        <f t="shared" si="6"/>
        <v>4.4141461874999992</v>
      </c>
      <c r="I39" s="13">
        <f t="shared" si="7"/>
        <v>735.69103124999992</v>
      </c>
      <c r="J39" s="24"/>
    </row>
    <row r="40" spans="1:14" ht="46.5" hidden="1" customHeight="1">
      <c r="A40" s="35">
        <v>9</v>
      </c>
      <c r="B40" s="86" t="s">
        <v>80</v>
      </c>
      <c r="C40" s="44" t="s">
        <v>100</v>
      </c>
      <c r="D40" s="34" t="s">
        <v>107</v>
      </c>
      <c r="E40" s="33">
        <v>65.25</v>
      </c>
      <c r="F40" s="89">
        <f>SUM(E40*35/1000)</f>
        <v>2.2837499999999999</v>
      </c>
      <c r="G40" s="89">
        <v>7221.21</v>
      </c>
      <c r="H40" s="90">
        <f t="shared" si="6"/>
        <v>16.4914383375</v>
      </c>
      <c r="I40" s="13">
        <f t="shared" si="7"/>
        <v>2748.5730562499998</v>
      </c>
      <c r="J40" s="24"/>
      <c r="L40" s="20"/>
      <c r="M40" s="21"/>
      <c r="N40" s="22"/>
    </row>
    <row r="41" spans="1:14" ht="15.75" hidden="1" customHeight="1">
      <c r="A41" s="35">
        <v>10</v>
      </c>
      <c r="B41" s="86" t="s">
        <v>108</v>
      </c>
      <c r="C41" s="44" t="s">
        <v>100</v>
      </c>
      <c r="D41" s="34" t="s">
        <v>109</v>
      </c>
      <c r="E41" s="33">
        <v>65.25</v>
      </c>
      <c r="F41" s="89">
        <f>SUM(E41*20/1000)</f>
        <v>1.3049999999999999</v>
      </c>
      <c r="G41" s="89">
        <v>533.45000000000005</v>
      </c>
      <c r="H41" s="90">
        <f t="shared" si="6"/>
        <v>0.69615225000000003</v>
      </c>
      <c r="I41" s="13">
        <f t="shared" si="7"/>
        <v>116.02537500000001</v>
      </c>
      <c r="J41" s="24"/>
      <c r="L41" s="20"/>
      <c r="M41" s="21"/>
      <c r="N41" s="22"/>
    </row>
    <row r="42" spans="1:14" ht="15.75" hidden="1" customHeight="1">
      <c r="A42" s="35">
        <v>11</v>
      </c>
      <c r="B42" s="86" t="s">
        <v>69</v>
      </c>
      <c r="C42" s="87" t="s">
        <v>32</v>
      </c>
      <c r="D42" s="86"/>
      <c r="E42" s="88"/>
      <c r="F42" s="89">
        <v>0.5</v>
      </c>
      <c r="G42" s="89">
        <v>992.97</v>
      </c>
      <c r="H42" s="90">
        <f t="shared" si="6"/>
        <v>0.49648500000000001</v>
      </c>
      <c r="I42" s="13">
        <f t="shared" si="7"/>
        <v>82.747500000000002</v>
      </c>
      <c r="J42" s="24"/>
      <c r="L42" s="20"/>
      <c r="M42" s="21"/>
      <c r="N42" s="22"/>
    </row>
    <row r="43" spans="1:14" ht="15.75" hidden="1" customHeight="1">
      <c r="A43" s="140" t="s">
        <v>130</v>
      </c>
      <c r="B43" s="141"/>
      <c r="C43" s="141"/>
      <c r="D43" s="141"/>
      <c r="E43" s="141"/>
      <c r="F43" s="141"/>
      <c r="G43" s="141"/>
      <c r="H43" s="141"/>
      <c r="I43" s="142"/>
      <c r="J43" s="24"/>
      <c r="L43" s="20"/>
      <c r="M43" s="21"/>
      <c r="N43" s="22"/>
    </row>
    <row r="44" spans="1:14" ht="15.75" hidden="1" customHeight="1">
      <c r="A44" s="45">
        <v>19</v>
      </c>
      <c r="B44" s="86" t="s">
        <v>110</v>
      </c>
      <c r="C44" s="87" t="s">
        <v>100</v>
      </c>
      <c r="D44" s="86" t="s">
        <v>42</v>
      </c>
      <c r="E44" s="88">
        <v>1026.8</v>
      </c>
      <c r="F44" s="89">
        <f>SUM(E44*2/1000)</f>
        <v>2.0535999999999999</v>
      </c>
      <c r="G44" s="13">
        <v>1283.46</v>
      </c>
      <c r="H44" s="90">
        <f t="shared" ref="H44:H54" si="8">SUM(F44*G44/1000)</f>
        <v>2.635713456</v>
      </c>
      <c r="I44" s="13">
        <f t="shared" ref="I44:I47" si="9">F44/2*G44</f>
        <v>1317.856728</v>
      </c>
      <c r="J44" s="24"/>
      <c r="L44" s="20"/>
      <c r="M44" s="21"/>
      <c r="N44" s="22"/>
    </row>
    <row r="45" spans="1:14" ht="15.75" hidden="1" customHeight="1">
      <c r="A45" s="45">
        <v>20</v>
      </c>
      <c r="B45" s="86" t="s">
        <v>35</v>
      </c>
      <c r="C45" s="87" t="s">
        <v>100</v>
      </c>
      <c r="D45" s="86" t="s">
        <v>42</v>
      </c>
      <c r="E45" s="88">
        <v>19.8</v>
      </c>
      <c r="F45" s="89">
        <f>SUM(E45*2/1000)</f>
        <v>3.9600000000000003E-2</v>
      </c>
      <c r="G45" s="13">
        <v>4192.6400000000003</v>
      </c>
      <c r="H45" s="90">
        <f t="shared" si="8"/>
        <v>0.16602854400000003</v>
      </c>
      <c r="I45" s="13">
        <f t="shared" si="9"/>
        <v>83.01427200000002</v>
      </c>
      <c r="J45" s="24"/>
      <c r="L45" s="20"/>
      <c r="M45" s="21"/>
      <c r="N45" s="22"/>
    </row>
    <row r="46" spans="1:14" ht="15.75" hidden="1" customHeight="1">
      <c r="A46" s="45">
        <v>21</v>
      </c>
      <c r="B46" s="86" t="s">
        <v>36</v>
      </c>
      <c r="C46" s="87" t="s">
        <v>100</v>
      </c>
      <c r="D46" s="86" t="s">
        <v>42</v>
      </c>
      <c r="E46" s="88">
        <v>660.84</v>
      </c>
      <c r="F46" s="89">
        <f>SUM(E46*2/1000)</f>
        <v>1.32168</v>
      </c>
      <c r="G46" s="13">
        <v>1711.28</v>
      </c>
      <c r="H46" s="90">
        <f t="shared" si="8"/>
        <v>2.2617645503999997</v>
      </c>
      <c r="I46" s="13">
        <f t="shared" si="9"/>
        <v>1130.8822751999999</v>
      </c>
      <c r="J46" s="24"/>
      <c r="L46" s="20"/>
      <c r="M46" s="21"/>
      <c r="N46" s="22"/>
    </row>
    <row r="47" spans="1:14" ht="15.75" hidden="1" customHeight="1">
      <c r="A47" s="45">
        <v>22</v>
      </c>
      <c r="B47" s="86" t="s">
        <v>37</v>
      </c>
      <c r="C47" s="87" t="s">
        <v>100</v>
      </c>
      <c r="D47" s="86" t="s">
        <v>42</v>
      </c>
      <c r="E47" s="88">
        <v>1156.21</v>
      </c>
      <c r="F47" s="89">
        <f>SUM(E47*2/1000)</f>
        <v>2.3124199999999999</v>
      </c>
      <c r="G47" s="13">
        <v>1179.73</v>
      </c>
      <c r="H47" s="90">
        <f t="shared" si="8"/>
        <v>2.7280312466000001</v>
      </c>
      <c r="I47" s="13">
        <f t="shared" si="9"/>
        <v>1364.0156233</v>
      </c>
      <c r="J47" s="24"/>
      <c r="L47" s="20"/>
      <c r="M47" s="21"/>
      <c r="N47" s="22"/>
    </row>
    <row r="48" spans="1:14" ht="15.75" hidden="1" customHeight="1">
      <c r="A48" s="45">
        <v>23</v>
      </c>
      <c r="B48" s="86" t="s">
        <v>33</v>
      </c>
      <c r="C48" s="87" t="s">
        <v>34</v>
      </c>
      <c r="D48" s="86" t="s">
        <v>42</v>
      </c>
      <c r="E48" s="88">
        <v>15</v>
      </c>
      <c r="F48" s="89">
        <f>SUM(E48*2/100)</f>
        <v>0.3</v>
      </c>
      <c r="G48" s="13">
        <v>90.61</v>
      </c>
      <c r="H48" s="90">
        <f t="shared" si="8"/>
        <v>2.7182999999999999E-2</v>
      </c>
      <c r="I48" s="13">
        <f>F48/2*G48</f>
        <v>13.5915</v>
      </c>
      <c r="J48" s="24"/>
      <c r="L48" s="20"/>
      <c r="M48" s="21"/>
      <c r="N48" s="22"/>
    </row>
    <row r="49" spans="1:14" ht="15.75" hidden="1" customHeight="1">
      <c r="A49" s="45">
        <v>24</v>
      </c>
      <c r="B49" s="86" t="s">
        <v>56</v>
      </c>
      <c r="C49" s="87" t="s">
        <v>100</v>
      </c>
      <c r="D49" s="86" t="s">
        <v>137</v>
      </c>
      <c r="E49" s="88">
        <v>1803.1</v>
      </c>
      <c r="F49" s="89">
        <f>SUM(E49*5/1000)</f>
        <v>9.0154999999999994</v>
      </c>
      <c r="G49" s="13">
        <v>1711.28</v>
      </c>
      <c r="H49" s="90">
        <f t="shared" si="8"/>
        <v>15.428044839999998</v>
      </c>
      <c r="I49" s="13">
        <f>F49/5*G49</f>
        <v>3085.608968</v>
      </c>
      <c r="J49" s="24"/>
      <c r="L49" s="20"/>
      <c r="M49" s="21"/>
      <c r="N49" s="22"/>
    </row>
    <row r="50" spans="1:14" ht="31.5" hidden="1" customHeight="1">
      <c r="A50" s="45">
        <v>25</v>
      </c>
      <c r="B50" s="86" t="s">
        <v>111</v>
      </c>
      <c r="C50" s="87" t="s">
        <v>100</v>
      </c>
      <c r="D50" s="86" t="s">
        <v>42</v>
      </c>
      <c r="E50" s="88">
        <v>1803.1</v>
      </c>
      <c r="F50" s="89">
        <f>SUM(E50*2/1000)</f>
        <v>3.6061999999999999</v>
      </c>
      <c r="G50" s="13">
        <v>1510.06</v>
      </c>
      <c r="H50" s="90">
        <f t="shared" si="8"/>
        <v>5.4455783719999999</v>
      </c>
      <c r="I50" s="13">
        <f>F50/2*G50</f>
        <v>2722.789186</v>
      </c>
      <c r="J50" s="24"/>
      <c r="L50" s="20"/>
      <c r="M50" s="21"/>
      <c r="N50" s="22"/>
    </row>
    <row r="51" spans="1:14" ht="31.5" hidden="1" customHeight="1">
      <c r="A51" s="45">
        <v>26</v>
      </c>
      <c r="B51" s="86" t="s">
        <v>112</v>
      </c>
      <c r="C51" s="87" t="s">
        <v>38</v>
      </c>
      <c r="D51" s="86" t="s">
        <v>42</v>
      </c>
      <c r="E51" s="88">
        <v>9</v>
      </c>
      <c r="F51" s="89">
        <f>SUM(E51*2/100)</f>
        <v>0.18</v>
      </c>
      <c r="G51" s="13">
        <v>3850.4</v>
      </c>
      <c r="H51" s="90">
        <f t="shared" si="8"/>
        <v>0.69307200000000002</v>
      </c>
      <c r="I51" s="13">
        <f t="shared" ref="I51:I52" si="10">F51/2*G51</f>
        <v>346.536</v>
      </c>
      <c r="J51" s="24"/>
      <c r="L51" s="20"/>
      <c r="M51" s="21"/>
      <c r="N51" s="22"/>
    </row>
    <row r="52" spans="1:14" ht="15.75" hidden="1" customHeight="1">
      <c r="A52" s="45">
        <v>27</v>
      </c>
      <c r="B52" s="86" t="s">
        <v>39</v>
      </c>
      <c r="C52" s="87" t="s">
        <v>40</v>
      </c>
      <c r="D52" s="86" t="s">
        <v>42</v>
      </c>
      <c r="E52" s="88">
        <v>1</v>
      </c>
      <c r="F52" s="89">
        <v>0.02</v>
      </c>
      <c r="G52" s="13">
        <v>7033.13</v>
      </c>
      <c r="H52" s="90">
        <f t="shared" si="8"/>
        <v>0.1406626</v>
      </c>
      <c r="I52" s="13">
        <f t="shared" si="10"/>
        <v>70.331299999999999</v>
      </c>
      <c r="J52" s="24"/>
      <c r="L52" s="20"/>
      <c r="M52" s="21"/>
      <c r="N52" s="22"/>
    </row>
    <row r="53" spans="1:14" ht="15.75" hidden="1" customHeight="1">
      <c r="A53" s="45">
        <v>10</v>
      </c>
      <c r="B53" s="86" t="s">
        <v>136</v>
      </c>
      <c r="C53" s="87" t="s">
        <v>29</v>
      </c>
      <c r="D53" s="86" t="s">
        <v>70</v>
      </c>
      <c r="E53" s="88">
        <v>36</v>
      </c>
      <c r="F53" s="89">
        <f>E53*3</f>
        <v>108</v>
      </c>
      <c r="G53" s="13">
        <v>175.6</v>
      </c>
      <c r="H53" s="90">
        <f t="shared" si="8"/>
        <v>18.9648</v>
      </c>
      <c r="I53" s="13">
        <f>E53*G53</f>
        <v>6321.5999999999995</v>
      </c>
      <c r="J53" s="24"/>
      <c r="L53" s="20"/>
      <c r="M53" s="21"/>
      <c r="N53" s="22"/>
    </row>
    <row r="54" spans="1:14" ht="15.75" hidden="1" customHeight="1">
      <c r="A54" s="45">
        <v>11</v>
      </c>
      <c r="B54" s="86" t="s">
        <v>41</v>
      </c>
      <c r="C54" s="87" t="s">
        <v>29</v>
      </c>
      <c r="D54" s="86" t="s">
        <v>70</v>
      </c>
      <c r="E54" s="88">
        <v>36</v>
      </c>
      <c r="F54" s="89">
        <f>SUM(E54)*3</f>
        <v>108</v>
      </c>
      <c r="G54" s="13">
        <v>81.73</v>
      </c>
      <c r="H54" s="90">
        <f t="shared" si="8"/>
        <v>8.8268400000000007</v>
      </c>
      <c r="I54" s="13">
        <f>E54*G54</f>
        <v>2942.28</v>
      </c>
      <c r="J54" s="24"/>
      <c r="L54" s="20"/>
      <c r="M54" s="21"/>
      <c r="N54" s="22"/>
    </row>
    <row r="55" spans="1:14" ht="15.75" customHeight="1">
      <c r="A55" s="140" t="s">
        <v>142</v>
      </c>
      <c r="B55" s="141"/>
      <c r="C55" s="141"/>
      <c r="D55" s="141"/>
      <c r="E55" s="141"/>
      <c r="F55" s="141"/>
      <c r="G55" s="141"/>
      <c r="H55" s="141"/>
      <c r="I55" s="142"/>
      <c r="J55" s="24"/>
      <c r="L55" s="20"/>
      <c r="M55" s="21"/>
      <c r="N55" s="22"/>
    </row>
    <row r="56" spans="1:14" ht="15.75" hidden="1" customHeight="1">
      <c r="A56" s="57"/>
      <c r="B56" s="52" t="s">
        <v>43</v>
      </c>
      <c r="C56" s="17"/>
      <c r="D56" s="16"/>
      <c r="E56" s="16"/>
      <c r="F56" s="16"/>
      <c r="G56" s="30"/>
      <c r="H56" s="30"/>
      <c r="I56" s="19"/>
      <c r="J56" s="24"/>
      <c r="L56" s="20"/>
      <c r="M56" s="21"/>
      <c r="N56" s="22"/>
    </row>
    <row r="57" spans="1:14" ht="31.5" hidden="1" customHeight="1">
      <c r="A57" s="45">
        <v>12</v>
      </c>
      <c r="B57" s="86" t="s">
        <v>114</v>
      </c>
      <c r="C57" s="87" t="s">
        <v>90</v>
      </c>
      <c r="D57" s="86" t="s">
        <v>71</v>
      </c>
      <c r="E57" s="88">
        <v>12</v>
      </c>
      <c r="F57" s="89">
        <f>E57*6/100</f>
        <v>0.72</v>
      </c>
      <c r="G57" s="95">
        <v>2306.62</v>
      </c>
      <c r="H57" s="90">
        <f>F57*G57/1000</f>
        <v>1.6607663999999998</v>
      </c>
      <c r="I57" s="13">
        <f>F57/6*G57</f>
        <v>276.7944</v>
      </c>
      <c r="J57" s="24"/>
      <c r="L57" s="20"/>
      <c r="M57" s="21"/>
      <c r="N57" s="22"/>
    </row>
    <row r="58" spans="1:14" ht="15.75" hidden="1" customHeight="1">
      <c r="A58" s="45"/>
      <c r="B58" s="96" t="s">
        <v>83</v>
      </c>
      <c r="C58" s="97" t="s">
        <v>115</v>
      </c>
      <c r="D58" s="96" t="s">
        <v>66</v>
      </c>
      <c r="E58" s="98"/>
      <c r="F58" s="99">
        <v>2</v>
      </c>
      <c r="G58" s="100">
        <v>1501</v>
      </c>
      <c r="H58" s="90">
        <f>F58*G58/1000</f>
        <v>3.0019999999999998</v>
      </c>
      <c r="I58" s="13">
        <v>0</v>
      </c>
      <c r="J58" s="24"/>
      <c r="L58" s="20"/>
      <c r="M58" s="21"/>
      <c r="N58" s="22"/>
    </row>
    <row r="59" spans="1:14" ht="15.75" hidden="1" customHeight="1">
      <c r="A59" s="45"/>
      <c r="B59" s="77" t="s">
        <v>44</v>
      </c>
      <c r="C59" s="77"/>
      <c r="D59" s="77"/>
      <c r="E59" s="77"/>
      <c r="F59" s="77"/>
      <c r="G59" s="68"/>
      <c r="H59" s="68"/>
      <c r="I59" s="39"/>
      <c r="J59" s="24"/>
      <c r="L59" s="20"/>
      <c r="M59" s="21"/>
      <c r="N59" s="22"/>
    </row>
    <row r="60" spans="1:14" ht="15.75" hidden="1" customHeight="1">
      <c r="A60" s="45">
        <v>27</v>
      </c>
      <c r="B60" s="96" t="s">
        <v>45</v>
      </c>
      <c r="C60" s="97" t="s">
        <v>53</v>
      </c>
      <c r="D60" s="96" t="s">
        <v>54</v>
      </c>
      <c r="E60" s="98">
        <v>177</v>
      </c>
      <c r="F60" s="99">
        <f>E60/100</f>
        <v>1.77</v>
      </c>
      <c r="G60" s="100">
        <v>987.51</v>
      </c>
      <c r="H60" s="101">
        <f>G60*F60/1000</f>
        <v>1.7478927000000002</v>
      </c>
      <c r="I60" s="13">
        <v>0</v>
      </c>
      <c r="J60" s="24"/>
      <c r="L60" s="20"/>
      <c r="M60" s="21"/>
      <c r="N60" s="22"/>
    </row>
    <row r="61" spans="1:14" ht="15.75" customHeight="1">
      <c r="A61" s="45"/>
      <c r="B61" s="77" t="s">
        <v>46</v>
      </c>
      <c r="C61" s="17"/>
      <c r="D61" s="41"/>
      <c r="E61" s="41"/>
      <c r="F61" s="16"/>
      <c r="G61" s="69"/>
      <c r="H61" s="68"/>
      <c r="I61" s="19"/>
      <c r="J61" s="24"/>
      <c r="L61" s="20"/>
      <c r="M61" s="21"/>
      <c r="N61" s="22"/>
    </row>
    <row r="62" spans="1:14" ht="15.75" hidden="1" customHeight="1">
      <c r="A62" s="45">
        <v>17</v>
      </c>
      <c r="B62" s="15" t="s">
        <v>47</v>
      </c>
      <c r="C62" s="17" t="s">
        <v>113</v>
      </c>
      <c r="D62" s="15" t="s">
        <v>66</v>
      </c>
      <c r="E62" s="19">
        <v>1</v>
      </c>
      <c r="F62" s="89">
        <f>E62</f>
        <v>1</v>
      </c>
      <c r="G62" s="13">
        <v>276.74</v>
      </c>
      <c r="H62" s="102">
        <f t="shared" ref="H62:H70" si="11">SUM(F62*G62/1000)</f>
        <v>0.27673999999999999</v>
      </c>
      <c r="I62" s="13">
        <v>0</v>
      </c>
      <c r="J62" s="24"/>
      <c r="L62" s="20"/>
      <c r="M62" s="21"/>
      <c r="N62" s="22"/>
    </row>
    <row r="63" spans="1:14" ht="15.75" hidden="1" customHeight="1">
      <c r="A63" s="30">
        <v>29</v>
      </c>
      <c r="B63" s="15" t="s">
        <v>48</v>
      </c>
      <c r="C63" s="17" t="s">
        <v>113</v>
      </c>
      <c r="D63" s="15" t="s">
        <v>66</v>
      </c>
      <c r="E63" s="19">
        <v>3</v>
      </c>
      <c r="F63" s="89">
        <v>3</v>
      </c>
      <c r="G63" s="13">
        <v>94.89</v>
      </c>
      <c r="H63" s="102">
        <f t="shared" si="11"/>
        <v>0.28467000000000003</v>
      </c>
      <c r="I63" s="13">
        <v>0</v>
      </c>
      <c r="J63" s="24"/>
      <c r="L63" s="20"/>
    </row>
    <row r="64" spans="1:14" ht="15.75" hidden="1" customHeight="1">
      <c r="A64" s="30">
        <v>28</v>
      </c>
      <c r="B64" s="15" t="s">
        <v>49</v>
      </c>
      <c r="C64" s="17" t="s">
        <v>116</v>
      </c>
      <c r="D64" s="15" t="s">
        <v>54</v>
      </c>
      <c r="E64" s="88">
        <v>7265</v>
      </c>
      <c r="F64" s="13">
        <f>SUM(E64/100)</f>
        <v>72.650000000000006</v>
      </c>
      <c r="G64" s="13">
        <v>263.99</v>
      </c>
      <c r="H64" s="102">
        <f t="shared" si="11"/>
        <v>19.178873500000002</v>
      </c>
      <c r="I64" s="13">
        <f>F64*G64</f>
        <v>19178.873500000002</v>
      </c>
    </row>
    <row r="65" spans="1:22" ht="15.75" hidden="1" customHeight="1">
      <c r="A65" s="30">
        <v>29</v>
      </c>
      <c r="B65" s="15" t="s">
        <v>50</v>
      </c>
      <c r="C65" s="17" t="s">
        <v>117</v>
      </c>
      <c r="D65" s="15" t="s">
        <v>54</v>
      </c>
      <c r="E65" s="88">
        <v>7265</v>
      </c>
      <c r="F65" s="13">
        <f>SUM(E65/1000)</f>
        <v>7.2649999999999997</v>
      </c>
      <c r="G65" s="13">
        <v>205.57</v>
      </c>
      <c r="H65" s="102">
        <f t="shared" si="11"/>
        <v>1.4934660500000001</v>
      </c>
      <c r="I65" s="13">
        <f t="shared" ref="I65:I68" si="12">F65*G65</f>
        <v>1493.46605</v>
      </c>
    </row>
    <row r="66" spans="1:22" ht="15.75" hidden="1" customHeight="1">
      <c r="A66" s="30">
        <v>30</v>
      </c>
      <c r="B66" s="15" t="s">
        <v>51</v>
      </c>
      <c r="C66" s="17" t="s">
        <v>76</v>
      </c>
      <c r="D66" s="15" t="s">
        <v>54</v>
      </c>
      <c r="E66" s="88">
        <v>1090</v>
      </c>
      <c r="F66" s="13">
        <f>SUM(E66/100)</f>
        <v>10.9</v>
      </c>
      <c r="G66" s="13">
        <v>2581.5300000000002</v>
      </c>
      <c r="H66" s="102">
        <f t="shared" si="11"/>
        <v>28.138677000000005</v>
      </c>
      <c r="I66" s="13">
        <f t="shared" si="12"/>
        <v>28138.677000000003</v>
      </c>
    </row>
    <row r="67" spans="1:22" ht="15.75" hidden="1" customHeight="1">
      <c r="A67" s="30">
        <v>31</v>
      </c>
      <c r="B67" s="103" t="s">
        <v>118</v>
      </c>
      <c r="C67" s="17" t="s">
        <v>32</v>
      </c>
      <c r="D67" s="15"/>
      <c r="E67" s="88">
        <v>7.4</v>
      </c>
      <c r="F67" s="13">
        <f>SUM(E67)</f>
        <v>7.4</v>
      </c>
      <c r="G67" s="13">
        <v>47.45</v>
      </c>
      <c r="H67" s="102">
        <f t="shared" si="11"/>
        <v>0.35113000000000005</v>
      </c>
      <c r="I67" s="13">
        <f t="shared" si="12"/>
        <v>351.13000000000005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0">
        <v>32</v>
      </c>
      <c r="B68" s="103" t="s">
        <v>138</v>
      </c>
      <c r="C68" s="17" t="s">
        <v>32</v>
      </c>
      <c r="D68" s="15"/>
      <c r="E68" s="88">
        <v>7.4</v>
      </c>
      <c r="F68" s="13">
        <f>SUM(E68)</f>
        <v>7.4</v>
      </c>
      <c r="G68" s="13">
        <v>44.27</v>
      </c>
      <c r="H68" s="102">
        <f t="shared" si="11"/>
        <v>0.327598</v>
      </c>
      <c r="I68" s="13">
        <f t="shared" si="12"/>
        <v>327.59800000000001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0">
        <v>13</v>
      </c>
      <c r="B69" s="15" t="s">
        <v>57</v>
      </c>
      <c r="C69" s="17" t="s">
        <v>58</v>
      </c>
      <c r="D69" s="15" t="s">
        <v>54</v>
      </c>
      <c r="E69" s="19">
        <v>3</v>
      </c>
      <c r="F69" s="89">
        <f>SUM(E69)</f>
        <v>3</v>
      </c>
      <c r="G69" s="13">
        <v>62.07</v>
      </c>
      <c r="H69" s="102">
        <f t="shared" si="11"/>
        <v>0.18621000000000001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customHeight="1">
      <c r="A70" s="30">
        <v>14</v>
      </c>
      <c r="B70" s="15" t="s">
        <v>84</v>
      </c>
      <c r="C70" s="30" t="s">
        <v>119</v>
      </c>
      <c r="D70" s="15"/>
      <c r="E70" s="19">
        <v>1803.1</v>
      </c>
      <c r="F70" s="89">
        <f>SUM(E70*12)</f>
        <v>21637.199999999997</v>
      </c>
      <c r="G70" s="13">
        <v>2.16</v>
      </c>
      <c r="H70" s="102">
        <f t="shared" si="11"/>
        <v>46.736351999999997</v>
      </c>
      <c r="I70" s="13">
        <f>F70/12*G70</f>
        <v>3894.6959999999995</v>
      </c>
      <c r="J70" s="5"/>
      <c r="K70" s="5"/>
      <c r="L70" s="5"/>
      <c r="M70" s="5"/>
      <c r="N70" s="5"/>
      <c r="O70" s="5"/>
      <c r="P70" s="5"/>
      <c r="Q70" s="5"/>
      <c r="R70" s="132"/>
      <c r="S70" s="132"/>
      <c r="T70" s="132"/>
      <c r="U70" s="132"/>
    </row>
    <row r="71" spans="1:22" ht="15.75" hidden="1" customHeight="1">
      <c r="A71" s="30"/>
      <c r="B71" s="53" t="s">
        <v>72</v>
      </c>
      <c r="C71" s="53"/>
      <c r="D71" s="53"/>
      <c r="E71" s="53"/>
      <c r="F71" s="19"/>
      <c r="G71" s="30"/>
      <c r="H71" s="30"/>
      <c r="I71" s="19"/>
    </row>
    <row r="72" spans="1:22" ht="15.75" hidden="1" customHeight="1">
      <c r="A72" s="30"/>
      <c r="B72" s="15" t="s">
        <v>121</v>
      </c>
      <c r="C72" s="17" t="s">
        <v>122</v>
      </c>
      <c r="D72" s="15" t="s">
        <v>66</v>
      </c>
      <c r="E72" s="19">
        <v>1</v>
      </c>
      <c r="F72" s="13">
        <f>E72</f>
        <v>1</v>
      </c>
      <c r="G72" s="13">
        <v>976.4</v>
      </c>
      <c r="H72" s="102">
        <f t="shared" ref="H72:H76" si="13">SUM(F72*G72/1000)</f>
        <v>0.97639999999999993</v>
      </c>
      <c r="I72" s="13">
        <v>0</v>
      </c>
    </row>
    <row r="73" spans="1:22" ht="15.75" hidden="1" customHeight="1">
      <c r="A73" s="30"/>
      <c r="B73" s="15" t="s">
        <v>123</v>
      </c>
      <c r="C73" s="17" t="s">
        <v>124</v>
      </c>
      <c r="D73" s="15"/>
      <c r="E73" s="19">
        <v>1</v>
      </c>
      <c r="F73" s="13">
        <v>1</v>
      </c>
      <c r="G73" s="13">
        <v>650</v>
      </c>
      <c r="H73" s="102">
        <f t="shared" si="13"/>
        <v>0.65</v>
      </c>
      <c r="I73" s="13">
        <v>0</v>
      </c>
    </row>
    <row r="74" spans="1:22" ht="15.75" hidden="1" customHeight="1">
      <c r="A74" s="30"/>
      <c r="B74" s="15" t="s">
        <v>73</v>
      </c>
      <c r="C74" s="17" t="s">
        <v>30</v>
      </c>
      <c r="D74" s="15" t="s">
        <v>66</v>
      </c>
      <c r="E74" s="19">
        <v>3</v>
      </c>
      <c r="F74" s="13">
        <f>E74/10</f>
        <v>0.3</v>
      </c>
      <c r="G74" s="13">
        <v>624.16999999999996</v>
      </c>
      <c r="H74" s="102">
        <f t="shared" si="13"/>
        <v>0.18725099999999997</v>
      </c>
      <c r="I74" s="13">
        <v>0</v>
      </c>
    </row>
    <row r="75" spans="1:22" ht="15.75" hidden="1" customHeight="1">
      <c r="A75" s="30"/>
      <c r="B75" s="15" t="s">
        <v>74</v>
      </c>
      <c r="C75" s="17" t="s">
        <v>29</v>
      </c>
      <c r="D75" s="15" t="s">
        <v>66</v>
      </c>
      <c r="E75" s="19">
        <v>1</v>
      </c>
      <c r="F75" s="13">
        <v>1</v>
      </c>
      <c r="G75" s="13">
        <v>1061.4100000000001</v>
      </c>
      <c r="H75" s="102">
        <f t="shared" si="13"/>
        <v>1.0614100000000002</v>
      </c>
      <c r="I75" s="13">
        <v>0</v>
      </c>
    </row>
    <row r="76" spans="1:22" ht="15.75" hidden="1" customHeight="1">
      <c r="A76" s="30">
        <v>17</v>
      </c>
      <c r="B76" s="15" t="s">
        <v>85</v>
      </c>
      <c r="C76" s="17" t="s">
        <v>29</v>
      </c>
      <c r="D76" s="15" t="s">
        <v>66</v>
      </c>
      <c r="E76" s="19">
        <v>1</v>
      </c>
      <c r="F76" s="89">
        <f>SUM(E76)</f>
        <v>1</v>
      </c>
      <c r="G76" s="13">
        <v>446.12</v>
      </c>
      <c r="H76" s="102">
        <f t="shared" si="13"/>
        <v>0.44612000000000002</v>
      </c>
      <c r="I76" s="13">
        <v>0</v>
      </c>
    </row>
    <row r="77" spans="1:22" ht="15.75" hidden="1" customHeight="1">
      <c r="A77" s="30"/>
      <c r="B77" s="54" t="s">
        <v>75</v>
      </c>
      <c r="C77" s="42"/>
      <c r="D77" s="30"/>
      <c r="E77" s="30"/>
      <c r="F77" s="19"/>
      <c r="G77" s="40" t="s">
        <v>128</v>
      </c>
      <c r="H77" s="40"/>
      <c r="I77" s="19"/>
    </row>
    <row r="78" spans="1:22" ht="15.75" hidden="1" customHeight="1">
      <c r="A78" s="30">
        <v>39</v>
      </c>
      <c r="B78" s="56" t="s">
        <v>125</v>
      </c>
      <c r="C78" s="17" t="s">
        <v>76</v>
      </c>
      <c r="D78" s="15"/>
      <c r="E78" s="19"/>
      <c r="F78" s="13">
        <v>1.35</v>
      </c>
      <c r="G78" s="13">
        <v>3433.68</v>
      </c>
      <c r="H78" s="102">
        <f t="shared" ref="H78" si="14">SUM(F78*G78/1000)</f>
        <v>4.6354679999999995</v>
      </c>
      <c r="I78" s="13">
        <v>0</v>
      </c>
    </row>
    <row r="79" spans="1:22" ht="15.75" customHeight="1">
      <c r="A79" s="57"/>
      <c r="B79" s="77" t="s">
        <v>120</v>
      </c>
      <c r="C79" s="77"/>
      <c r="D79" s="77"/>
      <c r="E79" s="77"/>
      <c r="F79" s="77"/>
      <c r="G79" s="77"/>
      <c r="H79" s="77"/>
      <c r="I79" s="19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2" ht="15.75" customHeight="1">
      <c r="A80" s="30">
        <v>15</v>
      </c>
      <c r="B80" s="86" t="s">
        <v>87</v>
      </c>
      <c r="C80" s="17"/>
      <c r="D80" s="15"/>
      <c r="E80" s="104"/>
      <c r="F80" s="13">
        <v>1</v>
      </c>
      <c r="G80" s="13">
        <v>1861.1</v>
      </c>
      <c r="H80" s="102">
        <f>G80*F80/1000</f>
        <v>1.8611</v>
      </c>
      <c r="I80" s="13">
        <f>G80*1</f>
        <v>1861.1</v>
      </c>
    </row>
    <row r="81" spans="1:9" ht="15.75" customHeight="1">
      <c r="A81" s="125" t="s">
        <v>143</v>
      </c>
      <c r="B81" s="126"/>
      <c r="C81" s="126"/>
      <c r="D81" s="126"/>
      <c r="E81" s="126"/>
      <c r="F81" s="126"/>
      <c r="G81" s="126"/>
      <c r="H81" s="126"/>
      <c r="I81" s="127"/>
    </row>
    <row r="82" spans="1:9" ht="15.75" customHeight="1">
      <c r="A82" s="30">
        <v>16</v>
      </c>
      <c r="B82" s="86" t="s">
        <v>126</v>
      </c>
      <c r="C82" s="17" t="s">
        <v>55</v>
      </c>
      <c r="D82" s="105"/>
      <c r="E82" s="13">
        <v>1803.1</v>
      </c>
      <c r="F82" s="13">
        <f>SUM(E82*12)</f>
        <v>21637.199999999997</v>
      </c>
      <c r="G82" s="13">
        <v>2.95</v>
      </c>
      <c r="H82" s="102">
        <f>SUM(F82*G82/1000)</f>
        <v>63.829740000000001</v>
      </c>
      <c r="I82" s="13">
        <f>F82/12*G82</f>
        <v>5319.1449999999995</v>
      </c>
    </row>
    <row r="83" spans="1:9" ht="31.5" customHeight="1">
      <c r="A83" s="30">
        <v>17</v>
      </c>
      <c r="B83" s="15" t="s">
        <v>77</v>
      </c>
      <c r="C83" s="17"/>
      <c r="D83" s="105"/>
      <c r="E83" s="88">
        <v>1803.1</v>
      </c>
      <c r="F83" s="13">
        <f>E83*12</f>
        <v>21637.199999999997</v>
      </c>
      <c r="G83" s="13">
        <v>3.05</v>
      </c>
      <c r="H83" s="102">
        <f>F83*G83/1000</f>
        <v>65.993459999999999</v>
      </c>
      <c r="I83" s="13">
        <f>F83/12*G83</f>
        <v>5499.454999999999</v>
      </c>
    </row>
    <row r="84" spans="1:9" ht="15.75" customHeight="1">
      <c r="A84" s="57"/>
      <c r="B84" s="43" t="s">
        <v>79</v>
      </c>
      <c r="C84" s="45"/>
      <c r="D84" s="16"/>
      <c r="E84" s="16"/>
      <c r="F84" s="16"/>
      <c r="G84" s="19"/>
      <c r="H84" s="19"/>
      <c r="I84" s="32">
        <f>I83+I82+I70+I33+I31+I30+I26+I25+I24+I23+I22+I21+I20+I18+I17+I16+I80</f>
        <v>23886.934637333325</v>
      </c>
    </row>
    <row r="85" spans="1:9" ht="15.75" customHeight="1">
      <c r="A85" s="128" t="s">
        <v>60</v>
      </c>
      <c r="B85" s="129"/>
      <c r="C85" s="129"/>
      <c r="D85" s="129"/>
      <c r="E85" s="129"/>
      <c r="F85" s="129"/>
      <c r="G85" s="129"/>
      <c r="H85" s="129"/>
      <c r="I85" s="130"/>
    </row>
    <row r="86" spans="1:9" ht="17.25" customHeight="1">
      <c r="A86" s="106">
        <v>18</v>
      </c>
      <c r="B86" s="15" t="s">
        <v>153</v>
      </c>
      <c r="C86" s="17" t="s">
        <v>154</v>
      </c>
      <c r="D86" s="15"/>
      <c r="E86" s="19"/>
      <c r="F86" s="13">
        <v>24</v>
      </c>
      <c r="G86" s="13">
        <v>1.4</v>
      </c>
      <c r="H86" s="13">
        <f>F86*G86/1000</f>
        <v>3.3599999999999991E-2</v>
      </c>
      <c r="I86" s="13">
        <f>G86*12</f>
        <v>16.799999999999997</v>
      </c>
    </row>
    <row r="87" spans="1:9" ht="17.25" customHeight="1">
      <c r="A87" s="106">
        <v>19</v>
      </c>
      <c r="B87" s="114" t="s">
        <v>174</v>
      </c>
      <c r="C87" s="115" t="s">
        <v>158</v>
      </c>
      <c r="D87" s="41"/>
      <c r="E87" s="18"/>
      <c r="F87" s="40">
        <v>1</v>
      </c>
      <c r="G87" s="40">
        <v>295.36</v>
      </c>
      <c r="H87" s="13"/>
      <c r="I87" s="13">
        <v>0</v>
      </c>
    </row>
    <row r="88" spans="1:9" ht="15.75" customHeight="1">
      <c r="A88" s="30"/>
      <c r="B88" s="50" t="s">
        <v>52</v>
      </c>
      <c r="C88" s="46"/>
      <c r="D88" s="58"/>
      <c r="E88" s="58"/>
      <c r="F88" s="46">
        <v>1</v>
      </c>
      <c r="G88" s="46"/>
      <c r="H88" s="46"/>
      <c r="I88" s="32">
        <f>SUM(I86:I87)</f>
        <v>16.799999999999997</v>
      </c>
    </row>
    <row r="89" spans="1:9" ht="15.75" customHeight="1">
      <c r="A89" s="30"/>
      <c r="B89" s="56" t="s">
        <v>78</v>
      </c>
      <c r="C89" s="16"/>
      <c r="D89" s="16"/>
      <c r="E89" s="16"/>
      <c r="F89" s="47"/>
      <c r="G89" s="48"/>
      <c r="H89" s="48"/>
      <c r="I89" s="18">
        <v>0</v>
      </c>
    </row>
    <row r="90" spans="1:9" ht="15.75" customHeight="1">
      <c r="A90" s="59"/>
      <c r="B90" s="51" t="s">
        <v>133</v>
      </c>
      <c r="C90" s="38"/>
      <c r="D90" s="38"/>
      <c r="E90" s="38"/>
      <c r="F90" s="38"/>
      <c r="G90" s="38"/>
      <c r="H90" s="38"/>
      <c r="I90" s="49">
        <f>I84+I88</f>
        <v>23903.734637333324</v>
      </c>
    </row>
    <row r="91" spans="1:9" ht="15.75" customHeight="1">
      <c r="A91" s="131" t="s">
        <v>220</v>
      </c>
      <c r="B91" s="131"/>
      <c r="C91" s="131"/>
      <c r="D91" s="131"/>
      <c r="E91" s="131"/>
      <c r="F91" s="131"/>
      <c r="G91" s="131"/>
      <c r="H91" s="131"/>
      <c r="I91" s="131"/>
    </row>
    <row r="92" spans="1:9" ht="15.75" customHeight="1">
      <c r="A92" s="72"/>
      <c r="B92" s="147" t="s">
        <v>221</v>
      </c>
      <c r="C92" s="147"/>
      <c r="D92" s="147"/>
      <c r="E92" s="147"/>
      <c r="F92" s="147"/>
      <c r="G92" s="147"/>
      <c r="H92" s="84"/>
      <c r="I92" s="3"/>
    </row>
    <row r="93" spans="1:9" ht="15.75" customHeight="1">
      <c r="A93" s="75"/>
      <c r="B93" s="143" t="s">
        <v>6</v>
      </c>
      <c r="C93" s="143"/>
      <c r="D93" s="143"/>
      <c r="E93" s="143"/>
      <c r="F93" s="143"/>
      <c r="G93" s="143"/>
      <c r="H93" s="25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 customHeight="1">
      <c r="A95" s="151" t="s">
        <v>7</v>
      </c>
      <c r="B95" s="151"/>
      <c r="C95" s="151"/>
      <c r="D95" s="151"/>
      <c r="E95" s="151"/>
      <c r="F95" s="151"/>
      <c r="G95" s="151"/>
      <c r="H95" s="151"/>
      <c r="I95" s="151"/>
    </row>
    <row r="96" spans="1:9" ht="15.75" customHeight="1">
      <c r="A96" s="151" t="s">
        <v>8</v>
      </c>
      <c r="B96" s="151"/>
      <c r="C96" s="151"/>
      <c r="D96" s="151"/>
      <c r="E96" s="151"/>
      <c r="F96" s="151"/>
      <c r="G96" s="151"/>
      <c r="H96" s="151"/>
      <c r="I96" s="151"/>
    </row>
    <row r="97" spans="1:9" ht="15.75" customHeight="1">
      <c r="A97" s="148" t="s">
        <v>61</v>
      </c>
      <c r="B97" s="148"/>
      <c r="C97" s="148"/>
      <c r="D97" s="148"/>
      <c r="E97" s="148"/>
      <c r="F97" s="148"/>
      <c r="G97" s="148"/>
      <c r="H97" s="148"/>
      <c r="I97" s="148"/>
    </row>
    <row r="98" spans="1:9" ht="15.75" customHeight="1">
      <c r="A98" s="11"/>
    </row>
    <row r="99" spans="1:9" ht="15.75" customHeight="1">
      <c r="A99" s="149" t="s">
        <v>9</v>
      </c>
      <c r="B99" s="149"/>
      <c r="C99" s="149"/>
      <c r="D99" s="149"/>
      <c r="E99" s="149"/>
      <c r="F99" s="149"/>
      <c r="G99" s="149"/>
      <c r="H99" s="149"/>
      <c r="I99" s="149"/>
    </row>
    <row r="100" spans="1:9" ht="15.75" customHeight="1">
      <c r="A100" s="4"/>
    </row>
    <row r="101" spans="1:9" ht="15.75" customHeight="1">
      <c r="B101" s="71" t="s">
        <v>10</v>
      </c>
      <c r="C101" s="150" t="s">
        <v>182</v>
      </c>
      <c r="D101" s="150"/>
      <c r="E101" s="150"/>
      <c r="F101" s="150"/>
      <c r="I101" s="74"/>
    </row>
    <row r="102" spans="1:9" ht="15.75" customHeight="1">
      <c r="A102" s="75"/>
      <c r="C102" s="143" t="s">
        <v>11</v>
      </c>
      <c r="D102" s="143"/>
      <c r="E102" s="143"/>
      <c r="F102" s="143"/>
      <c r="I102" s="73" t="s">
        <v>12</v>
      </c>
    </row>
    <row r="103" spans="1:9" ht="15.75" customHeight="1">
      <c r="A103" s="26"/>
      <c r="C103" s="12"/>
      <c r="D103" s="12"/>
      <c r="E103" s="12"/>
      <c r="G103" s="12"/>
      <c r="H103" s="12"/>
    </row>
    <row r="104" spans="1:9" ht="15.75" customHeight="1">
      <c r="B104" s="71" t="s">
        <v>13</v>
      </c>
      <c r="C104" s="145"/>
      <c r="D104" s="145"/>
      <c r="E104" s="145"/>
      <c r="F104" s="145"/>
      <c r="I104" s="74"/>
    </row>
    <row r="105" spans="1:9" ht="15.75" customHeight="1">
      <c r="A105" s="75"/>
      <c r="C105" s="132" t="s">
        <v>11</v>
      </c>
      <c r="D105" s="132"/>
      <c r="E105" s="132"/>
      <c r="F105" s="132"/>
      <c r="I105" s="73" t="s">
        <v>12</v>
      </c>
    </row>
    <row r="106" spans="1:9" ht="15.75" customHeight="1">
      <c r="A106" s="4" t="s">
        <v>14</v>
      </c>
    </row>
    <row r="107" spans="1:9">
      <c r="A107" s="146" t="s">
        <v>15</v>
      </c>
      <c r="B107" s="146"/>
      <c r="C107" s="146"/>
      <c r="D107" s="146"/>
      <c r="E107" s="146"/>
      <c r="F107" s="146"/>
      <c r="G107" s="146"/>
      <c r="H107" s="146"/>
      <c r="I107" s="146"/>
    </row>
    <row r="108" spans="1:9" ht="45" customHeight="1">
      <c r="A108" s="144" t="s">
        <v>16</v>
      </c>
      <c r="B108" s="144"/>
      <c r="C108" s="144"/>
      <c r="D108" s="144"/>
      <c r="E108" s="144"/>
      <c r="F108" s="144"/>
      <c r="G108" s="144"/>
      <c r="H108" s="144"/>
      <c r="I108" s="144"/>
    </row>
    <row r="109" spans="1:9" ht="30" customHeight="1">
      <c r="A109" s="144" t="s">
        <v>17</v>
      </c>
      <c r="B109" s="144"/>
      <c r="C109" s="144"/>
      <c r="D109" s="144"/>
      <c r="E109" s="144"/>
      <c r="F109" s="144"/>
      <c r="G109" s="144"/>
      <c r="H109" s="144"/>
      <c r="I109" s="144"/>
    </row>
    <row r="110" spans="1:9" ht="30" customHeight="1">
      <c r="A110" s="144" t="s">
        <v>21</v>
      </c>
      <c r="B110" s="144"/>
      <c r="C110" s="144"/>
      <c r="D110" s="144"/>
      <c r="E110" s="144"/>
      <c r="F110" s="144"/>
      <c r="G110" s="144"/>
      <c r="H110" s="144"/>
      <c r="I110" s="144"/>
    </row>
    <row r="111" spans="1:9" ht="15" customHeight="1">
      <c r="A111" s="144" t="s">
        <v>20</v>
      </c>
      <c r="B111" s="144"/>
      <c r="C111" s="144"/>
      <c r="D111" s="144"/>
      <c r="E111" s="144"/>
      <c r="F111" s="144"/>
      <c r="G111" s="144"/>
      <c r="H111" s="144"/>
      <c r="I111" s="144"/>
    </row>
  </sheetData>
  <autoFilter ref="I12:I65"/>
  <mergeCells count="29">
    <mergeCell ref="A107:I107"/>
    <mergeCell ref="A108:I108"/>
    <mergeCell ref="A109:I109"/>
    <mergeCell ref="A110:I110"/>
    <mergeCell ref="A111:I111"/>
    <mergeCell ref="R70:U70"/>
    <mergeCell ref="C105:F105"/>
    <mergeCell ref="A85:I85"/>
    <mergeCell ref="A91:I91"/>
    <mergeCell ref="B92:G92"/>
    <mergeCell ref="B93:G93"/>
    <mergeCell ref="A95:I95"/>
    <mergeCell ref="A96:I96"/>
    <mergeCell ref="A97:I97"/>
    <mergeCell ref="A99:I99"/>
    <mergeCell ref="C101:F101"/>
    <mergeCell ref="C102:F102"/>
    <mergeCell ref="C104:F104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3"/>
  <sheetViews>
    <sheetView topLeftCell="A55" workbookViewId="0">
      <selection activeCell="A99" sqref="A99:I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155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3" t="s">
        <v>148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</row>
    <row r="4" spans="1:13" ht="31.5" customHeight="1">
      <c r="A4" s="134" t="s">
        <v>127</v>
      </c>
      <c r="B4" s="134"/>
      <c r="C4" s="134"/>
      <c r="D4" s="134"/>
      <c r="E4" s="134"/>
      <c r="F4" s="134"/>
      <c r="G4" s="134"/>
      <c r="H4" s="134"/>
      <c r="I4" s="134"/>
    </row>
    <row r="5" spans="1:13" ht="15.75" customHeight="1">
      <c r="A5" s="133" t="s">
        <v>222</v>
      </c>
      <c r="B5" s="137"/>
      <c r="C5" s="137"/>
      <c r="D5" s="137"/>
      <c r="E5" s="137"/>
      <c r="F5" s="137"/>
      <c r="G5" s="137"/>
      <c r="H5" s="137"/>
      <c r="I5" s="137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44439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181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129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8" t="s">
        <v>59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90</v>
      </c>
      <c r="D16" s="86" t="s">
        <v>160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88</v>
      </c>
      <c r="C17" s="87" t="s">
        <v>90</v>
      </c>
      <c r="D17" s="86" t="s">
        <v>161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89</v>
      </c>
      <c r="C18" s="87" t="s">
        <v>90</v>
      </c>
      <c r="D18" s="86" t="s">
        <v>162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91</v>
      </c>
      <c r="C19" s="87" t="s">
        <v>86</v>
      </c>
      <c r="D19" s="86" t="s">
        <v>92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5</v>
      </c>
      <c r="B20" s="86" t="s">
        <v>93</v>
      </c>
      <c r="C20" s="87" t="s">
        <v>90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6</v>
      </c>
      <c r="B21" s="86" t="s">
        <v>94</v>
      </c>
      <c r="C21" s="87" t="s">
        <v>90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95</v>
      </c>
      <c r="C22" s="87" t="s">
        <v>53</v>
      </c>
      <c r="D22" s="86" t="s">
        <v>92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96</v>
      </c>
      <c r="C23" s="87" t="s">
        <v>53</v>
      </c>
      <c r="D23" s="86" t="s">
        <v>92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97</v>
      </c>
      <c r="C24" s="87" t="s">
        <v>53</v>
      </c>
      <c r="D24" s="86" t="s">
        <v>92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98</v>
      </c>
      <c r="C25" s="87" t="s">
        <v>53</v>
      </c>
      <c r="D25" s="86" t="s">
        <v>92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99</v>
      </c>
      <c r="C26" s="87" t="s">
        <v>53</v>
      </c>
      <c r="D26" s="86" t="s">
        <v>92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hidden="1" customHeight="1">
      <c r="A27" s="30">
        <v>4</v>
      </c>
      <c r="B27" s="34" t="s">
        <v>159</v>
      </c>
      <c r="C27" s="44" t="s">
        <v>154</v>
      </c>
      <c r="D27" s="34" t="s">
        <v>163</v>
      </c>
      <c r="E27" s="117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39" t="s">
        <v>81</v>
      </c>
      <c r="B28" s="139"/>
      <c r="C28" s="139"/>
      <c r="D28" s="139"/>
      <c r="E28" s="139"/>
      <c r="F28" s="139"/>
      <c r="G28" s="139"/>
      <c r="H28" s="139"/>
      <c r="I28" s="139"/>
      <c r="J28" s="23"/>
      <c r="K28" s="8"/>
      <c r="L28" s="8"/>
      <c r="M28" s="8"/>
    </row>
    <row r="29" spans="1:13" ht="15.75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customHeight="1">
      <c r="A30" s="45">
        <v>4</v>
      </c>
      <c r="B30" s="86" t="s">
        <v>134</v>
      </c>
      <c r="C30" s="87" t="s">
        <v>100</v>
      </c>
      <c r="D30" s="86" t="s">
        <v>161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customHeight="1">
      <c r="A31" s="45">
        <v>5</v>
      </c>
      <c r="B31" s="86" t="s">
        <v>135</v>
      </c>
      <c r="C31" s="87" t="s">
        <v>100</v>
      </c>
      <c r="D31" s="86" t="s">
        <v>160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3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16</v>
      </c>
      <c r="B32" s="86" t="s">
        <v>26</v>
      </c>
      <c r="C32" s="87" t="s">
        <v>100</v>
      </c>
      <c r="D32" s="86" t="s">
        <v>168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customHeight="1">
      <c r="A33" s="45">
        <v>6</v>
      </c>
      <c r="B33" s="86" t="s">
        <v>103</v>
      </c>
      <c r="C33" s="87" t="s">
        <v>40</v>
      </c>
      <c r="D33" s="86" t="s">
        <v>165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4</v>
      </c>
      <c r="B34" s="86" t="s">
        <v>64</v>
      </c>
      <c r="C34" s="87" t="s">
        <v>32</v>
      </c>
      <c r="D34" s="86" t="s">
        <v>66</v>
      </c>
      <c r="E34" s="88"/>
      <c r="F34" s="89">
        <v>1</v>
      </c>
      <c r="G34" s="89">
        <v>238.07</v>
      </c>
      <c r="H34" s="90">
        <f t="shared" ref="H34:H35" si="5">SUM(F34*G34/1000)</f>
        <v>0.23807</v>
      </c>
      <c r="I34" s="13">
        <v>0</v>
      </c>
      <c r="J34" s="24"/>
    </row>
    <row r="35" spans="1:14" ht="15.75" hidden="1" customHeight="1">
      <c r="A35" s="30">
        <v>8</v>
      </c>
      <c r="B35" s="86" t="s">
        <v>65</v>
      </c>
      <c r="C35" s="87" t="s">
        <v>31</v>
      </c>
      <c r="D35" s="86" t="s">
        <v>66</v>
      </c>
      <c r="E35" s="88"/>
      <c r="F35" s="89">
        <v>1</v>
      </c>
      <c r="G35" s="89">
        <v>1413.96</v>
      </c>
      <c r="H35" s="90">
        <f t="shared" si="5"/>
        <v>1.4139600000000001</v>
      </c>
      <c r="I35" s="13">
        <v>0</v>
      </c>
      <c r="J35" s="24"/>
    </row>
    <row r="36" spans="1:14" ht="15.75" hidden="1" customHeight="1">
      <c r="A36" s="45"/>
      <c r="B36" s="53" t="s">
        <v>5</v>
      </c>
      <c r="C36" s="53"/>
      <c r="D36" s="53"/>
      <c r="E36" s="53"/>
      <c r="F36" s="13"/>
      <c r="G36" s="14"/>
      <c r="H36" s="14"/>
      <c r="I36" s="19"/>
      <c r="J36" s="24"/>
    </row>
    <row r="37" spans="1:14" ht="15.75" hidden="1" customHeight="1">
      <c r="A37" s="35">
        <v>6</v>
      </c>
      <c r="B37" s="86" t="s">
        <v>25</v>
      </c>
      <c r="C37" s="87" t="s">
        <v>31</v>
      </c>
      <c r="D37" s="86"/>
      <c r="E37" s="88"/>
      <c r="F37" s="89">
        <v>2</v>
      </c>
      <c r="G37" s="89">
        <v>1900.37</v>
      </c>
      <c r="H37" s="90">
        <f t="shared" ref="H37:H42" si="6">SUM(F37*G37/1000)</f>
        <v>3.8007399999999998</v>
      </c>
      <c r="I37" s="13">
        <f t="shared" ref="I37:I42" si="7">F37/6*G37</f>
        <v>633.45666666666659</v>
      </c>
      <c r="J37" s="24"/>
    </row>
    <row r="38" spans="1:14" ht="15.75" hidden="1" customHeight="1">
      <c r="A38" s="35">
        <v>7</v>
      </c>
      <c r="B38" s="86" t="s">
        <v>67</v>
      </c>
      <c r="C38" s="67" t="s">
        <v>28</v>
      </c>
      <c r="D38" s="36" t="s">
        <v>105</v>
      </c>
      <c r="E38" s="37">
        <v>65.25</v>
      </c>
      <c r="F38" s="89">
        <f>SUM(E38*30/1000)</f>
        <v>1.9575</v>
      </c>
      <c r="G38" s="89">
        <v>2616.4899999999998</v>
      </c>
      <c r="H38" s="90">
        <f t="shared" si="6"/>
        <v>5.1217791749999995</v>
      </c>
      <c r="I38" s="13">
        <f t="shared" si="7"/>
        <v>853.62986249999994</v>
      </c>
      <c r="J38" s="24"/>
    </row>
    <row r="39" spans="1:14" ht="15.75" hidden="1" customHeight="1">
      <c r="A39" s="35">
        <v>8</v>
      </c>
      <c r="B39" s="86" t="s">
        <v>68</v>
      </c>
      <c r="C39" s="44" t="s">
        <v>28</v>
      </c>
      <c r="D39" s="34" t="s">
        <v>106</v>
      </c>
      <c r="E39" s="33">
        <v>65.25</v>
      </c>
      <c r="F39" s="89">
        <f>SUM(E39*155/1000)</f>
        <v>10.11375</v>
      </c>
      <c r="G39" s="89">
        <v>436.45</v>
      </c>
      <c r="H39" s="90">
        <f t="shared" si="6"/>
        <v>4.4141461874999992</v>
      </c>
      <c r="I39" s="13">
        <f t="shared" si="7"/>
        <v>735.69103124999992</v>
      </c>
      <c r="J39" s="24"/>
    </row>
    <row r="40" spans="1:14" ht="46.5" hidden="1" customHeight="1">
      <c r="A40" s="35">
        <v>9</v>
      </c>
      <c r="B40" s="86" t="s">
        <v>80</v>
      </c>
      <c r="C40" s="44" t="s">
        <v>100</v>
      </c>
      <c r="D40" s="34" t="s">
        <v>107</v>
      </c>
      <c r="E40" s="33">
        <v>65.25</v>
      </c>
      <c r="F40" s="89">
        <f>SUM(E40*35/1000)</f>
        <v>2.2837499999999999</v>
      </c>
      <c r="G40" s="89">
        <v>7221.21</v>
      </c>
      <c r="H40" s="90">
        <f t="shared" si="6"/>
        <v>16.4914383375</v>
      </c>
      <c r="I40" s="13">
        <f t="shared" si="7"/>
        <v>2748.5730562499998</v>
      </c>
      <c r="J40" s="24"/>
      <c r="L40" s="20"/>
      <c r="M40" s="21"/>
      <c r="N40" s="22"/>
    </row>
    <row r="41" spans="1:14" ht="15.75" hidden="1" customHeight="1">
      <c r="A41" s="35">
        <v>10</v>
      </c>
      <c r="B41" s="86" t="s">
        <v>108</v>
      </c>
      <c r="C41" s="44" t="s">
        <v>100</v>
      </c>
      <c r="D41" s="34" t="s">
        <v>109</v>
      </c>
      <c r="E41" s="33">
        <v>65.25</v>
      </c>
      <c r="F41" s="89">
        <f>SUM(E41*20/1000)</f>
        <v>1.3049999999999999</v>
      </c>
      <c r="G41" s="89">
        <v>533.45000000000005</v>
      </c>
      <c r="H41" s="90">
        <f t="shared" si="6"/>
        <v>0.69615225000000003</v>
      </c>
      <c r="I41" s="13">
        <f t="shared" si="7"/>
        <v>116.02537500000001</v>
      </c>
      <c r="J41" s="24"/>
      <c r="L41" s="20"/>
      <c r="M41" s="21"/>
      <c r="N41" s="22"/>
    </row>
    <row r="42" spans="1:14" ht="15.75" hidden="1" customHeight="1">
      <c r="A42" s="35">
        <v>11</v>
      </c>
      <c r="B42" s="86" t="s">
        <v>69</v>
      </c>
      <c r="C42" s="87" t="s">
        <v>32</v>
      </c>
      <c r="D42" s="86"/>
      <c r="E42" s="88"/>
      <c r="F42" s="89">
        <v>0.5</v>
      </c>
      <c r="G42" s="89">
        <v>992.97</v>
      </c>
      <c r="H42" s="90">
        <f t="shared" si="6"/>
        <v>0.49648500000000001</v>
      </c>
      <c r="I42" s="13">
        <f t="shared" si="7"/>
        <v>82.747500000000002</v>
      </c>
      <c r="J42" s="24"/>
      <c r="L42" s="20"/>
      <c r="M42" s="21"/>
      <c r="N42" s="22"/>
    </row>
    <row r="43" spans="1:14" ht="15.75" hidden="1" customHeight="1">
      <c r="A43" s="140" t="s">
        <v>130</v>
      </c>
      <c r="B43" s="141"/>
      <c r="C43" s="141"/>
      <c r="D43" s="141"/>
      <c r="E43" s="141"/>
      <c r="F43" s="141"/>
      <c r="G43" s="141"/>
      <c r="H43" s="141"/>
      <c r="I43" s="142"/>
      <c r="J43" s="24"/>
      <c r="L43" s="20"/>
      <c r="M43" s="21"/>
      <c r="N43" s="22"/>
    </row>
    <row r="44" spans="1:14" ht="15.75" hidden="1" customHeight="1">
      <c r="A44" s="45">
        <v>19</v>
      </c>
      <c r="B44" s="86" t="s">
        <v>110</v>
      </c>
      <c r="C44" s="87" t="s">
        <v>100</v>
      </c>
      <c r="D44" s="86" t="s">
        <v>42</v>
      </c>
      <c r="E44" s="88">
        <v>1026.8</v>
      </c>
      <c r="F44" s="89">
        <f>SUM(E44*2/1000)</f>
        <v>2.0535999999999999</v>
      </c>
      <c r="G44" s="13">
        <v>1283.46</v>
      </c>
      <c r="H44" s="90">
        <f t="shared" ref="H44:H54" si="8">SUM(F44*G44/1000)</f>
        <v>2.635713456</v>
      </c>
      <c r="I44" s="13">
        <f t="shared" ref="I44:I47" si="9">F44/2*G44</f>
        <v>1317.856728</v>
      </c>
      <c r="J44" s="24"/>
      <c r="L44" s="20"/>
      <c r="M44" s="21"/>
      <c r="N44" s="22"/>
    </row>
    <row r="45" spans="1:14" ht="15.75" hidden="1" customHeight="1">
      <c r="A45" s="45">
        <v>20</v>
      </c>
      <c r="B45" s="86" t="s">
        <v>35</v>
      </c>
      <c r="C45" s="87" t="s">
        <v>100</v>
      </c>
      <c r="D45" s="86" t="s">
        <v>42</v>
      </c>
      <c r="E45" s="88">
        <v>19.8</v>
      </c>
      <c r="F45" s="89">
        <f>SUM(E45*2/1000)</f>
        <v>3.9600000000000003E-2</v>
      </c>
      <c r="G45" s="13">
        <v>4192.6400000000003</v>
      </c>
      <c r="H45" s="90">
        <f t="shared" si="8"/>
        <v>0.16602854400000003</v>
      </c>
      <c r="I45" s="13">
        <f t="shared" si="9"/>
        <v>83.01427200000002</v>
      </c>
      <c r="J45" s="24"/>
      <c r="L45" s="20"/>
      <c r="M45" s="21"/>
      <c r="N45" s="22"/>
    </row>
    <row r="46" spans="1:14" ht="15.75" hidden="1" customHeight="1">
      <c r="A46" s="45">
        <v>21</v>
      </c>
      <c r="B46" s="86" t="s">
        <v>36</v>
      </c>
      <c r="C46" s="87" t="s">
        <v>100</v>
      </c>
      <c r="D46" s="86" t="s">
        <v>42</v>
      </c>
      <c r="E46" s="88">
        <v>660.84</v>
      </c>
      <c r="F46" s="89">
        <f>SUM(E46*2/1000)</f>
        <v>1.32168</v>
      </c>
      <c r="G46" s="13">
        <v>1711.28</v>
      </c>
      <c r="H46" s="90">
        <f t="shared" si="8"/>
        <v>2.2617645503999997</v>
      </c>
      <c r="I46" s="13">
        <f t="shared" si="9"/>
        <v>1130.8822751999999</v>
      </c>
      <c r="J46" s="24"/>
      <c r="L46" s="20"/>
      <c r="M46" s="21"/>
      <c r="N46" s="22"/>
    </row>
    <row r="47" spans="1:14" ht="15.75" hidden="1" customHeight="1">
      <c r="A47" s="45">
        <v>22</v>
      </c>
      <c r="B47" s="86" t="s">
        <v>37</v>
      </c>
      <c r="C47" s="87" t="s">
        <v>100</v>
      </c>
      <c r="D47" s="86" t="s">
        <v>42</v>
      </c>
      <c r="E47" s="88">
        <v>1156.21</v>
      </c>
      <c r="F47" s="89">
        <f>SUM(E47*2/1000)</f>
        <v>2.3124199999999999</v>
      </c>
      <c r="G47" s="13">
        <v>1179.73</v>
      </c>
      <c r="H47" s="90">
        <f t="shared" si="8"/>
        <v>2.7280312466000001</v>
      </c>
      <c r="I47" s="13">
        <f t="shared" si="9"/>
        <v>1364.0156233</v>
      </c>
      <c r="J47" s="24"/>
      <c r="L47" s="20"/>
      <c r="M47" s="21"/>
      <c r="N47" s="22"/>
    </row>
    <row r="48" spans="1:14" ht="15.75" hidden="1" customHeight="1">
      <c r="A48" s="45">
        <v>23</v>
      </c>
      <c r="B48" s="86" t="s">
        <v>33</v>
      </c>
      <c r="C48" s="87" t="s">
        <v>34</v>
      </c>
      <c r="D48" s="86" t="s">
        <v>42</v>
      </c>
      <c r="E48" s="88">
        <v>15</v>
      </c>
      <c r="F48" s="89">
        <f>SUM(E48*2/100)</f>
        <v>0.3</v>
      </c>
      <c r="G48" s="13">
        <v>90.61</v>
      </c>
      <c r="H48" s="90">
        <f t="shared" si="8"/>
        <v>2.7182999999999999E-2</v>
      </c>
      <c r="I48" s="13">
        <f>F48/2*G48</f>
        <v>13.5915</v>
      </c>
      <c r="J48" s="24"/>
      <c r="L48" s="20"/>
      <c r="M48" s="21"/>
      <c r="N48" s="22"/>
    </row>
    <row r="49" spans="1:14" ht="15.75" hidden="1" customHeight="1">
      <c r="A49" s="45">
        <v>24</v>
      </c>
      <c r="B49" s="86" t="s">
        <v>56</v>
      </c>
      <c r="C49" s="87" t="s">
        <v>100</v>
      </c>
      <c r="D49" s="86" t="s">
        <v>137</v>
      </c>
      <c r="E49" s="88">
        <v>1803.1</v>
      </c>
      <c r="F49" s="89">
        <f>SUM(E49*5/1000)</f>
        <v>9.0154999999999994</v>
      </c>
      <c r="G49" s="13">
        <v>1711.28</v>
      </c>
      <c r="H49" s="90">
        <f t="shared" si="8"/>
        <v>15.428044839999998</v>
      </c>
      <c r="I49" s="13">
        <f>F49/5*G49</f>
        <v>3085.608968</v>
      </c>
      <c r="J49" s="24"/>
      <c r="L49" s="20"/>
      <c r="M49" s="21"/>
      <c r="N49" s="22"/>
    </row>
    <row r="50" spans="1:14" ht="31.5" hidden="1" customHeight="1">
      <c r="A50" s="45">
        <v>25</v>
      </c>
      <c r="B50" s="86" t="s">
        <v>111</v>
      </c>
      <c r="C50" s="87" t="s">
        <v>100</v>
      </c>
      <c r="D50" s="86" t="s">
        <v>42</v>
      </c>
      <c r="E50" s="88">
        <v>1803.1</v>
      </c>
      <c r="F50" s="89">
        <f>SUM(E50*2/1000)</f>
        <v>3.6061999999999999</v>
      </c>
      <c r="G50" s="13">
        <v>1510.06</v>
      </c>
      <c r="H50" s="90">
        <f t="shared" si="8"/>
        <v>5.4455783719999999</v>
      </c>
      <c r="I50" s="13">
        <f>F50/2*G50</f>
        <v>2722.789186</v>
      </c>
      <c r="J50" s="24"/>
      <c r="L50" s="20"/>
      <c r="M50" s="21"/>
      <c r="N50" s="22"/>
    </row>
    <row r="51" spans="1:14" ht="31.5" hidden="1" customHeight="1">
      <c r="A51" s="45">
        <v>26</v>
      </c>
      <c r="B51" s="86" t="s">
        <v>112</v>
      </c>
      <c r="C51" s="87" t="s">
        <v>38</v>
      </c>
      <c r="D51" s="86" t="s">
        <v>42</v>
      </c>
      <c r="E51" s="88">
        <v>9</v>
      </c>
      <c r="F51" s="89">
        <f>SUM(E51*2/100)</f>
        <v>0.18</v>
      </c>
      <c r="G51" s="13">
        <v>3850.4</v>
      </c>
      <c r="H51" s="90">
        <f t="shared" si="8"/>
        <v>0.69307200000000002</v>
      </c>
      <c r="I51" s="13">
        <f t="shared" ref="I51:I52" si="10">F51/2*G51</f>
        <v>346.536</v>
      </c>
      <c r="J51" s="24"/>
      <c r="L51" s="20"/>
      <c r="M51" s="21"/>
      <c r="N51" s="22"/>
    </row>
    <row r="52" spans="1:14" ht="15.75" hidden="1" customHeight="1">
      <c r="A52" s="45">
        <v>27</v>
      </c>
      <c r="B52" s="86" t="s">
        <v>39</v>
      </c>
      <c r="C52" s="87" t="s">
        <v>40</v>
      </c>
      <c r="D52" s="86" t="s">
        <v>42</v>
      </c>
      <c r="E52" s="88">
        <v>1</v>
      </c>
      <c r="F52" s="89">
        <v>0.02</v>
      </c>
      <c r="G52" s="13">
        <v>7033.13</v>
      </c>
      <c r="H52" s="90">
        <f t="shared" si="8"/>
        <v>0.1406626</v>
      </c>
      <c r="I52" s="13">
        <f t="shared" si="10"/>
        <v>70.331299999999999</v>
      </c>
      <c r="J52" s="24"/>
      <c r="L52" s="20"/>
      <c r="M52" s="21"/>
      <c r="N52" s="22"/>
    </row>
    <row r="53" spans="1:14" ht="15.75" hidden="1" customHeight="1">
      <c r="A53" s="45">
        <v>8</v>
      </c>
      <c r="B53" s="86" t="s">
        <v>136</v>
      </c>
      <c r="C53" s="87" t="s">
        <v>29</v>
      </c>
      <c r="D53" s="118">
        <v>44055</v>
      </c>
      <c r="E53" s="88">
        <v>36</v>
      </c>
      <c r="F53" s="89">
        <f>E53*3</f>
        <v>108</v>
      </c>
      <c r="G53" s="13">
        <v>175.6</v>
      </c>
      <c r="H53" s="90">
        <f t="shared" si="8"/>
        <v>18.9648</v>
      </c>
      <c r="I53" s="13">
        <f>E53*G53</f>
        <v>6321.5999999999995</v>
      </c>
      <c r="J53" s="24"/>
      <c r="L53" s="20"/>
      <c r="M53" s="21"/>
      <c r="N53" s="22"/>
    </row>
    <row r="54" spans="1:14" ht="15.75" hidden="1" customHeight="1">
      <c r="A54" s="45">
        <v>9</v>
      </c>
      <c r="B54" s="86" t="s">
        <v>41</v>
      </c>
      <c r="C54" s="87" t="s">
        <v>29</v>
      </c>
      <c r="D54" s="118">
        <v>44055</v>
      </c>
      <c r="E54" s="88">
        <v>36</v>
      </c>
      <c r="F54" s="89">
        <f>SUM(E54)*3</f>
        <v>108</v>
      </c>
      <c r="G54" s="13">
        <v>81.73</v>
      </c>
      <c r="H54" s="90">
        <f t="shared" si="8"/>
        <v>8.8268400000000007</v>
      </c>
      <c r="I54" s="13">
        <f>E54*G54</f>
        <v>2942.28</v>
      </c>
      <c r="J54" s="24"/>
      <c r="L54" s="20"/>
      <c r="M54" s="21"/>
      <c r="N54" s="22"/>
    </row>
    <row r="55" spans="1:14" ht="15.75" customHeight="1">
      <c r="A55" s="140" t="s">
        <v>142</v>
      </c>
      <c r="B55" s="141"/>
      <c r="C55" s="141"/>
      <c r="D55" s="141"/>
      <c r="E55" s="141"/>
      <c r="F55" s="141"/>
      <c r="G55" s="141"/>
      <c r="H55" s="141"/>
      <c r="I55" s="142"/>
      <c r="J55" s="24"/>
      <c r="L55" s="20"/>
      <c r="M55" s="21"/>
      <c r="N55" s="22"/>
    </row>
    <row r="56" spans="1:14" ht="15.75" hidden="1" customHeight="1">
      <c r="A56" s="57"/>
      <c r="B56" s="52" t="s">
        <v>43</v>
      </c>
      <c r="C56" s="17"/>
      <c r="D56" s="16"/>
      <c r="E56" s="16"/>
      <c r="F56" s="16"/>
      <c r="G56" s="30"/>
      <c r="H56" s="30"/>
      <c r="I56" s="19"/>
      <c r="J56" s="24"/>
      <c r="L56" s="20"/>
      <c r="M56" s="21"/>
      <c r="N56" s="22"/>
    </row>
    <row r="57" spans="1:14" ht="31.5" hidden="1" customHeight="1">
      <c r="A57" s="45">
        <v>12</v>
      </c>
      <c r="B57" s="86" t="s">
        <v>114</v>
      </c>
      <c r="C57" s="87" t="s">
        <v>90</v>
      </c>
      <c r="D57" s="86" t="s">
        <v>71</v>
      </c>
      <c r="E57" s="88">
        <v>12</v>
      </c>
      <c r="F57" s="89">
        <f>E57*6/100</f>
        <v>0.72</v>
      </c>
      <c r="G57" s="95">
        <v>2306.62</v>
      </c>
      <c r="H57" s="90">
        <f>F57*G57/1000</f>
        <v>1.6607663999999998</v>
      </c>
      <c r="I57" s="13">
        <f>F57/6*G57</f>
        <v>276.7944</v>
      </c>
      <c r="J57" s="24"/>
      <c r="L57" s="20"/>
      <c r="M57" s="21"/>
      <c r="N57" s="22"/>
    </row>
    <row r="58" spans="1:14" ht="15.75" hidden="1" customHeight="1">
      <c r="A58" s="45"/>
      <c r="B58" s="96" t="s">
        <v>83</v>
      </c>
      <c r="C58" s="97" t="s">
        <v>115</v>
      </c>
      <c r="D58" s="96" t="s">
        <v>66</v>
      </c>
      <c r="E58" s="98"/>
      <c r="F58" s="99">
        <v>2</v>
      </c>
      <c r="G58" s="100">
        <v>1501</v>
      </c>
      <c r="H58" s="90">
        <f>F58*G58/1000</f>
        <v>3.0019999999999998</v>
      </c>
      <c r="I58" s="13">
        <v>0</v>
      </c>
      <c r="J58" s="24"/>
      <c r="L58" s="20"/>
      <c r="M58" s="21"/>
      <c r="N58" s="22"/>
    </row>
    <row r="59" spans="1:14" ht="15.75" hidden="1" customHeight="1">
      <c r="A59" s="45"/>
      <c r="B59" s="77" t="s">
        <v>44</v>
      </c>
      <c r="C59" s="77"/>
      <c r="D59" s="77"/>
      <c r="E59" s="77"/>
      <c r="F59" s="77"/>
      <c r="G59" s="68"/>
      <c r="H59" s="68"/>
      <c r="I59" s="39"/>
      <c r="J59" s="24"/>
      <c r="L59" s="20"/>
      <c r="M59" s="21"/>
      <c r="N59" s="22"/>
    </row>
    <row r="60" spans="1:14" ht="15.75" hidden="1" customHeight="1">
      <c r="A60" s="45">
        <v>27</v>
      </c>
      <c r="B60" s="96" t="s">
        <v>45</v>
      </c>
      <c r="C60" s="97" t="s">
        <v>53</v>
      </c>
      <c r="D60" s="96" t="s">
        <v>54</v>
      </c>
      <c r="E60" s="98">
        <v>177</v>
      </c>
      <c r="F60" s="99">
        <f>E60/100</f>
        <v>1.77</v>
      </c>
      <c r="G60" s="100">
        <v>987.51</v>
      </c>
      <c r="H60" s="101">
        <f>G60*F60/1000</f>
        <v>1.7478927000000002</v>
      </c>
      <c r="I60" s="13">
        <v>0</v>
      </c>
      <c r="J60" s="24"/>
      <c r="L60" s="20"/>
      <c r="M60" s="21"/>
      <c r="N60" s="22"/>
    </row>
    <row r="61" spans="1:14" ht="15.75" customHeight="1">
      <c r="A61" s="45"/>
      <c r="B61" s="77" t="s">
        <v>46</v>
      </c>
      <c r="C61" s="17"/>
      <c r="D61" s="41"/>
      <c r="E61" s="41"/>
      <c r="F61" s="16"/>
      <c r="G61" s="69"/>
      <c r="H61" s="68"/>
      <c r="I61" s="19"/>
      <c r="J61" s="24"/>
      <c r="L61" s="20"/>
      <c r="M61" s="21"/>
      <c r="N61" s="22"/>
    </row>
    <row r="62" spans="1:14" ht="15.75" hidden="1" customHeight="1">
      <c r="A62" s="45">
        <v>17</v>
      </c>
      <c r="B62" s="15" t="s">
        <v>47</v>
      </c>
      <c r="C62" s="17" t="s">
        <v>113</v>
      </c>
      <c r="D62" s="15" t="s">
        <v>66</v>
      </c>
      <c r="E62" s="19">
        <v>1</v>
      </c>
      <c r="F62" s="89">
        <f>E62</f>
        <v>1</v>
      </c>
      <c r="G62" s="13">
        <v>276.74</v>
      </c>
      <c r="H62" s="102">
        <f t="shared" ref="H62:H70" si="11">SUM(F62*G62/1000)</f>
        <v>0.27673999999999999</v>
      </c>
      <c r="I62" s="13">
        <v>0</v>
      </c>
      <c r="J62" s="24"/>
      <c r="L62" s="20"/>
      <c r="M62" s="21"/>
      <c r="N62" s="22"/>
    </row>
    <row r="63" spans="1:14" ht="15.75" hidden="1" customHeight="1">
      <c r="A63" s="30">
        <v>29</v>
      </c>
      <c r="B63" s="15" t="s">
        <v>48</v>
      </c>
      <c r="C63" s="17" t="s">
        <v>113</v>
      </c>
      <c r="D63" s="15" t="s">
        <v>66</v>
      </c>
      <c r="E63" s="19">
        <v>3</v>
      </c>
      <c r="F63" s="89">
        <v>3</v>
      </c>
      <c r="G63" s="13">
        <v>94.89</v>
      </c>
      <c r="H63" s="102">
        <f t="shared" si="11"/>
        <v>0.28467000000000003</v>
      </c>
      <c r="I63" s="13">
        <v>0</v>
      </c>
      <c r="J63" s="24"/>
      <c r="L63" s="20"/>
    </row>
    <row r="64" spans="1:14" ht="15.75" hidden="1" customHeight="1">
      <c r="A64" s="30">
        <v>28</v>
      </c>
      <c r="B64" s="15" t="s">
        <v>49</v>
      </c>
      <c r="C64" s="17" t="s">
        <v>116</v>
      </c>
      <c r="D64" s="15" t="s">
        <v>54</v>
      </c>
      <c r="E64" s="88">
        <v>7265</v>
      </c>
      <c r="F64" s="13">
        <f>SUM(E64/100)</f>
        <v>72.650000000000006</v>
      </c>
      <c r="G64" s="13">
        <v>263.99</v>
      </c>
      <c r="H64" s="102">
        <f t="shared" si="11"/>
        <v>19.178873500000002</v>
      </c>
      <c r="I64" s="13">
        <f>F64*G64</f>
        <v>19178.873500000002</v>
      </c>
    </row>
    <row r="65" spans="1:22" ht="15.75" hidden="1" customHeight="1">
      <c r="A65" s="30">
        <v>29</v>
      </c>
      <c r="B65" s="15" t="s">
        <v>50</v>
      </c>
      <c r="C65" s="17" t="s">
        <v>117</v>
      </c>
      <c r="D65" s="15" t="s">
        <v>54</v>
      </c>
      <c r="E65" s="88">
        <v>7265</v>
      </c>
      <c r="F65" s="13">
        <f>SUM(E65/1000)</f>
        <v>7.2649999999999997</v>
      </c>
      <c r="G65" s="13">
        <v>205.57</v>
      </c>
      <c r="H65" s="102">
        <f t="shared" si="11"/>
        <v>1.4934660500000001</v>
      </c>
      <c r="I65" s="13">
        <f t="shared" ref="I65:I68" si="12">F65*G65</f>
        <v>1493.46605</v>
      </c>
    </row>
    <row r="66" spans="1:22" ht="15.75" hidden="1" customHeight="1">
      <c r="A66" s="30">
        <v>30</v>
      </c>
      <c r="B66" s="15" t="s">
        <v>51</v>
      </c>
      <c r="C66" s="17" t="s">
        <v>76</v>
      </c>
      <c r="D66" s="15" t="s">
        <v>54</v>
      </c>
      <c r="E66" s="88">
        <v>1090</v>
      </c>
      <c r="F66" s="13">
        <f>SUM(E66/100)</f>
        <v>10.9</v>
      </c>
      <c r="G66" s="13">
        <v>2581.5300000000002</v>
      </c>
      <c r="H66" s="102">
        <f t="shared" si="11"/>
        <v>28.138677000000005</v>
      </c>
      <c r="I66" s="13">
        <f t="shared" si="12"/>
        <v>28138.677000000003</v>
      </c>
    </row>
    <row r="67" spans="1:22" ht="15.75" hidden="1" customHeight="1">
      <c r="A67" s="30">
        <v>31</v>
      </c>
      <c r="B67" s="103" t="s">
        <v>118</v>
      </c>
      <c r="C67" s="17" t="s">
        <v>32</v>
      </c>
      <c r="D67" s="15"/>
      <c r="E67" s="88">
        <v>7.4</v>
      </c>
      <c r="F67" s="13">
        <f>SUM(E67)</f>
        <v>7.4</v>
      </c>
      <c r="G67" s="13">
        <v>47.45</v>
      </c>
      <c r="H67" s="102">
        <f t="shared" si="11"/>
        <v>0.35113000000000005</v>
      </c>
      <c r="I67" s="13">
        <f t="shared" si="12"/>
        <v>351.13000000000005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0">
        <v>32</v>
      </c>
      <c r="B68" s="103" t="s">
        <v>138</v>
      </c>
      <c r="C68" s="17" t="s">
        <v>32</v>
      </c>
      <c r="D68" s="15"/>
      <c r="E68" s="88">
        <v>7.4</v>
      </c>
      <c r="F68" s="13">
        <f>SUM(E68)</f>
        <v>7.4</v>
      </c>
      <c r="G68" s="13">
        <v>44.27</v>
      </c>
      <c r="H68" s="102">
        <f t="shared" si="11"/>
        <v>0.327598</v>
      </c>
      <c r="I68" s="13">
        <f t="shared" si="12"/>
        <v>327.59800000000001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0">
        <v>13</v>
      </c>
      <c r="B69" s="15" t="s">
        <v>57</v>
      </c>
      <c r="C69" s="17" t="s">
        <v>58</v>
      </c>
      <c r="D69" s="15" t="s">
        <v>54</v>
      </c>
      <c r="E69" s="19">
        <v>3</v>
      </c>
      <c r="F69" s="89">
        <f>SUM(E69)</f>
        <v>3</v>
      </c>
      <c r="G69" s="13">
        <v>62.07</v>
      </c>
      <c r="H69" s="102">
        <f t="shared" si="11"/>
        <v>0.18621000000000001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customHeight="1">
      <c r="A70" s="30">
        <v>7</v>
      </c>
      <c r="B70" s="15" t="s">
        <v>84</v>
      </c>
      <c r="C70" s="30" t="s">
        <v>119</v>
      </c>
      <c r="D70" s="15"/>
      <c r="E70" s="19">
        <v>1803.1</v>
      </c>
      <c r="F70" s="89">
        <f>SUM(E70*12)</f>
        <v>21637.199999999997</v>
      </c>
      <c r="G70" s="13">
        <v>2.16</v>
      </c>
      <c r="H70" s="102">
        <f t="shared" si="11"/>
        <v>46.736351999999997</v>
      </c>
      <c r="I70" s="13">
        <f>F70/12*G70</f>
        <v>3894.6959999999995</v>
      </c>
      <c r="J70" s="5"/>
      <c r="K70" s="5"/>
      <c r="L70" s="5"/>
      <c r="M70" s="5"/>
      <c r="N70" s="5"/>
      <c r="O70" s="5"/>
      <c r="P70" s="5"/>
      <c r="Q70" s="5"/>
      <c r="R70" s="132"/>
      <c r="S70" s="132"/>
      <c r="T70" s="132"/>
      <c r="U70" s="132"/>
    </row>
    <row r="71" spans="1:22" ht="15.75" hidden="1" customHeight="1">
      <c r="A71" s="30"/>
      <c r="B71" s="53" t="s">
        <v>72</v>
      </c>
      <c r="C71" s="53"/>
      <c r="D71" s="53"/>
      <c r="E71" s="53"/>
      <c r="F71" s="19"/>
      <c r="G71" s="30"/>
      <c r="H71" s="30"/>
      <c r="I71" s="19"/>
    </row>
    <row r="72" spans="1:22" ht="15.75" hidden="1" customHeight="1">
      <c r="A72" s="30"/>
      <c r="B72" s="15" t="s">
        <v>121</v>
      </c>
      <c r="C72" s="17" t="s">
        <v>122</v>
      </c>
      <c r="D72" s="15" t="s">
        <v>66</v>
      </c>
      <c r="E72" s="19">
        <v>1</v>
      </c>
      <c r="F72" s="13">
        <f>E72</f>
        <v>1</v>
      </c>
      <c r="G72" s="13">
        <v>976.4</v>
      </c>
      <c r="H72" s="102">
        <f t="shared" ref="H72:H76" si="13">SUM(F72*G72/1000)</f>
        <v>0.97639999999999993</v>
      </c>
      <c r="I72" s="13">
        <v>0</v>
      </c>
    </row>
    <row r="73" spans="1:22" ht="15.75" hidden="1" customHeight="1">
      <c r="A73" s="30"/>
      <c r="B73" s="15" t="s">
        <v>123</v>
      </c>
      <c r="C73" s="17" t="s">
        <v>124</v>
      </c>
      <c r="D73" s="15"/>
      <c r="E73" s="19">
        <v>1</v>
      </c>
      <c r="F73" s="13">
        <v>1</v>
      </c>
      <c r="G73" s="13">
        <v>650</v>
      </c>
      <c r="H73" s="102">
        <f t="shared" si="13"/>
        <v>0.65</v>
      </c>
      <c r="I73" s="13">
        <v>0</v>
      </c>
    </row>
    <row r="74" spans="1:22" ht="15.75" hidden="1" customHeight="1">
      <c r="A74" s="30"/>
      <c r="B74" s="15" t="s">
        <v>73</v>
      </c>
      <c r="C74" s="17" t="s">
        <v>30</v>
      </c>
      <c r="D74" s="15" t="s">
        <v>66</v>
      </c>
      <c r="E74" s="19">
        <v>3</v>
      </c>
      <c r="F74" s="13">
        <f>E74/10</f>
        <v>0.3</v>
      </c>
      <c r="G74" s="13">
        <v>624.16999999999996</v>
      </c>
      <c r="H74" s="102">
        <f t="shared" si="13"/>
        <v>0.18725099999999997</v>
      </c>
      <c r="I74" s="13">
        <v>0</v>
      </c>
    </row>
    <row r="75" spans="1:22" ht="15.75" hidden="1" customHeight="1">
      <c r="A75" s="30"/>
      <c r="B75" s="15" t="s">
        <v>74</v>
      </c>
      <c r="C75" s="17" t="s">
        <v>29</v>
      </c>
      <c r="D75" s="15" t="s">
        <v>66</v>
      </c>
      <c r="E75" s="19">
        <v>1</v>
      </c>
      <c r="F75" s="13">
        <v>1</v>
      </c>
      <c r="G75" s="13">
        <v>1061.4100000000001</v>
      </c>
      <c r="H75" s="102">
        <f t="shared" si="13"/>
        <v>1.0614100000000002</v>
      </c>
      <c r="I75" s="13">
        <v>0</v>
      </c>
    </row>
    <row r="76" spans="1:22" ht="15.75" hidden="1" customHeight="1">
      <c r="A76" s="30">
        <v>17</v>
      </c>
      <c r="B76" s="15" t="s">
        <v>85</v>
      </c>
      <c r="C76" s="17" t="s">
        <v>29</v>
      </c>
      <c r="D76" s="15" t="s">
        <v>66</v>
      </c>
      <c r="E76" s="19">
        <v>1</v>
      </c>
      <c r="F76" s="89">
        <f>SUM(E76)</f>
        <v>1</v>
      </c>
      <c r="G76" s="13">
        <v>446.12</v>
      </c>
      <c r="H76" s="102">
        <f t="shared" si="13"/>
        <v>0.44612000000000002</v>
      </c>
      <c r="I76" s="13">
        <v>0</v>
      </c>
    </row>
    <row r="77" spans="1:22" ht="15.75" hidden="1" customHeight="1">
      <c r="A77" s="30"/>
      <c r="B77" s="54" t="s">
        <v>75</v>
      </c>
      <c r="C77" s="42"/>
      <c r="D77" s="30"/>
      <c r="E77" s="30"/>
      <c r="F77" s="19"/>
      <c r="G77" s="40" t="s">
        <v>128</v>
      </c>
      <c r="H77" s="40"/>
      <c r="I77" s="19"/>
    </row>
    <row r="78" spans="1:22" ht="15.75" hidden="1" customHeight="1">
      <c r="A78" s="30">
        <v>39</v>
      </c>
      <c r="B78" s="56" t="s">
        <v>125</v>
      </c>
      <c r="C78" s="17" t="s">
        <v>76</v>
      </c>
      <c r="D78" s="15"/>
      <c r="E78" s="19"/>
      <c r="F78" s="13">
        <v>1.35</v>
      </c>
      <c r="G78" s="13">
        <v>3433.68</v>
      </c>
      <c r="H78" s="102">
        <f t="shared" ref="H78" si="14">SUM(F78*G78/1000)</f>
        <v>4.6354679999999995</v>
      </c>
      <c r="I78" s="13">
        <v>0</v>
      </c>
    </row>
    <row r="79" spans="1:22" ht="15.75" hidden="1" customHeight="1">
      <c r="A79" s="57"/>
      <c r="B79" s="77" t="s">
        <v>120</v>
      </c>
      <c r="C79" s="77"/>
      <c r="D79" s="77"/>
      <c r="E79" s="77"/>
      <c r="F79" s="77"/>
      <c r="G79" s="77"/>
      <c r="H79" s="77"/>
      <c r="I79" s="19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2" ht="15.75" hidden="1" customHeight="1">
      <c r="A80" s="30">
        <v>36</v>
      </c>
      <c r="B80" s="86" t="s">
        <v>87</v>
      </c>
      <c r="C80" s="17"/>
      <c r="D80" s="15"/>
      <c r="E80" s="104"/>
      <c r="F80" s="13">
        <v>1</v>
      </c>
      <c r="G80" s="13">
        <v>14156.3</v>
      </c>
      <c r="H80" s="102">
        <f>G80*F80/1000</f>
        <v>14.1563</v>
      </c>
      <c r="I80" s="13">
        <v>0</v>
      </c>
    </row>
    <row r="81" spans="1:9" ht="15.75" customHeight="1">
      <c r="A81" s="125" t="s">
        <v>143</v>
      </c>
      <c r="B81" s="126"/>
      <c r="C81" s="126"/>
      <c r="D81" s="126"/>
      <c r="E81" s="126"/>
      <c r="F81" s="126"/>
      <c r="G81" s="126"/>
      <c r="H81" s="126"/>
      <c r="I81" s="127"/>
    </row>
    <row r="82" spans="1:9" ht="15.75" customHeight="1">
      <c r="A82" s="30">
        <v>8</v>
      </c>
      <c r="B82" s="86" t="s">
        <v>126</v>
      </c>
      <c r="C82" s="17" t="s">
        <v>55</v>
      </c>
      <c r="D82" s="105"/>
      <c r="E82" s="13">
        <v>1803.1</v>
      </c>
      <c r="F82" s="13">
        <f>SUM(E82*12)</f>
        <v>21637.199999999997</v>
      </c>
      <c r="G82" s="13">
        <v>2.95</v>
      </c>
      <c r="H82" s="102">
        <f>SUM(F82*G82/1000)</f>
        <v>63.829740000000001</v>
      </c>
      <c r="I82" s="13">
        <f>F82/12*G82</f>
        <v>5319.1449999999995</v>
      </c>
    </row>
    <row r="83" spans="1:9" ht="31.5" customHeight="1">
      <c r="A83" s="30">
        <v>9</v>
      </c>
      <c r="B83" s="15" t="s">
        <v>77</v>
      </c>
      <c r="C83" s="17"/>
      <c r="D83" s="105"/>
      <c r="E83" s="88">
        <v>1803.1</v>
      </c>
      <c r="F83" s="13">
        <f>E83*12</f>
        <v>21637.199999999997</v>
      </c>
      <c r="G83" s="13">
        <v>3.05</v>
      </c>
      <c r="H83" s="102">
        <f>F83*G83/1000</f>
        <v>65.993459999999999</v>
      </c>
      <c r="I83" s="13">
        <f>F83/12*G83</f>
        <v>5499.454999999999</v>
      </c>
    </row>
    <row r="84" spans="1:9" ht="15.75" customHeight="1">
      <c r="A84" s="57"/>
      <c r="B84" s="43" t="s">
        <v>79</v>
      </c>
      <c r="C84" s="45"/>
      <c r="D84" s="16"/>
      <c r="E84" s="16"/>
      <c r="F84" s="16"/>
      <c r="G84" s="19"/>
      <c r="H84" s="19"/>
      <c r="I84" s="32">
        <f>I83+I82+I70+I33+I31+I30+I18+I17+I16</f>
        <v>21077.452497333332</v>
      </c>
    </row>
    <row r="85" spans="1:9" ht="15.75" customHeight="1">
      <c r="A85" s="128" t="s">
        <v>60</v>
      </c>
      <c r="B85" s="129"/>
      <c r="C85" s="129"/>
      <c r="D85" s="129"/>
      <c r="E85" s="129"/>
      <c r="F85" s="129"/>
      <c r="G85" s="129"/>
      <c r="H85" s="129"/>
      <c r="I85" s="130"/>
    </row>
    <row r="86" spans="1:9" ht="15.75" customHeight="1">
      <c r="A86" s="106">
        <v>10</v>
      </c>
      <c r="B86" s="15" t="s">
        <v>153</v>
      </c>
      <c r="C86" s="17" t="s">
        <v>154</v>
      </c>
      <c r="D86" s="15"/>
      <c r="E86" s="19"/>
      <c r="F86" s="13">
        <v>24</v>
      </c>
      <c r="G86" s="13">
        <v>1.4</v>
      </c>
      <c r="H86" s="13">
        <f>F86*G86/1000</f>
        <v>3.3599999999999991E-2</v>
      </c>
      <c r="I86" s="13">
        <f>G86*12</f>
        <v>16.799999999999997</v>
      </c>
    </row>
    <row r="87" spans="1:9" ht="15.75" hidden="1" customHeight="1">
      <c r="A87" s="106"/>
      <c r="B87" s="110"/>
      <c r="C87" s="111"/>
      <c r="D87" s="70"/>
      <c r="E87" s="40"/>
      <c r="F87" s="40"/>
      <c r="G87" s="40"/>
      <c r="H87" s="112"/>
      <c r="I87" s="109"/>
    </row>
    <row r="88" spans="1:9" ht="17.25" customHeight="1">
      <c r="A88" s="106">
        <v>11</v>
      </c>
      <c r="B88" s="114" t="s">
        <v>223</v>
      </c>
      <c r="C88" s="121" t="s">
        <v>224</v>
      </c>
      <c r="D88" s="41"/>
      <c r="E88" s="18"/>
      <c r="F88" s="40">
        <v>0.06</v>
      </c>
      <c r="G88" s="40">
        <v>4113.16</v>
      </c>
      <c r="H88" s="112"/>
      <c r="I88" s="109">
        <f>G88*0.06</f>
        <v>246.78959999999998</v>
      </c>
    </row>
    <row r="89" spans="1:9" ht="14.25" customHeight="1">
      <c r="A89" s="106">
        <v>12</v>
      </c>
      <c r="B89" s="114" t="s">
        <v>225</v>
      </c>
      <c r="C89" s="121" t="s">
        <v>28</v>
      </c>
      <c r="D89" s="41"/>
      <c r="E89" s="18"/>
      <c r="F89" s="40">
        <v>1.004</v>
      </c>
      <c r="G89" s="40">
        <v>241.69</v>
      </c>
      <c r="H89" s="112"/>
      <c r="I89" s="109">
        <f>G89*1.004</f>
        <v>242.65675999999999</v>
      </c>
    </row>
    <row r="90" spans="1:9" ht="15.75" customHeight="1">
      <c r="A90" s="30"/>
      <c r="B90" s="50" t="s">
        <v>52</v>
      </c>
      <c r="C90" s="46"/>
      <c r="D90" s="58"/>
      <c r="E90" s="58"/>
      <c r="F90" s="46">
        <v>1</v>
      </c>
      <c r="G90" s="46"/>
      <c r="H90" s="46"/>
      <c r="I90" s="32">
        <f>SUM(I86:I89)</f>
        <v>506.24635999999998</v>
      </c>
    </row>
    <row r="91" spans="1:9" ht="15.75" customHeight="1">
      <c r="A91" s="30"/>
      <c r="B91" s="56" t="s">
        <v>78</v>
      </c>
      <c r="C91" s="16"/>
      <c r="D91" s="16"/>
      <c r="E91" s="16"/>
      <c r="F91" s="47"/>
      <c r="G91" s="48"/>
      <c r="H91" s="48"/>
      <c r="I91" s="18">
        <v>0</v>
      </c>
    </row>
    <row r="92" spans="1:9" ht="15.75" customHeight="1">
      <c r="A92" s="59"/>
      <c r="B92" s="51" t="s">
        <v>133</v>
      </c>
      <c r="C92" s="38"/>
      <c r="D92" s="38"/>
      <c r="E92" s="38"/>
      <c r="F92" s="38"/>
      <c r="G92" s="38"/>
      <c r="H92" s="38"/>
      <c r="I92" s="49">
        <f>I84+I90</f>
        <v>21583.698857333333</v>
      </c>
    </row>
    <row r="93" spans="1:9" ht="15.75" customHeight="1">
      <c r="A93" s="131" t="s">
        <v>226</v>
      </c>
      <c r="B93" s="131"/>
      <c r="C93" s="131"/>
      <c r="D93" s="131"/>
      <c r="E93" s="131"/>
      <c r="F93" s="131"/>
      <c r="G93" s="131"/>
      <c r="H93" s="131"/>
      <c r="I93" s="131"/>
    </row>
    <row r="94" spans="1:9" ht="15.75" customHeight="1">
      <c r="A94" s="72"/>
      <c r="B94" s="147" t="s">
        <v>227</v>
      </c>
      <c r="C94" s="147"/>
      <c r="D94" s="147"/>
      <c r="E94" s="147"/>
      <c r="F94" s="147"/>
      <c r="G94" s="147"/>
      <c r="H94" s="84"/>
      <c r="I94" s="3"/>
    </row>
    <row r="95" spans="1:9" ht="15.75" customHeight="1">
      <c r="A95" s="75"/>
      <c r="B95" s="143" t="s">
        <v>6</v>
      </c>
      <c r="C95" s="143"/>
      <c r="D95" s="143"/>
      <c r="E95" s="143"/>
      <c r="F95" s="143"/>
      <c r="G95" s="143"/>
      <c r="H95" s="25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51" t="s">
        <v>7</v>
      </c>
      <c r="B97" s="151"/>
      <c r="C97" s="151"/>
      <c r="D97" s="151"/>
      <c r="E97" s="151"/>
      <c r="F97" s="151"/>
      <c r="G97" s="151"/>
      <c r="H97" s="151"/>
      <c r="I97" s="151"/>
    </row>
    <row r="98" spans="1:9" ht="15.75" customHeight="1">
      <c r="A98" s="151" t="s">
        <v>8</v>
      </c>
      <c r="B98" s="151"/>
      <c r="C98" s="151"/>
      <c r="D98" s="151"/>
      <c r="E98" s="151"/>
      <c r="F98" s="151"/>
      <c r="G98" s="151"/>
      <c r="H98" s="151"/>
      <c r="I98" s="151"/>
    </row>
    <row r="99" spans="1:9" ht="15.75" customHeight="1">
      <c r="A99" s="148" t="s">
        <v>61</v>
      </c>
      <c r="B99" s="148"/>
      <c r="C99" s="148"/>
      <c r="D99" s="148"/>
      <c r="E99" s="148"/>
      <c r="F99" s="148"/>
      <c r="G99" s="148"/>
      <c r="H99" s="148"/>
      <c r="I99" s="148"/>
    </row>
    <row r="100" spans="1:9" ht="15.75" customHeight="1">
      <c r="A100" s="11"/>
    </row>
    <row r="101" spans="1:9" ht="15.75" customHeight="1">
      <c r="A101" s="149" t="s">
        <v>9</v>
      </c>
      <c r="B101" s="149"/>
      <c r="C101" s="149"/>
      <c r="D101" s="149"/>
      <c r="E101" s="149"/>
      <c r="F101" s="149"/>
      <c r="G101" s="149"/>
      <c r="H101" s="149"/>
      <c r="I101" s="149"/>
    </row>
    <row r="102" spans="1:9" ht="15.75" customHeight="1">
      <c r="A102" s="4"/>
    </row>
    <row r="103" spans="1:9" ht="15.75" customHeight="1">
      <c r="B103" s="71" t="s">
        <v>10</v>
      </c>
      <c r="C103" s="150" t="s">
        <v>182</v>
      </c>
      <c r="D103" s="150"/>
      <c r="E103" s="150"/>
      <c r="F103" s="150"/>
      <c r="I103" s="74"/>
    </row>
    <row r="104" spans="1:9" ht="15.75" customHeight="1">
      <c r="A104" s="75"/>
      <c r="C104" s="143" t="s">
        <v>11</v>
      </c>
      <c r="D104" s="143"/>
      <c r="E104" s="143"/>
      <c r="F104" s="143"/>
      <c r="I104" s="73" t="s">
        <v>12</v>
      </c>
    </row>
    <row r="105" spans="1:9" ht="15.75" customHeight="1">
      <c r="A105" s="26"/>
      <c r="C105" s="12"/>
      <c r="D105" s="12"/>
      <c r="E105" s="12"/>
      <c r="G105" s="12"/>
      <c r="H105" s="12"/>
    </row>
    <row r="106" spans="1:9" ht="15.75" customHeight="1">
      <c r="B106" s="71" t="s">
        <v>13</v>
      </c>
      <c r="C106" s="145"/>
      <c r="D106" s="145"/>
      <c r="E106" s="145"/>
      <c r="F106" s="145"/>
      <c r="I106" s="74"/>
    </row>
    <row r="107" spans="1:9" ht="15.75" customHeight="1">
      <c r="A107" s="75"/>
      <c r="C107" s="132" t="s">
        <v>11</v>
      </c>
      <c r="D107" s="132"/>
      <c r="E107" s="132"/>
      <c r="F107" s="132"/>
      <c r="I107" s="73" t="s">
        <v>12</v>
      </c>
    </row>
    <row r="108" spans="1:9" ht="15.75" customHeight="1">
      <c r="A108" s="4" t="s">
        <v>14</v>
      </c>
    </row>
    <row r="109" spans="1:9">
      <c r="A109" s="146" t="s">
        <v>15</v>
      </c>
      <c r="B109" s="146"/>
      <c r="C109" s="146"/>
      <c r="D109" s="146"/>
      <c r="E109" s="146"/>
      <c r="F109" s="146"/>
      <c r="G109" s="146"/>
      <c r="H109" s="146"/>
      <c r="I109" s="146"/>
    </row>
    <row r="110" spans="1:9" ht="45" customHeight="1">
      <c r="A110" s="144" t="s">
        <v>16</v>
      </c>
      <c r="B110" s="144"/>
      <c r="C110" s="144"/>
      <c r="D110" s="144"/>
      <c r="E110" s="144"/>
      <c r="F110" s="144"/>
      <c r="G110" s="144"/>
      <c r="H110" s="144"/>
      <c r="I110" s="144"/>
    </row>
    <row r="111" spans="1:9" ht="30" customHeight="1">
      <c r="A111" s="144" t="s">
        <v>17</v>
      </c>
      <c r="B111" s="144"/>
      <c r="C111" s="144"/>
      <c r="D111" s="144"/>
      <c r="E111" s="144"/>
      <c r="F111" s="144"/>
      <c r="G111" s="144"/>
      <c r="H111" s="144"/>
      <c r="I111" s="144"/>
    </row>
    <row r="112" spans="1:9" ht="30" customHeight="1">
      <c r="A112" s="144" t="s">
        <v>21</v>
      </c>
      <c r="B112" s="144"/>
      <c r="C112" s="144"/>
      <c r="D112" s="144"/>
      <c r="E112" s="144"/>
      <c r="F112" s="144"/>
      <c r="G112" s="144"/>
      <c r="H112" s="144"/>
      <c r="I112" s="144"/>
    </row>
    <row r="113" spans="1:9" ht="15" customHeight="1">
      <c r="A113" s="144" t="s">
        <v>20</v>
      </c>
      <c r="B113" s="144"/>
      <c r="C113" s="144"/>
      <c r="D113" s="144"/>
      <c r="E113" s="144"/>
      <c r="F113" s="144"/>
      <c r="G113" s="144"/>
      <c r="H113" s="144"/>
      <c r="I113" s="144"/>
    </row>
  </sheetData>
  <autoFilter ref="I12:I65"/>
  <mergeCells count="29">
    <mergeCell ref="A109:I109"/>
    <mergeCell ref="A110:I110"/>
    <mergeCell ref="A111:I111"/>
    <mergeCell ref="A112:I112"/>
    <mergeCell ref="A113:I113"/>
    <mergeCell ref="R70:U70"/>
    <mergeCell ref="C107:F107"/>
    <mergeCell ref="A85:I85"/>
    <mergeCell ref="A93:I93"/>
    <mergeCell ref="B94:G94"/>
    <mergeCell ref="B95:G95"/>
    <mergeCell ref="A97:I97"/>
    <mergeCell ref="A98:I98"/>
    <mergeCell ref="A99:I99"/>
    <mergeCell ref="A101:I101"/>
    <mergeCell ref="C103:F103"/>
    <mergeCell ref="C104:F104"/>
    <mergeCell ref="C106:F106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4"/>
  <sheetViews>
    <sheetView topLeftCell="A84" workbookViewId="0">
      <selection activeCell="A102" sqref="A102:I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155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3" t="s">
        <v>149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</row>
    <row r="4" spans="1:13" ht="31.5" customHeight="1">
      <c r="A4" s="134" t="s">
        <v>127</v>
      </c>
      <c r="B4" s="134"/>
      <c r="C4" s="134"/>
      <c r="D4" s="134"/>
      <c r="E4" s="134"/>
      <c r="F4" s="134"/>
      <c r="G4" s="134"/>
      <c r="H4" s="134"/>
      <c r="I4" s="134"/>
    </row>
    <row r="5" spans="1:13" ht="15.75" customHeight="1">
      <c r="A5" s="133" t="s">
        <v>228</v>
      </c>
      <c r="B5" s="137"/>
      <c r="C5" s="137"/>
      <c r="D5" s="137"/>
      <c r="E5" s="137"/>
      <c r="F5" s="137"/>
      <c r="G5" s="137"/>
      <c r="H5" s="137"/>
      <c r="I5" s="137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44469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181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129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8" t="s">
        <v>59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90</v>
      </c>
      <c r="D16" s="86" t="s">
        <v>160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88</v>
      </c>
      <c r="C17" s="87" t="s">
        <v>90</v>
      </c>
      <c r="D17" s="86" t="s">
        <v>161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89</v>
      </c>
      <c r="C18" s="87" t="s">
        <v>90</v>
      </c>
      <c r="D18" s="86" t="s">
        <v>162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91</v>
      </c>
      <c r="C19" s="87" t="s">
        <v>86</v>
      </c>
      <c r="D19" s="86" t="s">
        <v>92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customHeight="1">
      <c r="A20" s="30">
        <v>4</v>
      </c>
      <c r="B20" s="86" t="s">
        <v>93</v>
      </c>
      <c r="C20" s="87" t="s">
        <v>90</v>
      </c>
      <c r="D20" s="86" t="s">
        <v>168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customHeight="1">
      <c r="A21" s="30">
        <v>5</v>
      </c>
      <c r="B21" s="86" t="s">
        <v>94</v>
      </c>
      <c r="C21" s="87" t="s">
        <v>90</v>
      </c>
      <c r="D21" s="86" t="s">
        <v>168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95</v>
      </c>
      <c r="C22" s="87" t="s">
        <v>53</v>
      </c>
      <c r="D22" s="86" t="s">
        <v>92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96</v>
      </c>
      <c r="C23" s="87" t="s">
        <v>53</v>
      </c>
      <c r="D23" s="86" t="s">
        <v>92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97</v>
      </c>
      <c r="C24" s="87" t="s">
        <v>53</v>
      </c>
      <c r="D24" s="86" t="s">
        <v>92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98</v>
      </c>
      <c r="C25" s="87" t="s">
        <v>53</v>
      </c>
      <c r="D25" s="86" t="s">
        <v>92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99</v>
      </c>
      <c r="C26" s="87" t="s">
        <v>53</v>
      </c>
      <c r="D26" s="86" t="s">
        <v>92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hidden="1" customHeight="1">
      <c r="A27" s="30">
        <v>6</v>
      </c>
      <c r="B27" s="34" t="s">
        <v>159</v>
      </c>
      <c r="C27" s="44" t="s">
        <v>154</v>
      </c>
      <c r="D27" s="34" t="s">
        <v>163</v>
      </c>
      <c r="E27" s="117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39" t="s">
        <v>81</v>
      </c>
      <c r="B28" s="139"/>
      <c r="C28" s="139"/>
      <c r="D28" s="139"/>
      <c r="E28" s="139"/>
      <c r="F28" s="139"/>
      <c r="G28" s="139"/>
      <c r="H28" s="139"/>
      <c r="I28" s="139"/>
      <c r="J28" s="23"/>
      <c r="K28" s="8"/>
      <c r="L28" s="8"/>
      <c r="M28" s="8"/>
    </row>
    <row r="29" spans="1:13" ht="15.75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customHeight="1">
      <c r="A30" s="45">
        <v>6</v>
      </c>
      <c r="B30" s="86" t="s">
        <v>134</v>
      </c>
      <c r="C30" s="87" t="s">
        <v>100</v>
      </c>
      <c r="D30" s="86" t="s">
        <v>161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customHeight="1">
      <c r="A31" s="45">
        <v>7</v>
      </c>
      <c r="B31" s="86" t="s">
        <v>135</v>
      </c>
      <c r="C31" s="87" t="s">
        <v>100</v>
      </c>
      <c r="D31" s="86" t="s">
        <v>160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3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16</v>
      </c>
      <c r="B32" s="86" t="s">
        <v>26</v>
      </c>
      <c r="C32" s="87" t="s">
        <v>100</v>
      </c>
      <c r="D32" s="86" t="s">
        <v>168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customHeight="1">
      <c r="A33" s="45">
        <v>8</v>
      </c>
      <c r="B33" s="86" t="s">
        <v>103</v>
      </c>
      <c r="C33" s="87" t="s">
        <v>40</v>
      </c>
      <c r="D33" s="86" t="s">
        <v>165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4</v>
      </c>
      <c r="B34" s="86" t="s">
        <v>64</v>
      </c>
      <c r="C34" s="87" t="s">
        <v>32</v>
      </c>
      <c r="D34" s="86" t="s">
        <v>66</v>
      </c>
      <c r="E34" s="88"/>
      <c r="F34" s="89">
        <v>1</v>
      </c>
      <c r="G34" s="89">
        <v>238.07</v>
      </c>
      <c r="H34" s="90">
        <f t="shared" ref="H34:H35" si="5">SUM(F34*G34/1000)</f>
        <v>0.23807</v>
      </c>
      <c r="I34" s="13">
        <v>0</v>
      </c>
      <c r="J34" s="24"/>
    </row>
    <row r="35" spans="1:14" ht="15.75" hidden="1" customHeight="1">
      <c r="A35" s="30">
        <v>8</v>
      </c>
      <c r="B35" s="86" t="s">
        <v>65</v>
      </c>
      <c r="C35" s="87" t="s">
        <v>31</v>
      </c>
      <c r="D35" s="86" t="s">
        <v>66</v>
      </c>
      <c r="E35" s="88"/>
      <c r="F35" s="89">
        <v>1</v>
      </c>
      <c r="G35" s="89">
        <v>1413.96</v>
      </c>
      <c r="H35" s="90">
        <f t="shared" si="5"/>
        <v>1.4139600000000001</v>
      </c>
      <c r="I35" s="13">
        <v>0</v>
      </c>
      <c r="J35" s="24"/>
    </row>
    <row r="36" spans="1:14" ht="15.75" hidden="1" customHeight="1">
      <c r="A36" s="45"/>
      <c r="B36" s="53" t="s">
        <v>5</v>
      </c>
      <c r="C36" s="53"/>
      <c r="D36" s="53"/>
      <c r="E36" s="53"/>
      <c r="F36" s="13"/>
      <c r="G36" s="14"/>
      <c r="H36" s="14"/>
      <c r="I36" s="19"/>
      <c r="J36" s="24"/>
    </row>
    <row r="37" spans="1:14" ht="15.75" hidden="1" customHeight="1">
      <c r="A37" s="35">
        <v>6</v>
      </c>
      <c r="B37" s="86" t="s">
        <v>25</v>
      </c>
      <c r="C37" s="87" t="s">
        <v>31</v>
      </c>
      <c r="D37" s="86"/>
      <c r="E37" s="88"/>
      <c r="F37" s="89">
        <v>2</v>
      </c>
      <c r="G37" s="89">
        <v>1900.37</v>
      </c>
      <c r="H37" s="90">
        <f t="shared" ref="H37:H42" si="6">SUM(F37*G37/1000)</f>
        <v>3.8007399999999998</v>
      </c>
      <c r="I37" s="13">
        <f t="shared" ref="I37:I42" si="7">F37/6*G37</f>
        <v>633.45666666666659</v>
      </c>
      <c r="J37" s="24"/>
    </row>
    <row r="38" spans="1:14" ht="15.75" hidden="1" customHeight="1">
      <c r="A38" s="35">
        <v>7</v>
      </c>
      <c r="B38" s="86" t="s">
        <v>67</v>
      </c>
      <c r="C38" s="67" t="s">
        <v>28</v>
      </c>
      <c r="D38" s="36" t="s">
        <v>105</v>
      </c>
      <c r="E38" s="37">
        <v>65.25</v>
      </c>
      <c r="F38" s="89">
        <f>SUM(E38*30/1000)</f>
        <v>1.9575</v>
      </c>
      <c r="G38" s="89">
        <v>2616.4899999999998</v>
      </c>
      <c r="H38" s="90">
        <f t="shared" si="6"/>
        <v>5.1217791749999995</v>
      </c>
      <c r="I38" s="13">
        <f t="shared" si="7"/>
        <v>853.62986249999994</v>
      </c>
      <c r="J38" s="24"/>
    </row>
    <row r="39" spans="1:14" ht="15.75" hidden="1" customHeight="1">
      <c r="A39" s="35">
        <v>8</v>
      </c>
      <c r="B39" s="86" t="s">
        <v>68</v>
      </c>
      <c r="C39" s="44" t="s">
        <v>28</v>
      </c>
      <c r="D39" s="34" t="s">
        <v>106</v>
      </c>
      <c r="E39" s="33">
        <v>65.25</v>
      </c>
      <c r="F39" s="89">
        <f>SUM(E39*155/1000)</f>
        <v>10.11375</v>
      </c>
      <c r="G39" s="89">
        <v>436.45</v>
      </c>
      <c r="H39" s="90">
        <f t="shared" si="6"/>
        <v>4.4141461874999992</v>
      </c>
      <c r="I39" s="13">
        <f t="shared" si="7"/>
        <v>735.69103124999992</v>
      </c>
      <c r="J39" s="24"/>
    </row>
    <row r="40" spans="1:14" ht="46.5" hidden="1" customHeight="1">
      <c r="A40" s="35">
        <v>9</v>
      </c>
      <c r="B40" s="86" t="s">
        <v>80</v>
      </c>
      <c r="C40" s="44" t="s">
        <v>100</v>
      </c>
      <c r="D40" s="34" t="s">
        <v>107</v>
      </c>
      <c r="E40" s="33">
        <v>65.25</v>
      </c>
      <c r="F40" s="89">
        <f>SUM(E40*35/1000)</f>
        <v>2.2837499999999999</v>
      </c>
      <c r="G40" s="89">
        <v>7221.21</v>
      </c>
      <c r="H40" s="90">
        <f t="shared" si="6"/>
        <v>16.4914383375</v>
      </c>
      <c r="I40" s="13">
        <f t="shared" si="7"/>
        <v>2748.5730562499998</v>
      </c>
      <c r="J40" s="24"/>
      <c r="L40" s="20"/>
      <c r="M40" s="21"/>
      <c r="N40" s="22"/>
    </row>
    <row r="41" spans="1:14" ht="15.75" hidden="1" customHeight="1">
      <c r="A41" s="35">
        <v>10</v>
      </c>
      <c r="B41" s="86" t="s">
        <v>108</v>
      </c>
      <c r="C41" s="44" t="s">
        <v>100</v>
      </c>
      <c r="D41" s="34" t="s">
        <v>109</v>
      </c>
      <c r="E41" s="33">
        <v>65.25</v>
      </c>
      <c r="F41" s="89">
        <f>SUM(E41*20/1000)</f>
        <v>1.3049999999999999</v>
      </c>
      <c r="G41" s="89">
        <v>533.45000000000005</v>
      </c>
      <c r="H41" s="90">
        <f t="shared" si="6"/>
        <v>0.69615225000000003</v>
      </c>
      <c r="I41" s="13">
        <f t="shared" si="7"/>
        <v>116.02537500000001</v>
      </c>
      <c r="J41" s="24"/>
      <c r="L41" s="20"/>
      <c r="M41" s="21"/>
      <c r="N41" s="22"/>
    </row>
    <row r="42" spans="1:14" ht="15.75" hidden="1" customHeight="1">
      <c r="A42" s="35">
        <v>11</v>
      </c>
      <c r="B42" s="86" t="s">
        <v>69</v>
      </c>
      <c r="C42" s="87" t="s">
        <v>32</v>
      </c>
      <c r="D42" s="86"/>
      <c r="E42" s="88"/>
      <c r="F42" s="89">
        <v>0.5</v>
      </c>
      <c r="G42" s="89">
        <v>992.97</v>
      </c>
      <c r="H42" s="90">
        <f t="shared" si="6"/>
        <v>0.49648500000000001</v>
      </c>
      <c r="I42" s="13">
        <f t="shared" si="7"/>
        <v>82.747500000000002</v>
      </c>
      <c r="J42" s="24"/>
      <c r="L42" s="20"/>
      <c r="M42" s="21"/>
      <c r="N42" s="22"/>
    </row>
    <row r="43" spans="1:14" ht="15.75" customHeight="1">
      <c r="A43" s="140" t="s">
        <v>130</v>
      </c>
      <c r="B43" s="141"/>
      <c r="C43" s="141"/>
      <c r="D43" s="141"/>
      <c r="E43" s="141"/>
      <c r="F43" s="141"/>
      <c r="G43" s="141"/>
      <c r="H43" s="141"/>
      <c r="I43" s="142"/>
      <c r="J43" s="24"/>
      <c r="L43" s="20"/>
      <c r="M43" s="21"/>
      <c r="N43" s="22"/>
    </row>
    <row r="44" spans="1:14" ht="15.75" customHeight="1">
      <c r="A44" s="45">
        <v>9</v>
      </c>
      <c r="B44" s="86" t="s">
        <v>110</v>
      </c>
      <c r="C44" s="87" t="s">
        <v>100</v>
      </c>
      <c r="D44" s="86" t="s">
        <v>168</v>
      </c>
      <c r="E44" s="88">
        <v>1026.8</v>
      </c>
      <c r="F44" s="89">
        <f>SUM(E44*2/1000)</f>
        <v>2.0535999999999999</v>
      </c>
      <c r="G44" s="13">
        <v>1283.46</v>
      </c>
      <c r="H44" s="90">
        <f t="shared" ref="H44:H54" si="8">SUM(F44*G44/1000)</f>
        <v>2.635713456</v>
      </c>
      <c r="I44" s="13">
        <f t="shared" ref="I44:I47" si="9">F44/2*G44</f>
        <v>1317.856728</v>
      </c>
      <c r="J44" s="24"/>
      <c r="L44" s="20"/>
      <c r="M44" s="21"/>
      <c r="N44" s="22"/>
    </row>
    <row r="45" spans="1:14" ht="15.75" customHeight="1">
      <c r="A45" s="45">
        <v>10</v>
      </c>
      <c r="B45" s="86" t="s">
        <v>35</v>
      </c>
      <c r="C45" s="87" t="s">
        <v>100</v>
      </c>
      <c r="D45" s="86" t="s">
        <v>168</v>
      </c>
      <c r="E45" s="88">
        <v>19.8</v>
      </c>
      <c r="F45" s="89">
        <f>SUM(E45*2/1000)</f>
        <v>3.9600000000000003E-2</v>
      </c>
      <c r="G45" s="13">
        <v>4192.6400000000003</v>
      </c>
      <c r="H45" s="90">
        <f t="shared" si="8"/>
        <v>0.16602854400000003</v>
      </c>
      <c r="I45" s="13">
        <f t="shared" si="9"/>
        <v>83.01427200000002</v>
      </c>
      <c r="J45" s="24"/>
      <c r="L45" s="20"/>
      <c r="M45" s="21"/>
      <c r="N45" s="22"/>
    </row>
    <row r="46" spans="1:14" ht="15.75" customHeight="1">
      <c r="A46" s="45">
        <v>11</v>
      </c>
      <c r="B46" s="86" t="s">
        <v>36</v>
      </c>
      <c r="C46" s="87" t="s">
        <v>100</v>
      </c>
      <c r="D46" s="86" t="s">
        <v>168</v>
      </c>
      <c r="E46" s="88">
        <v>660.84</v>
      </c>
      <c r="F46" s="89">
        <f>SUM(E46*2/1000)</f>
        <v>1.32168</v>
      </c>
      <c r="G46" s="13">
        <v>1711.28</v>
      </c>
      <c r="H46" s="90">
        <f t="shared" si="8"/>
        <v>2.2617645503999997</v>
      </c>
      <c r="I46" s="13">
        <f t="shared" si="9"/>
        <v>1130.8822751999999</v>
      </c>
      <c r="J46" s="24"/>
      <c r="L46" s="20"/>
      <c r="M46" s="21"/>
      <c r="N46" s="22"/>
    </row>
    <row r="47" spans="1:14" ht="15.75" customHeight="1">
      <c r="A47" s="45">
        <v>12</v>
      </c>
      <c r="B47" s="86" t="s">
        <v>37</v>
      </c>
      <c r="C47" s="87" t="s">
        <v>100</v>
      </c>
      <c r="D47" s="86" t="s">
        <v>168</v>
      </c>
      <c r="E47" s="88">
        <v>1156.21</v>
      </c>
      <c r="F47" s="89">
        <f>SUM(E47*2/1000)</f>
        <v>2.3124199999999999</v>
      </c>
      <c r="G47" s="13">
        <v>1179.73</v>
      </c>
      <c r="H47" s="90">
        <f t="shared" si="8"/>
        <v>2.7280312466000001</v>
      </c>
      <c r="I47" s="13">
        <f t="shared" si="9"/>
        <v>1364.0156233</v>
      </c>
      <c r="J47" s="24"/>
      <c r="L47" s="20"/>
      <c r="M47" s="21"/>
      <c r="N47" s="22"/>
    </row>
    <row r="48" spans="1:14" ht="15.75" customHeight="1">
      <c r="A48" s="45">
        <v>13</v>
      </c>
      <c r="B48" s="86" t="s">
        <v>33</v>
      </c>
      <c r="C48" s="87" t="s">
        <v>34</v>
      </c>
      <c r="D48" s="86" t="s">
        <v>168</v>
      </c>
      <c r="E48" s="88">
        <v>15</v>
      </c>
      <c r="F48" s="89">
        <f>SUM(E48*2/100)</f>
        <v>0.3</v>
      </c>
      <c r="G48" s="13">
        <v>90.61</v>
      </c>
      <c r="H48" s="90">
        <f t="shared" si="8"/>
        <v>2.7182999999999999E-2</v>
      </c>
      <c r="I48" s="13">
        <f>F48/2*G48</f>
        <v>13.5915</v>
      </c>
      <c r="J48" s="24"/>
      <c r="L48" s="20"/>
      <c r="M48" s="21"/>
      <c r="N48" s="22"/>
    </row>
    <row r="49" spans="1:14" ht="15.75" customHeight="1">
      <c r="A49" s="45">
        <v>14</v>
      </c>
      <c r="B49" s="86" t="s">
        <v>56</v>
      </c>
      <c r="C49" s="87" t="s">
        <v>100</v>
      </c>
      <c r="D49" s="86" t="s">
        <v>168</v>
      </c>
      <c r="E49" s="88">
        <v>1803.1</v>
      </c>
      <c r="F49" s="89">
        <f>SUM(E49*5/1000)</f>
        <v>9.0154999999999994</v>
      </c>
      <c r="G49" s="13">
        <v>1711.28</v>
      </c>
      <c r="H49" s="90">
        <f t="shared" si="8"/>
        <v>15.428044839999998</v>
      </c>
      <c r="I49" s="13">
        <f>F49/5*G49</f>
        <v>3085.608968</v>
      </c>
      <c r="J49" s="24"/>
      <c r="L49" s="20"/>
      <c r="M49" s="21"/>
      <c r="N49" s="22"/>
    </row>
    <row r="50" spans="1:14" ht="31.5" customHeight="1">
      <c r="A50" s="45">
        <v>15</v>
      </c>
      <c r="B50" s="86" t="s">
        <v>111</v>
      </c>
      <c r="C50" s="87" t="s">
        <v>100</v>
      </c>
      <c r="D50" s="86" t="s">
        <v>168</v>
      </c>
      <c r="E50" s="88">
        <v>1803.1</v>
      </c>
      <c r="F50" s="89">
        <f>SUM(E50*2/1000)</f>
        <v>3.6061999999999999</v>
      </c>
      <c r="G50" s="13">
        <v>1510.06</v>
      </c>
      <c r="H50" s="90">
        <f t="shared" si="8"/>
        <v>5.4455783719999999</v>
      </c>
      <c r="I50" s="13">
        <f>F50/2*G50</f>
        <v>2722.789186</v>
      </c>
      <c r="J50" s="24"/>
      <c r="L50" s="20"/>
      <c r="M50" s="21"/>
      <c r="N50" s="22"/>
    </row>
    <row r="51" spans="1:14" ht="31.5" customHeight="1">
      <c r="A51" s="45">
        <v>16</v>
      </c>
      <c r="B51" s="86" t="s">
        <v>112</v>
      </c>
      <c r="C51" s="87" t="s">
        <v>38</v>
      </c>
      <c r="D51" s="86" t="s">
        <v>168</v>
      </c>
      <c r="E51" s="88">
        <v>9</v>
      </c>
      <c r="F51" s="89">
        <f>SUM(E51*2/100)</f>
        <v>0.18</v>
      </c>
      <c r="G51" s="13">
        <v>3850.4</v>
      </c>
      <c r="H51" s="90">
        <f t="shared" si="8"/>
        <v>0.69307200000000002</v>
      </c>
      <c r="I51" s="13">
        <f t="shared" ref="I51:I52" si="10">F51/2*G51</f>
        <v>346.536</v>
      </c>
      <c r="J51" s="24"/>
      <c r="L51" s="20"/>
      <c r="M51" s="21"/>
      <c r="N51" s="22"/>
    </row>
    <row r="52" spans="1:14" ht="15.75" customHeight="1">
      <c r="A52" s="45">
        <v>17</v>
      </c>
      <c r="B52" s="86" t="s">
        <v>39</v>
      </c>
      <c r="C52" s="87" t="s">
        <v>40</v>
      </c>
      <c r="D52" s="86" t="s">
        <v>168</v>
      </c>
      <c r="E52" s="88">
        <v>1</v>
      </c>
      <c r="F52" s="89">
        <v>0.02</v>
      </c>
      <c r="G52" s="13">
        <v>7033.13</v>
      </c>
      <c r="H52" s="90">
        <f t="shared" si="8"/>
        <v>0.1406626</v>
      </c>
      <c r="I52" s="13">
        <f t="shared" si="10"/>
        <v>70.331299999999999</v>
      </c>
      <c r="J52" s="24"/>
      <c r="L52" s="20"/>
      <c r="M52" s="21"/>
      <c r="N52" s="22"/>
    </row>
    <row r="53" spans="1:14" ht="15.75" hidden="1" customHeight="1">
      <c r="A53" s="45">
        <v>10</v>
      </c>
      <c r="B53" s="86" t="s">
        <v>136</v>
      </c>
      <c r="C53" s="87" t="s">
        <v>29</v>
      </c>
      <c r="D53" s="86" t="s">
        <v>70</v>
      </c>
      <c r="E53" s="88">
        <v>36</v>
      </c>
      <c r="F53" s="89">
        <f>E53*3</f>
        <v>108</v>
      </c>
      <c r="G53" s="13">
        <v>175.6</v>
      </c>
      <c r="H53" s="90">
        <f t="shared" si="8"/>
        <v>18.9648</v>
      </c>
      <c r="I53" s="13">
        <f>E53*G53</f>
        <v>6321.5999999999995</v>
      </c>
      <c r="J53" s="24"/>
      <c r="L53" s="20"/>
      <c r="M53" s="21"/>
      <c r="N53" s="22"/>
    </row>
    <row r="54" spans="1:14" ht="15.75" hidden="1" customHeight="1">
      <c r="A54" s="45">
        <v>11</v>
      </c>
      <c r="B54" s="86" t="s">
        <v>41</v>
      </c>
      <c r="C54" s="87" t="s">
        <v>29</v>
      </c>
      <c r="D54" s="86" t="s">
        <v>70</v>
      </c>
      <c r="E54" s="88">
        <v>36</v>
      </c>
      <c r="F54" s="89">
        <f>SUM(E54)*3</f>
        <v>108</v>
      </c>
      <c r="G54" s="13">
        <v>81.73</v>
      </c>
      <c r="H54" s="90">
        <f t="shared" si="8"/>
        <v>8.8268400000000007</v>
      </c>
      <c r="I54" s="13">
        <f>E54*G54</f>
        <v>2942.28</v>
      </c>
      <c r="J54" s="24"/>
      <c r="L54" s="20"/>
      <c r="M54" s="21"/>
      <c r="N54" s="22"/>
    </row>
    <row r="55" spans="1:14" ht="15.75" customHeight="1">
      <c r="A55" s="140" t="s">
        <v>131</v>
      </c>
      <c r="B55" s="141"/>
      <c r="C55" s="141"/>
      <c r="D55" s="141"/>
      <c r="E55" s="141"/>
      <c r="F55" s="141"/>
      <c r="G55" s="141"/>
      <c r="H55" s="141"/>
      <c r="I55" s="142"/>
      <c r="J55" s="24"/>
      <c r="L55" s="20"/>
      <c r="M55" s="21"/>
      <c r="N55" s="22"/>
    </row>
    <row r="56" spans="1:14" ht="15.75" hidden="1" customHeight="1">
      <c r="A56" s="57"/>
      <c r="B56" s="52" t="s">
        <v>43</v>
      </c>
      <c r="C56" s="17"/>
      <c r="D56" s="16"/>
      <c r="E56" s="16"/>
      <c r="F56" s="16"/>
      <c r="G56" s="30"/>
      <c r="H56" s="30"/>
      <c r="I56" s="19"/>
      <c r="J56" s="24"/>
      <c r="L56" s="20"/>
      <c r="M56" s="21"/>
      <c r="N56" s="22"/>
    </row>
    <row r="57" spans="1:14" ht="31.5" hidden="1" customHeight="1">
      <c r="A57" s="45">
        <v>12</v>
      </c>
      <c r="B57" s="86" t="s">
        <v>114</v>
      </c>
      <c r="C57" s="87" t="s">
        <v>90</v>
      </c>
      <c r="D57" s="86" t="s">
        <v>71</v>
      </c>
      <c r="E57" s="88">
        <v>12</v>
      </c>
      <c r="F57" s="89">
        <f>E57*6/100</f>
        <v>0.72</v>
      </c>
      <c r="G57" s="95">
        <v>2306.62</v>
      </c>
      <c r="H57" s="90">
        <f>F57*G57/1000</f>
        <v>1.6607663999999998</v>
      </c>
      <c r="I57" s="13">
        <f>F57/6*G57</f>
        <v>276.7944</v>
      </c>
      <c r="J57" s="24"/>
      <c r="L57" s="20"/>
      <c r="M57" s="21"/>
      <c r="N57" s="22"/>
    </row>
    <row r="58" spans="1:14" ht="15.75" hidden="1" customHeight="1">
      <c r="A58" s="45"/>
      <c r="B58" s="96" t="s">
        <v>83</v>
      </c>
      <c r="C58" s="97" t="s">
        <v>115</v>
      </c>
      <c r="D58" s="96" t="s">
        <v>66</v>
      </c>
      <c r="E58" s="98"/>
      <c r="F58" s="99">
        <v>2</v>
      </c>
      <c r="G58" s="100">
        <v>1501</v>
      </c>
      <c r="H58" s="90">
        <f>F58*G58/1000</f>
        <v>3.0019999999999998</v>
      </c>
      <c r="I58" s="13">
        <v>0</v>
      </c>
      <c r="J58" s="24"/>
      <c r="L58" s="20"/>
      <c r="M58" s="21"/>
      <c r="N58" s="22"/>
    </row>
    <row r="59" spans="1:14" ht="15.75" hidden="1" customHeight="1">
      <c r="A59" s="45"/>
      <c r="B59" s="77" t="s">
        <v>44</v>
      </c>
      <c r="C59" s="77"/>
      <c r="D59" s="77"/>
      <c r="E59" s="77"/>
      <c r="F59" s="77"/>
      <c r="G59" s="68"/>
      <c r="H59" s="68"/>
      <c r="I59" s="39"/>
      <c r="J59" s="24"/>
      <c r="L59" s="20"/>
      <c r="M59" s="21"/>
      <c r="N59" s="22"/>
    </row>
    <row r="60" spans="1:14" ht="15.75" hidden="1" customHeight="1">
      <c r="A60" s="45">
        <v>27</v>
      </c>
      <c r="B60" s="96" t="s">
        <v>45</v>
      </c>
      <c r="C60" s="97" t="s">
        <v>53</v>
      </c>
      <c r="D60" s="96" t="s">
        <v>54</v>
      </c>
      <c r="E60" s="98">
        <v>177</v>
      </c>
      <c r="F60" s="99">
        <f>E60/100</f>
        <v>1.77</v>
      </c>
      <c r="G60" s="100">
        <v>987.51</v>
      </c>
      <c r="H60" s="101">
        <f>G60*F60/1000</f>
        <v>1.7478927000000002</v>
      </c>
      <c r="I60" s="13">
        <v>0</v>
      </c>
      <c r="J60" s="24"/>
      <c r="L60" s="20"/>
      <c r="M60" s="21"/>
      <c r="N60" s="22"/>
    </row>
    <row r="61" spans="1:14" ht="15.75" customHeight="1">
      <c r="A61" s="45"/>
      <c r="B61" s="77" t="s">
        <v>46</v>
      </c>
      <c r="C61" s="17"/>
      <c r="D61" s="41"/>
      <c r="E61" s="41"/>
      <c r="F61" s="16"/>
      <c r="G61" s="69"/>
      <c r="H61" s="68"/>
      <c r="I61" s="19"/>
      <c r="J61" s="24"/>
      <c r="L61" s="20"/>
      <c r="M61" s="21"/>
      <c r="N61" s="22"/>
    </row>
    <row r="62" spans="1:14" ht="15.75" hidden="1" customHeight="1">
      <c r="A62" s="45">
        <v>19</v>
      </c>
      <c r="B62" s="15" t="s">
        <v>47</v>
      </c>
      <c r="C62" s="17" t="s">
        <v>113</v>
      </c>
      <c r="D62" s="15" t="s">
        <v>168</v>
      </c>
      <c r="E62" s="19">
        <v>1</v>
      </c>
      <c r="F62" s="89">
        <f>E62</f>
        <v>1</v>
      </c>
      <c r="G62" s="13">
        <v>276.74</v>
      </c>
      <c r="H62" s="102">
        <f t="shared" ref="H62:H70" si="11">SUM(F62*G62/1000)</f>
        <v>0.27673999999999999</v>
      </c>
      <c r="I62" s="13">
        <f>G62*1</f>
        <v>276.74</v>
      </c>
      <c r="J62" s="24"/>
      <c r="L62" s="20"/>
      <c r="M62" s="21"/>
      <c r="N62" s="22"/>
    </row>
    <row r="63" spans="1:14" ht="15.75" hidden="1" customHeight="1">
      <c r="A63" s="30">
        <v>29</v>
      </c>
      <c r="B63" s="15" t="s">
        <v>48</v>
      </c>
      <c r="C63" s="17" t="s">
        <v>113</v>
      </c>
      <c r="D63" s="15" t="s">
        <v>66</v>
      </c>
      <c r="E63" s="19">
        <v>3</v>
      </c>
      <c r="F63" s="89">
        <v>3</v>
      </c>
      <c r="G63" s="13">
        <v>94.89</v>
      </c>
      <c r="H63" s="102">
        <f t="shared" si="11"/>
        <v>0.28467000000000003</v>
      </c>
      <c r="I63" s="13">
        <v>0</v>
      </c>
      <c r="J63" s="24"/>
      <c r="L63" s="20"/>
    </row>
    <row r="64" spans="1:14" ht="15.75" hidden="1" customHeight="1">
      <c r="A64" s="30">
        <v>28</v>
      </c>
      <c r="B64" s="15" t="s">
        <v>49</v>
      </c>
      <c r="C64" s="17" t="s">
        <v>116</v>
      </c>
      <c r="D64" s="15" t="s">
        <v>54</v>
      </c>
      <c r="E64" s="88">
        <v>7265</v>
      </c>
      <c r="F64" s="13">
        <f>SUM(E64/100)</f>
        <v>72.650000000000006</v>
      </c>
      <c r="G64" s="13">
        <v>263.99</v>
      </c>
      <c r="H64" s="102">
        <f t="shared" si="11"/>
        <v>19.178873500000002</v>
      </c>
      <c r="I64" s="13">
        <f>F64*G64</f>
        <v>19178.873500000002</v>
      </c>
    </row>
    <row r="65" spans="1:22" ht="15.75" hidden="1" customHeight="1">
      <c r="A65" s="30">
        <v>29</v>
      </c>
      <c r="B65" s="15" t="s">
        <v>50</v>
      </c>
      <c r="C65" s="17" t="s">
        <v>117</v>
      </c>
      <c r="D65" s="15" t="s">
        <v>54</v>
      </c>
      <c r="E65" s="88">
        <v>7265</v>
      </c>
      <c r="F65" s="13">
        <f>SUM(E65/1000)</f>
        <v>7.2649999999999997</v>
      </c>
      <c r="G65" s="13">
        <v>205.57</v>
      </c>
      <c r="H65" s="102">
        <f t="shared" si="11"/>
        <v>1.4934660500000001</v>
      </c>
      <c r="I65" s="13">
        <f t="shared" ref="I65:I68" si="12">F65*G65</f>
        <v>1493.46605</v>
      </c>
    </row>
    <row r="66" spans="1:22" ht="15.75" hidden="1" customHeight="1">
      <c r="A66" s="30">
        <v>30</v>
      </c>
      <c r="B66" s="15" t="s">
        <v>51</v>
      </c>
      <c r="C66" s="17" t="s">
        <v>76</v>
      </c>
      <c r="D66" s="15" t="s">
        <v>54</v>
      </c>
      <c r="E66" s="88">
        <v>1090</v>
      </c>
      <c r="F66" s="13">
        <f>SUM(E66/100)</f>
        <v>10.9</v>
      </c>
      <c r="G66" s="13">
        <v>2581.5300000000002</v>
      </c>
      <c r="H66" s="102">
        <f t="shared" si="11"/>
        <v>28.138677000000005</v>
      </c>
      <c r="I66" s="13">
        <f t="shared" si="12"/>
        <v>28138.677000000003</v>
      </c>
    </row>
    <row r="67" spans="1:22" ht="15.75" hidden="1" customHeight="1">
      <c r="A67" s="30">
        <v>31</v>
      </c>
      <c r="B67" s="103" t="s">
        <v>118</v>
      </c>
      <c r="C67" s="17" t="s">
        <v>32</v>
      </c>
      <c r="D67" s="15"/>
      <c r="E67" s="88">
        <v>7.4</v>
      </c>
      <c r="F67" s="13">
        <f>SUM(E67)</f>
        <v>7.4</v>
      </c>
      <c r="G67" s="13">
        <v>47.45</v>
      </c>
      <c r="H67" s="102">
        <f t="shared" si="11"/>
        <v>0.35113000000000005</v>
      </c>
      <c r="I67" s="13">
        <f t="shared" si="12"/>
        <v>351.13000000000005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0">
        <v>32</v>
      </c>
      <c r="B68" s="103" t="s">
        <v>138</v>
      </c>
      <c r="C68" s="17" t="s">
        <v>32</v>
      </c>
      <c r="D68" s="15"/>
      <c r="E68" s="88">
        <v>7.4</v>
      </c>
      <c r="F68" s="13">
        <f>SUM(E68)</f>
        <v>7.4</v>
      </c>
      <c r="G68" s="13">
        <v>44.27</v>
      </c>
      <c r="H68" s="102">
        <f t="shared" si="11"/>
        <v>0.327598</v>
      </c>
      <c r="I68" s="13">
        <f t="shared" si="12"/>
        <v>327.59800000000001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customHeight="1">
      <c r="A69" s="30">
        <v>18</v>
      </c>
      <c r="B69" s="15" t="s">
        <v>57</v>
      </c>
      <c r="C69" s="17" t="s">
        <v>58</v>
      </c>
      <c r="D69" s="15" t="s">
        <v>170</v>
      </c>
      <c r="E69" s="19">
        <v>3</v>
      </c>
      <c r="F69" s="89">
        <f>SUM(E69)</f>
        <v>3</v>
      </c>
      <c r="G69" s="13">
        <v>62.07</v>
      </c>
      <c r="H69" s="102">
        <f t="shared" si="11"/>
        <v>0.18621000000000001</v>
      </c>
      <c r="I69" s="13">
        <f>F69*G69</f>
        <v>186.21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customHeight="1">
      <c r="A70" s="30">
        <v>19</v>
      </c>
      <c r="B70" s="15" t="s">
        <v>84</v>
      </c>
      <c r="C70" s="30" t="s">
        <v>119</v>
      </c>
      <c r="D70" s="15"/>
      <c r="E70" s="19">
        <v>1803.1</v>
      </c>
      <c r="F70" s="89">
        <f>SUM(E70*12)</f>
        <v>21637.199999999997</v>
      </c>
      <c r="G70" s="13">
        <v>2.16</v>
      </c>
      <c r="H70" s="102">
        <f t="shared" si="11"/>
        <v>46.736351999999997</v>
      </c>
      <c r="I70" s="13">
        <f>F70/12*G70</f>
        <v>3894.6959999999995</v>
      </c>
      <c r="J70" s="5"/>
      <c r="K70" s="5"/>
      <c r="L70" s="5"/>
      <c r="M70" s="5"/>
      <c r="N70" s="5"/>
      <c r="O70" s="5"/>
      <c r="P70" s="5"/>
      <c r="Q70" s="5"/>
      <c r="R70" s="132"/>
      <c r="S70" s="132"/>
      <c r="T70" s="132"/>
      <c r="U70" s="132"/>
    </row>
    <row r="71" spans="1:22" ht="15.75" hidden="1" customHeight="1">
      <c r="A71" s="30"/>
      <c r="B71" s="53" t="s">
        <v>72</v>
      </c>
      <c r="C71" s="53"/>
      <c r="D71" s="53"/>
      <c r="E71" s="53"/>
      <c r="F71" s="19"/>
      <c r="G71" s="30"/>
      <c r="H71" s="30"/>
      <c r="I71" s="19"/>
    </row>
    <row r="72" spans="1:22" ht="15.75" hidden="1" customHeight="1">
      <c r="A72" s="30"/>
      <c r="B72" s="15" t="s">
        <v>121</v>
      </c>
      <c r="C72" s="17" t="s">
        <v>122</v>
      </c>
      <c r="D72" s="15" t="s">
        <v>66</v>
      </c>
      <c r="E72" s="19">
        <v>1</v>
      </c>
      <c r="F72" s="13">
        <f>E72</f>
        <v>1</v>
      </c>
      <c r="G72" s="13">
        <v>976.4</v>
      </c>
      <c r="H72" s="102">
        <f t="shared" ref="H72:H76" si="13">SUM(F72*G72/1000)</f>
        <v>0.97639999999999993</v>
      </c>
      <c r="I72" s="13">
        <v>0</v>
      </c>
    </row>
    <row r="73" spans="1:22" ht="15.75" hidden="1" customHeight="1">
      <c r="A73" s="30"/>
      <c r="B73" s="15" t="s">
        <v>123</v>
      </c>
      <c r="C73" s="17" t="s">
        <v>124</v>
      </c>
      <c r="D73" s="15"/>
      <c r="E73" s="19">
        <v>1</v>
      </c>
      <c r="F73" s="13">
        <v>1</v>
      </c>
      <c r="G73" s="13">
        <v>650</v>
      </c>
      <c r="H73" s="102">
        <f t="shared" si="13"/>
        <v>0.65</v>
      </c>
      <c r="I73" s="13">
        <v>0</v>
      </c>
    </row>
    <row r="74" spans="1:22" ht="15.75" hidden="1" customHeight="1">
      <c r="A74" s="30"/>
      <c r="B74" s="15" t="s">
        <v>73</v>
      </c>
      <c r="C74" s="17" t="s">
        <v>30</v>
      </c>
      <c r="D74" s="15" t="s">
        <v>66</v>
      </c>
      <c r="E74" s="19">
        <v>3</v>
      </c>
      <c r="F74" s="13">
        <f>E74/10</f>
        <v>0.3</v>
      </c>
      <c r="G74" s="13">
        <v>624.16999999999996</v>
      </c>
      <c r="H74" s="102">
        <f t="shared" si="13"/>
        <v>0.18725099999999997</v>
      </c>
      <c r="I74" s="13">
        <v>0</v>
      </c>
    </row>
    <row r="75" spans="1:22" ht="15.75" hidden="1" customHeight="1">
      <c r="A75" s="30"/>
      <c r="B75" s="15" t="s">
        <v>74</v>
      </c>
      <c r="C75" s="17" t="s">
        <v>29</v>
      </c>
      <c r="D75" s="15" t="s">
        <v>66</v>
      </c>
      <c r="E75" s="19">
        <v>1</v>
      </c>
      <c r="F75" s="13">
        <v>1</v>
      </c>
      <c r="G75" s="13">
        <v>1061.4100000000001</v>
      </c>
      <c r="H75" s="102">
        <f t="shared" si="13"/>
        <v>1.0614100000000002</v>
      </c>
      <c r="I75" s="13">
        <v>0</v>
      </c>
    </row>
    <row r="76" spans="1:22" ht="15.75" hidden="1" customHeight="1">
      <c r="A76" s="30">
        <v>17</v>
      </c>
      <c r="B76" s="15" t="s">
        <v>85</v>
      </c>
      <c r="C76" s="17" t="s">
        <v>29</v>
      </c>
      <c r="D76" s="15" t="s">
        <v>66</v>
      </c>
      <c r="E76" s="19">
        <v>1</v>
      </c>
      <c r="F76" s="89">
        <f>SUM(E76)</f>
        <v>1</v>
      </c>
      <c r="G76" s="13">
        <v>446.12</v>
      </c>
      <c r="H76" s="102">
        <f t="shared" si="13"/>
        <v>0.44612000000000002</v>
      </c>
      <c r="I76" s="13">
        <v>0</v>
      </c>
    </row>
    <row r="77" spans="1:22" ht="15.75" hidden="1" customHeight="1">
      <c r="A77" s="30"/>
      <c r="B77" s="54" t="s">
        <v>75</v>
      </c>
      <c r="C77" s="42"/>
      <c r="D77" s="30"/>
      <c r="E77" s="30"/>
      <c r="F77" s="19"/>
      <c r="G77" s="40" t="s">
        <v>128</v>
      </c>
      <c r="H77" s="40"/>
      <c r="I77" s="19"/>
    </row>
    <row r="78" spans="1:22" ht="15.75" hidden="1" customHeight="1">
      <c r="A78" s="30">
        <v>39</v>
      </c>
      <c r="B78" s="56" t="s">
        <v>125</v>
      </c>
      <c r="C78" s="17" t="s">
        <v>76</v>
      </c>
      <c r="D78" s="15"/>
      <c r="E78" s="19"/>
      <c r="F78" s="13">
        <v>1.35</v>
      </c>
      <c r="G78" s="13">
        <v>3433.68</v>
      </c>
      <c r="H78" s="102">
        <f t="shared" ref="H78" si="14">SUM(F78*G78/1000)</f>
        <v>4.6354679999999995</v>
      </c>
      <c r="I78" s="13">
        <v>0</v>
      </c>
    </row>
    <row r="79" spans="1:22" ht="15.75" hidden="1" customHeight="1">
      <c r="A79" s="57"/>
      <c r="B79" s="77" t="s">
        <v>120</v>
      </c>
      <c r="C79" s="77"/>
      <c r="D79" s="77"/>
      <c r="E79" s="77"/>
      <c r="F79" s="77"/>
      <c r="G79" s="77"/>
      <c r="H79" s="77"/>
      <c r="I79" s="19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2" ht="15.75" hidden="1" customHeight="1">
      <c r="A80" s="30">
        <v>36</v>
      </c>
      <c r="B80" s="86" t="s">
        <v>87</v>
      </c>
      <c r="C80" s="17"/>
      <c r="D80" s="15"/>
      <c r="E80" s="104"/>
      <c r="F80" s="13">
        <v>1</v>
      </c>
      <c r="G80" s="13">
        <v>14156.3</v>
      </c>
      <c r="H80" s="102">
        <f>G80*F80/1000</f>
        <v>14.1563</v>
      </c>
      <c r="I80" s="13">
        <v>0</v>
      </c>
    </row>
    <row r="81" spans="1:9" ht="15.75" customHeight="1">
      <c r="A81" s="125" t="s">
        <v>132</v>
      </c>
      <c r="B81" s="126"/>
      <c r="C81" s="126"/>
      <c r="D81" s="126"/>
      <c r="E81" s="126"/>
      <c r="F81" s="126"/>
      <c r="G81" s="126"/>
      <c r="H81" s="126"/>
      <c r="I81" s="127"/>
    </row>
    <row r="82" spans="1:9" ht="15.75" customHeight="1">
      <c r="A82" s="30">
        <v>20</v>
      </c>
      <c r="B82" s="86" t="s">
        <v>126</v>
      </c>
      <c r="C82" s="17" t="s">
        <v>55</v>
      </c>
      <c r="D82" s="105"/>
      <c r="E82" s="13">
        <v>1803.1</v>
      </c>
      <c r="F82" s="13">
        <f>SUM(E82*12)</f>
        <v>21637.199999999997</v>
      </c>
      <c r="G82" s="13">
        <v>2.95</v>
      </c>
      <c r="H82" s="102">
        <f>SUM(F82*G82/1000)</f>
        <v>63.829740000000001</v>
      </c>
      <c r="I82" s="13">
        <f>F82/12*G82</f>
        <v>5319.1449999999995</v>
      </c>
    </row>
    <row r="83" spans="1:9" ht="31.5" customHeight="1">
      <c r="A83" s="30">
        <v>21</v>
      </c>
      <c r="B83" s="15" t="s">
        <v>77</v>
      </c>
      <c r="C83" s="17"/>
      <c r="D83" s="105"/>
      <c r="E83" s="88">
        <v>1803.1</v>
      </c>
      <c r="F83" s="13">
        <f>E83*12</f>
        <v>21637.199999999997</v>
      </c>
      <c r="G83" s="13">
        <v>3.05</v>
      </c>
      <c r="H83" s="102">
        <f>F83*G83/1000</f>
        <v>65.993459999999999</v>
      </c>
      <c r="I83" s="13">
        <f>F83/12*G83</f>
        <v>5499.454999999999</v>
      </c>
    </row>
    <row r="84" spans="1:9" ht="15.75" customHeight="1">
      <c r="A84" s="57"/>
      <c r="B84" s="43" t="s">
        <v>79</v>
      </c>
      <c r="C84" s="45"/>
      <c r="D84" s="16"/>
      <c r="E84" s="16"/>
      <c r="F84" s="16"/>
      <c r="G84" s="19"/>
      <c r="H84" s="19"/>
      <c r="I84" s="32">
        <f>I83+I82+I70+I69+I52+I51+I50+I49+I48++I47+I46+I45+I44+I33+I31+I30+I21+I20+I18+I17+I16</f>
        <v>31474.824349833329</v>
      </c>
    </row>
    <row r="85" spans="1:9" ht="15.75" customHeight="1">
      <c r="A85" s="128" t="s">
        <v>60</v>
      </c>
      <c r="B85" s="129"/>
      <c r="C85" s="129"/>
      <c r="D85" s="129"/>
      <c r="E85" s="129"/>
      <c r="F85" s="129"/>
      <c r="G85" s="129"/>
      <c r="H85" s="129"/>
      <c r="I85" s="130"/>
    </row>
    <row r="86" spans="1:9" ht="15.75" customHeight="1">
      <c r="A86" s="30">
        <v>22</v>
      </c>
      <c r="B86" s="41" t="s">
        <v>153</v>
      </c>
      <c r="C86" s="42" t="s">
        <v>154</v>
      </c>
      <c r="D86" s="46"/>
      <c r="E86" s="46"/>
      <c r="F86" s="46"/>
      <c r="G86" s="40">
        <v>1.4</v>
      </c>
      <c r="H86" s="46"/>
      <c r="I86" s="30">
        <f>G86*12</f>
        <v>16.799999999999997</v>
      </c>
    </row>
    <row r="87" spans="1:9" ht="36" customHeight="1">
      <c r="A87" s="30">
        <v>23</v>
      </c>
      <c r="B87" s="114" t="s">
        <v>173</v>
      </c>
      <c r="C87" s="115" t="s">
        <v>156</v>
      </c>
      <c r="D87" s="41" t="s">
        <v>233</v>
      </c>
      <c r="E87" s="18"/>
      <c r="F87" s="40">
        <v>2</v>
      </c>
      <c r="G87" s="40">
        <v>231.54</v>
      </c>
      <c r="H87" s="46"/>
      <c r="I87" s="119">
        <v>0</v>
      </c>
    </row>
    <row r="88" spans="1:9" ht="15.75" customHeight="1">
      <c r="A88" s="30">
        <v>24</v>
      </c>
      <c r="B88" s="114" t="s">
        <v>229</v>
      </c>
      <c r="C88" s="115" t="s">
        <v>40</v>
      </c>
      <c r="D88" s="41" t="s">
        <v>168</v>
      </c>
      <c r="E88" s="18"/>
      <c r="F88" s="40">
        <v>0.01</v>
      </c>
      <c r="G88" s="40">
        <v>28224.75</v>
      </c>
      <c r="H88" s="46"/>
      <c r="I88" s="119">
        <v>0</v>
      </c>
    </row>
    <row r="89" spans="1:9" ht="33.75" customHeight="1">
      <c r="A89" s="30">
        <v>25</v>
      </c>
      <c r="B89" s="114" t="s">
        <v>230</v>
      </c>
      <c r="C89" s="123" t="s">
        <v>231</v>
      </c>
      <c r="D89" s="41" t="s">
        <v>232</v>
      </c>
      <c r="E89" s="18"/>
      <c r="F89" s="40">
        <v>0.5</v>
      </c>
      <c r="G89" s="40">
        <v>6573.85</v>
      </c>
      <c r="H89" s="46"/>
      <c r="I89" s="119">
        <f>G89*0.5</f>
        <v>3286.9250000000002</v>
      </c>
    </row>
    <row r="90" spans="1:9" ht="18.75" customHeight="1">
      <c r="A90" s="30">
        <v>26</v>
      </c>
      <c r="B90" s="124" t="s">
        <v>234</v>
      </c>
      <c r="C90" s="45" t="s">
        <v>86</v>
      </c>
      <c r="D90" s="41"/>
      <c r="E90" s="18"/>
      <c r="F90" s="40">
        <v>0.06</v>
      </c>
      <c r="G90" s="40">
        <v>2787.6</v>
      </c>
      <c r="H90" s="46"/>
      <c r="I90" s="119">
        <f>G90*0.06</f>
        <v>167.256</v>
      </c>
    </row>
    <row r="91" spans="1:9" ht="15.75" customHeight="1">
      <c r="A91" s="30"/>
      <c r="B91" s="50" t="s">
        <v>52</v>
      </c>
      <c r="C91" s="46"/>
      <c r="D91" s="58"/>
      <c r="E91" s="58"/>
      <c r="F91" s="46">
        <v>1</v>
      </c>
      <c r="G91" s="46"/>
      <c r="H91" s="46"/>
      <c r="I91" s="32">
        <f>SUM(I86:I90)</f>
        <v>3470.9810000000002</v>
      </c>
    </row>
    <row r="92" spans="1:9" ht="15.75" customHeight="1">
      <c r="A92" s="30"/>
      <c r="B92" s="56" t="s">
        <v>78</v>
      </c>
      <c r="C92" s="16"/>
      <c r="D92" s="16"/>
      <c r="E92" s="16"/>
      <c r="F92" s="47"/>
      <c r="G92" s="48"/>
      <c r="H92" s="48"/>
      <c r="I92" s="18">
        <v>0</v>
      </c>
    </row>
    <row r="93" spans="1:9" ht="15.75" customHeight="1">
      <c r="A93" s="59"/>
      <c r="B93" s="51" t="s">
        <v>133</v>
      </c>
      <c r="C93" s="38"/>
      <c r="D93" s="38"/>
      <c r="E93" s="38"/>
      <c r="F93" s="38"/>
      <c r="G93" s="38"/>
      <c r="H93" s="38"/>
      <c r="I93" s="49">
        <f>I84+I91</f>
        <v>34945.805349833332</v>
      </c>
    </row>
    <row r="94" spans="1:9" ht="15.75" customHeight="1">
      <c r="A94" s="131" t="s">
        <v>235</v>
      </c>
      <c r="B94" s="131"/>
      <c r="C94" s="131"/>
      <c r="D94" s="131"/>
      <c r="E94" s="131"/>
      <c r="F94" s="131"/>
      <c r="G94" s="131"/>
      <c r="H94" s="131"/>
      <c r="I94" s="131"/>
    </row>
    <row r="95" spans="1:9" ht="15.75" customHeight="1">
      <c r="A95" s="72"/>
      <c r="B95" s="147" t="s">
        <v>236</v>
      </c>
      <c r="C95" s="147"/>
      <c r="D95" s="147"/>
      <c r="E95" s="147"/>
      <c r="F95" s="147"/>
      <c r="G95" s="147"/>
      <c r="H95" s="84"/>
      <c r="I95" s="3"/>
    </row>
    <row r="96" spans="1:9" ht="15.75" customHeight="1">
      <c r="A96" s="75"/>
      <c r="B96" s="143" t="s">
        <v>6</v>
      </c>
      <c r="C96" s="143"/>
      <c r="D96" s="143"/>
      <c r="E96" s="143"/>
      <c r="F96" s="143"/>
      <c r="G96" s="143"/>
      <c r="H96" s="25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51" t="s">
        <v>7</v>
      </c>
      <c r="B98" s="151"/>
      <c r="C98" s="151"/>
      <c r="D98" s="151"/>
      <c r="E98" s="151"/>
      <c r="F98" s="151"/>
      <c r="G98" s="151"/>
      <c r="H98" s="151"/>
      <c r="I98" s="151"/>
    </row>
    <row r="99" spans="1:9" ht="15.75" customHeight="1">
      <c r="A99" s="151" t="s">
        <v>8</v>
      </c>
      <c r="B99" s="151"/>
      <c r="C99" s="151"/>
      <c r="D99" s="151"/>
      <c r="E99" s="151"/>
      <c r="F99" s="151"/>
      <c r="G99" s="151"/>
      <c r="H99" s="151"/>
      <c r="I99" s="151"/>
    </row>
    <row r="100" spans="1:9" ht="15.75" customHeight="1">
      <c r="A100" s="148" t="s">
        <v>61</v>
      </c>
      <c r="B100" s="148"/>
      <c r="C100" s="148"/>
      <c r="D100" s="148"/>
      <c r="E100" s="148"/>
      <c r="F100" s="148"/>
      <c r="G100" s="148"/>
      <c r="H100" s="148"/>
      <c r="I100" s="148"/>
    </row>
    <row r="101" spans="1:9" ht="15.75" customHeight="1">
      <c r="A101" s="11"/>
    </row>
    <row r="102" spans="1:9" ht="15.75" customHeight="1">
      <c r="A102" s="149" t="s">
        <v>9</v>
      </c>
      <c r="B102" s="149"/>
      <c r="C102" s="149"/>
      <c r="D102" s="149"/>
      <c r="E102" s="149"/>
      <c r="F102" s="149"/>
      <c r="G102" s="149"/>
      <c r="H102" s="149"/>
      <c r="I102" s="149"/>
    </row>
    <row r="103" spans="1:9" ht="15.75" customHeight="1">
      <c r="A103" s="4"/>
    </row>
    <row r="104" spans="1:9" ht="15.75" customHeight="1">
      <c r="B104" s="71" t="s">
        <v>10</v>
      </c>
      <c r="C104" s="150" t="s">
        <v>182</v>
      </c>
      <c r="D104" s="150"/>
      <c r="E104" s="150"/>
      <c r="F104" s="150"/>
      <c r="I104" s="74"/>
    </row>
    <row r="105" spans="1:9" ht="15.75" customHeight="1">
      <c r="A105" s="75"/>
      <c r="C105" s="143" t="s">
        <v>11</v>
      </c>
      <c r="D105" s="143"/>
      <c r="E105" s="143"/>
      <c r="F105" s="143"/>
      <c r="I105" s="73" t="s">
        <v>12</v>
      </c>
    </row>
    <row r="106" spans="1:9" ht="15.75" customHeight="1">
      <c r="A106" s="26"/>
      <c r="C106" s="12"/>
      <c r="D106" s="12"/>
      <c r="E106" s="12"/>
      <c r="G106" s="12"/>
      <c r="H106" s="12"/>
    </row>
    <row r="107" spans="1:9" ht="15.75" customHeight="1">
      <c r="B107" s="71" t="s">
        <v>13</v>
      </c>
      <c r="C107" s="145"/>
      <c r="D107" s="145"/>
      <c r="E107" s="145"/>
      <c r="F107" s="145"/>
      <c r="I107" s="74"/>
    </row>
    <row r="108" spans="1:9" ht="15.75" customHeight="1">
      <c r="A108" s="75"/>
      <c r="C108" s="132" t="s">
        <v>11</v>
      </c>
      <c r="D108" s="132"/>
      <c r="E108" s="132"/>
      <c r="F108" s="132"/>
      <c r="I108" s="73" t="s">
        <v>12</v>
      </c>
    </row>
    <row r="109" spans="1:9" ht="15.75" customHeight="1">
      <c r="A109" s="4" t="s">
        <v>14</v>
      </c>
    </row>
    <row r="110" spans="1:9">
      <c r="A110" s="146" t="s">
        <v>15</v>
      </c>
      <c r="B110" s="146"/>
      <c r="C110" s="146"/>
      <c r="D110" s="146"/>
      <c r="E110" s="146"/>
      <c r="F110" s="146"/>
      <c r="G110" s="146"/>
      <c r="H110" s="146"/>
      <c r="I110" s="146"/>
    </row>
    <row r="111" spans="1:9" ht="45" customHeight="1">
      <c r="A111" s="144" t="s">
        <v>16</v>
      </c>
      <c r="B111" s="144"/>
      <c r="C111" s="144"/>
      <c r="D111" s="144"/>
      <c r="E111" s="144"/>
      <c r="F111" s="144"/>
      <c r="G111" s="144"/>
      <c r="H111" s="144"/>
      <c r="I111" s="144"/>
    </row>
    <row r="112" spans="1:9" ht="30" customHeight="1">
      <c r="A112" s="144" t="s">
        <v>17</v>
      </c>
      <c r="B112" s="144"/>
      <c r="C112" s="144"/>
      <c r="D112" s="144"/>
      <c r="E112" s="144"/>
      <c r="F112" s="144"/>
      <c r="G112" s="144"/>
      <c r="H112" s="144"/>
      <c r="I112" s="144"/>
    </row>
    <row r="113" spans="1:9" ht="30" customHeight="1">
      <c r="A113" s="144" t="s">
        <v>21</v>
      </c>
      <c r="B113" s="144"/>
      <c r="C113" s="144"/>
      <c r="D113" s="144"/>
      <c r="E113" s="144"/>
      <c r="F113" s="144"/>
      <c r="G113" s="144"/>
      <c r="H113" s="144"/>
      <c r="I113" s="144"/>
    </row>
    <row r="114" spans="1:9" ht="15" customHeight="1">
      <c r="A114" s="144" t="s">
        <v>20</v>
      </c>
      <c r="B114" s="144"/>
      <c r="C114" s="144"/>
      <c r="D114" s="144"/>
      <c r="E114" s="144"/>
      <c r="F114" s="144"/>
      <c r="G114" s="144"/>
      <c r="H114" s="144"/>
      <c r="I114" s="144"/>
    </row>
  </sheetData>
  <autoFilter ref="I12:I65"/>
  <mergeCells count="29">
    <mergeCell ref="A110:I110"/>
    <mergeCell ref="A111:I111"/>
    <mergeCell ref="A112:I112"/>
    <mergeCell ref="A113:I113"/>
    <mergeCell ref="A114:I114"/>
    <mergeCell ref="R70:U70"/>
    <mergeCell ref="C108:F108"/>
    <mergeCell ref="A85:I85"/>
    <mergeCell ref="A94:I94"/>
    <mergeCell ref="B95:G95"/>
    <mergeCell ref="B96:G96"/>
    <mergeCell ref="A98:I98"/>
    <mergeCell ref="A99:I99"/>
    <mergeCell ref="A100:I100"/>
    <mergeCell ref="A102:I102"/>
    <mergeCell ref="C104:F104"/>
    <mergeCell ref="C105:F105"/>
    <mergeCell ref="C107:F107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D105" sqref="D10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155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3" t="s">
        <v>150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</row>
    <row r="4" spans="1:13" ht="31.5" customHeight="1">
      <c r="A4" s="134" t="s">
        <v>127</v>
      </c>
      <c r="B4" s="134"/>
      <c r="C4" s="134"/>
      <c r="D4" s="134"/>
      <c r="E4" s="134"/>
      <c r="F4" s="134"/>
      <c r="G4" s="134"/>
      <c r="H4" s="134"/>
      <c r="I4" s="134"/>
    </row>
    <row r="5" spans="1:13" ht="15.75" customHeight="1">
      <c r="A5" s="133" t="s">
        <v>237</v>
      </c>
      <c r="B5" s="137"/>
      <c r="C5" s="137"/>
      <c r="D5" s="137"/>
      <c r="E5" s="137"/>
      <c r="F5" s="137"/>
      <c r="G5" s="137"/>
      <c r="H5" s="137"/>
      <c r="I5" s="137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44500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181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129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8" t="s">
        <v>59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90</v>
      </c>
      <c r="D16" s="86" t="s">
        <v>160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88</v>
      </c>
      <c r="C17" s="87" t="s">
        <v>90</v>
      </c>
      <c r="D17" s="86" t="s">
        <v>161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89</v>
      </c>
      <c r="C18" s="87" t="s">
        <v>90</v>
      </c>
      <c r="D18" s="86" t="s">
        <v>162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91</v>
      </c>
      <c r="C19" s="87" t="s">
        <v>86</v>
      </c>
      <c r="D19" s="86" t="s">
        <v>92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93</v>
      </c>
      <c r="C20" s="87" t="s">
        <v>90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94</v>
      </c>
      <c r="C21" s="87" t="s">
        <v>90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95</v>
      </c>
      <c r="C22" s="87" t="s">
        <v>53</v>
      </c>
      <c r="D22" s="86" t="s">
        <v>92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96</v>
      </c>
      <c r="C23" s="87" t="s">
        <v>53</v>
      </c>
      <c r="D23" s="86" t="s">
        <v>92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97</v>
      </c>
      <c r="C24" s="87" t="s">
        <v>53</v>
      </c>
      <c r="D24" s="86" t="s">
        <v>92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98</v>
      </c>
      <c r="C25" s="87" t="s">
        <v>53</v>
      </c>
      <c r="D25" s="86" t="s">
        <v>92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99</v>
      </c>
      <c r="C26" s="87" t="s">
        <v>53</v>
      </c>
      <c r="D26" s="86" t="s">
        <v>92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hidden="1" customHeight="1">
      <c r="A27" s="30">
        <v>4</v>
      </c>
      <c r="B27" s="34" t="s">
        <v>159</v>
      </c>
      <c r="C27" s="44" t="s">
        <v>154</v>
      </c>
      <c r="D27" s="34" t="s">
        <v>163</v>
      </c>
      <c r="E27" s="117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39" t="s">
        <v>81</v>
      </c>
      <c r="B28" s="139"/>
      <c r="C28" s="139"/>
      <c r="D28" s="139"/>
      <c r="E28" s="139"/>
      <c r="F28" s="139"/>
      <c r="G28" s="139"/>
      <c r="H28" s="139"/>
      <c r="I28" s="139"/>
      <c r="J28" s="23"/>
      <c r="K28" s="8"/>
      <c r="L28" s="8"/>
      <c r="M28" s="8"/>
    </row>
    <row r="29" spans="1:13" ht="15.75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customHeight="1">
      <c r="A30" s="45">
        <v>4</v>
      </c>
      <c r="B30" s="86" t="s">
        <v>134</v>
      </c>
      <c r="C30" s="87" t="s">
        <v>100</v>
      </c>
      <c r="D30" s="86" t="s">
        <v>161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customHeight="1">
      <c r="A31" s="45">
        <v>5</v>
      </c>
      <c r="B31" s="86" t="s">
        <v>135</v>
      </c>
      <c r="C31" s="87" t="s">
        <v>100</v>
      </c>
      <c r="D31" s="86" t="s">
        <v>160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3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16</v>
      </c>
      <c r="B32" s="86" t="s">
        <v>26</v>
      </c>
      <c r="C32" s="87" t="s">
        <v>100</v>
      </c>
      <c r="D32" s="86" t="s">
        <v>168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customHeight="1">
      <c r="A33" s="45">
        <v>6</v>
      </c>
      <c r="B33" s="86" t="s">
        <v>103</v>
      </c>
      <c r="C33" s="87" t="s">
        <v>40</v>
      </c>
      <c r="D33" s="86" t="s">
        <v>165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4</v>
      </c>
      <c r="B34" s="86" t="s">
        <v>64</v>
      </c>
      <c r="C34" s="87" t="s">
        <v>32</v>
      </c>
      <c r="D34" s="86" t="s">
        <v>66</v>
      </c>
      <c r="E34" s="88"/>
      <c r="F34" s="89">
        <v>1</v>
      </c>
      <c r="G34" s="89">
        <v>238.07</v>
      </c>
      <c r="H34" s="90">
        <f t="shared" ref="H34:H35" si="5">SUM(F34*G34/1000)</f>
        <v>0.23807</v>
      </c>
      <c r="I34" s="13">
        <v>0</v>
      </c>
      <c r="J34" s="24"/>
    </row>
    <row r="35" spans="1:14" ht="15.75" hidden="1" customHeight="1">
      <c r="A35" s="30">
        <v>8</v>
      </c>
      <c r="B35" s="86" t="s">
        <v>65</v>
      </c>
      <c r="C35" s="87" t="s">
        <v>31</v>
      </c>
      <c r="D35" s="86" t="s">
        <v>66</v>
      </c>
      <c r="E35" s="88"/>
      <c r="F35" s="89">
        <v>1</v>
      </c>
      <c r="G35" s="89">
        <v>1413.96</v>
      </c>
      <c r="H35" s="90">
        <f t="shared" si="5"/>
        <v>1.4139600000000001</v>
      </c>
      <c r="I35" s="13">
        <v>0</v>
      </c>
      <c r="J35" s="24"/>
    </row>
    <row r="36" spans="1:14" ht="15.75" hidden="1" customHeight="1">
      <c r="A36" s="45"/>
      <c r="B36" s="53" t="s">
        <v>5</v>
      </c>
      <c r="C36" s="53"/>
      <c r="D36" s="53"/>
      <c r="E36" s="53"/>
      <c r="F36" s="13"/>
      <c r="G36" s="14"/>
      <c r="H36" s="14"/>
      <c r="I36" s="19"/>
      <c r="J36" s="24"/>
    </row>
    <row r="37" spans="1:14" ht="15.75" hidden="1" customHeight="1">
      <c r="A37" s="35">
        <v>6</v>
      </c>
      <c r="B37" s="86" t="s">
        <v>25</v>
      </c>
      <c r="C37" s="87" t="s">
        <v>31</v>
      </c>
      <c r="D37" s="86"/>
      <c r="E37" s="88"/>
      <c r="F37" s="89">
        <v>2</v>
      </c>
      <c r="G37" s="89">
        <v>1900.37</v>
      </c>
      <c r="H37" s="90">
        <f t="shared" ref="H37:H42" si="6">SUM(F37*G37/1000)</f>
        <v>3.8007399999999998</v>
      </c>
      <c r="I37" s="13">
        <f t="shared" ref="I37:I42" si="7">F37/6*G37</f>
        <v>633.45666666666659</v>
      </c>
      <c r="J37" s="24"/>
    </row>
    <row r="38" spans="1:14" ht="15.75" hidden="1" customHeight="1">
      <c r="A38" s="35">
        <v>7</v>
      </c>
      <c r="B38" s="86" t="s">
        <v>67</v>
      </c>
      <c r="C38" s="67" t="s">
        <v>28</v>
      </c>
      <c r="D38" s="36" t="s">
        <v>105</v>
      </c>
      <c r="E38" s="37">
        <v>65.25</v>
      </c>
      <c r="F38" s="89">
        <f>SUM(E38*30/1000)</f>
        <v>1.9575</v>
      </c>
      <c r="G38" s="89">
        <v>2616.4899999999998</v>
      </c>
      <c r="H38" s="90">
        <f t="shared" si="6"/>
        <v>5.1217791749999995</v>
      </c>
      <c r="I38" s="13">
        <f t="shared" si="7"/>
        <v>853.62986249999994</v>
      </c>
      <c r="J38" s="24"/>
    </row>
    <row r="39" spans="1:14" ht="15.75" hidden="1" customHeight="1">
      <c r="A39" s="35">
        <v>8</v>
      </c>
      <c r="B39" s="86" t="s">
        <v>68</v>
      </c>
      <c r="C39" s="44" t="s">
        <v>28</v>
      </c>
      <c r="D39" s="34" t="s">
        <v>106</v>
      </c>
      <c r="E39" s="33">
        <v>65.25</v>
      </c>
      <c r="F39" s="89">
        <f>SUM(E39*155/1000)</f>
        <v>10.11375</v>
      </c>
      <c r="G39" s="89">
        <v>436.45</v>
      </c>
      <c r="H39" s="90">
        <f t="shared" si="6"/>
        <v>4.4141461874999992</v>
      </c>
      <c r="I39" s="13">
        <f t="shared" si="7"/>
        <v>735.69103124999992</v>
      </c>
      <c r="J39" s="24"/>
    </row>
    <row r="40" spans="1:14" ht="46.5" hidden="1" customHeight="1">
      <c r="A40" s="35">
        <v>9</v>
      </c>
      <c r="B40" s="86" t="s">
        <v>80</v>
      </c>
      <c r="C40" s="44" t="s">
        <v>100</v>
      </c>
      <c r="D40" s="34" t="s">
        <v>107</v>
      </c>
      <c r="E40" s="33">
        <v>65.25</v>
      </c>
      <c r="F40" s="89">
        <f>SUM(E40*35/1000)</f>
        <v>2.2837499999999999</v>
      </c>
      <c r="G40" s="89">
        <v>7221.21</v>
      </c>
      <c r="H40" s="90">
        <f t="shared" si="6"/>
        <v>16.4914383375</v>
      </c>
      <c r="I40" s="13">
        <f t="shared" si="7"/>
        <v>2748.5730562499998</v>
      </c>
      <c r="J40" s="24"/>
      <c r="L40" s="20"/>
      <c r="M40" s="21"/>
      <c r="N40" s="22"/>
    </row>
    <row r="41" spans="1:14" ht="15.75" hidden="1" customHeight="1">
      <c r="A41" s="35">
        <v>10</v>
      </c>
      <c r="B41" s="86" t="s">
        <v>108</v>
      </c>
      <c r="C41" s="44" t="s">
        <v>100</v>
      </c>
      <c r="D41" s="34" t="s">
        <v>109</v>
      </c>
      <c r="E41" s="33">
        <v>65.25</v>
      </c>
      <c r="F41" s="89">
        <f>SUM(E41*20/1000)</f>
        <v>1.3049999999999999</v>
      </c>
      <c r="G41" s="89">
        <v>533.45000000000005</v>
      </c>
      <c r="H41" s="90">
        <f t="shared" si="6"/>
        <v>0.69615225000000003</v>
      </c>
      <c r="I41" s="13">
        <f t="shared" si="7"/>
        <v>116.02537500000001</v>
      </c>
      <c r="J41" s="24"/>
      <c r="L41" s="20"/>
      <c r="M41" s="21"/>
      <c r="N41" s="22"/>
    </row>
    <row r="42" spans="1:14" ht="15.75" hidden="1" customHeight="1">
      <c r="A42" s="35">
        <v>11</v>
      </c>
      <c r="B42" s="86" t="s">
        <v>69</v>
      </c>
      <c r="C42" s="87" t="s">
        <v>32</v>
      </c>
      <c r="D42" s="86"/>
      <c r="E42" s="88"/>
      <c r="F42" s="89">
        <v>0.5</v>
      </c>
      <c r="G42" s="89">
        <v>992.97</v>
      </c>
      <c r="H42" s="90">
        <f t="shared" si="6"/>
        <v>0.49648500000000001</v>
      </c>
      <c r="I42" s="13">
        <f t="shared" si="7"/>
        <v>82.747500000000002</v>
      </c>
      <c r="J42" s="24"/>
      <c r="L42" s="20"/>
      <c r="M42" s="21"/>
      <c r="N42" s="22"/>
    </row>
    <row r="43" spans="1:14" ht="15.75" hidden="1" customHeight="1">
      <c r="A43" s="140" t="s">
        <v>130</v>
      </c>
      <c r="B43" s="141"/>
      <c r="C43" s="141"/>
      <c r="D43" s="141"/>
      <c r="E43" s="141"/>
      <c r="F43" s="141"/>
      <c r="G43" s="141"/>
      <c r="H43" s="141"/>
      <c r="I43" s="142"/>
      <c r="J43" s="24"/>
      <c r="L43" s="20"/>
      <c r="M43" s="21"/>
      <c r="N43" s="22"/>
    </row>
    <row r="44" spans="1:14" ht="15.75" hidden="1" customHeight="1">
      <c r="A44" s="45">
        <v>12</v>
      </c>
      <c r="B44" s="86" t="s">
        <v>110</v>
      </c>
      <c r="C44" s="87" t="s">
        <v>100</v>
      </c>
      <c r="D44" s="86" t="s">
        <v>42</v>
      </c>
      <c r="E44" s="88">
        <v>1026.8</v>
      </c>
      <c r="F44" s="89">
        <f>SUM(E44*2/1000)</f>
        <v>2.0535999999999999</v>
      </c>
      <c r="G44" s="13">
        <v>1283.46</v>
      </c>
      <c r="H44" s="90">
        <f t="shared" ref="H44:H54" si="8">SUM(F44*G44/1000)</f>
        <v>2.635713456</v>
      </c>
      <c r="I44" s="13">
        <f t="shared" ref="I44:I47" si="9">F44/2*G44</f>
        <v>1317.856728</v>
      </c>
      <c r="J44" s="24"/>
      <c r="L44" s="20"/>
      <c r="M44" s="21"/>
      <c r="N44" s="22"/>
    </row>
    <row r="45" spans="1:14" ht="15.75" hidden="1" customHeight="1">
      <c r="A45" s="45">
        <v>13</v>
      </c>
      <c r="B45" s="86" t="s">
        <v>35</v>
      </c>
      <c r="C45" s="87" t="s">
        <v>100</v>
      </c>
      <c r="D45" s="86" t="s">
        <v>42</v>
      </c>
      <c r="E45" s="88">
        <v>19.8</v>
      </c>
      <c r="F45" s="89">
        <f>SUM(E45*2/1000)</f>
        <v>3.9600000000000003E-2</v>
      </c>
      <c r="G45" s="13">
        <v>4192.6400000000003</v>
      </c>
      <c r="H45" s="90">
        <f t="shared" si="8"/>
        <v>0.16602854400000003</v>
      </c>
      <c r="I45" s="13">
        <f t="shared" si="9"/>
        <v>83.01427200000002</v>
      </c>
      <c r="J45" s="24"/>
      <c r="L45" s="20"/>
      <c r="M45" s="21"/>
      <c r="N45" s="22"/>
    </row>
    <row r="46" spans="1:14" ht="15.75" hidden="1" customHeight="1">
      <c r="A46" s="45">
        <v>14</v>
      </c>
      <c r="B46" s="86" t="s">
        <v>36</v>
      </c>
      <c r="C46" s="87" t="s">
        <v>100</v>
      </c>
      <c r="D46" s="86" t="s">
        <v>42</v>
      </c>
      <c r="E46" s="88">
        <v>660.84</v>
      </c>
      <c r="F46" s="89">
        <f>SUM(E46*2/1000)</f>
        <v>1.32168</v>
      </c>
      <c r="G46" s="13">
        <v>1711.28</v>
      </c>
      <c r="H46" s="90">
        <f t="shared" si="8"/>
        <v>2.2617645503999997</v>
      </c>
      <c r="I46" s="13">
        <f t="shared" si="9"/>
        <v>1130.8822751999999</v>
      </c>
      <c r="J46" s="24"/>
      <c r="L46" s="20"/>
      <c r="M46" s="21"/>
      <c r="N46" s="22"/>
    </row>
    <row r="47" spans="1:14" ht="15.75" hidden="1" customHeight="1">
      <c r="A47" s="45">
        <v>15</v>
      </c>
      <c r="B47" s="86" t="s">
        <v>37</v>
      </c>
      <c r="C47" s="87" t="s">
        <v>100</v>
      </c>
      <c r="D47" s="86" t="s">
        <v>42</v>
      </c>
      <c r="E47" s="88">
        <v>1156.21</v>
      </c>
      <c r="F47" s="89">
        <f>SUM(E47*2/1000)</f>
        <v>2.3124199999999999</v>
      </c>
      <c r="G47" s="13">
        <v>1179.73</v>
      </c>
      <c r="H47" s="90">
        <f t="shared" si="8"/>
        <v>2.7280312466000001</v>
      </c>
      <c r="I47" s="13">
        <f t="shared" si="9"/>
        <v>1364.0156233</v>
      </c>
      <c r="J47" s="24"/>
      <c r="L47" s="20"/>
      <c r="M47" s="21"/>
      <c r="N47" s="22"/>
    </row>
    <row r="48" spans="1:14" ht="15.75" hidden="1" customHeight="1">
      <c r="A48" s="45">
        <v>16</v>
      </c>
      <c r="B48" s="86" t="s">
        <v>33</v>
      </c>
      <c r="C48" s="87" t="s">
        <v>34</v>
      </c>
      <c r="D48" s="86" t="s">
        <v>42</v>
      </c>
      <c r="E48" s="88">
        <v>15</v>
      </c>
      <c r="F48" s="89">
        <f>SUM(E48*2/100)</f>
        <v>0.3</v>
      </c>
      <c r="G48" s="13">
        <v>90.61</v>
      </c>
      <c r="H48" s="90">
        <f t="shared" si="8"/>
        <v>2.7182999999999999E-2</v>
      </c>
      <c r="I48" s="13">
        <f>F48/2*G48</f>
        <v>13.5915</v>
      </c>
      <c r="J48" s="24"/>
      <c r="L48" s="20"/>
      <c r="M48" s="21"/>
      <c r="N48" s="22"/>
    </row>
    <row r="49" spans="1:14" ht="15.75" hidden="1" customHeight="1">
      <c r="A49" s="45">
        <v>17</v>
      </c>
      <c r="B49" s="86" t="s">
        <v>56</v>
      </c>
      <c r="C49" s="87" t="s">
        <v>100</v>
      </c>
      <c r="D49" s="86" t="s">
        <v>137</v>
      </c>
      <c r="E49" s="88">
        <v>1803.1</v>
      </c>
      <c r="F49" s="89">
        <f>SUM(E49*5/1000)</f>
        <v>9.0154999999999994</v>
      </c>
      <c r="G49" s="13">
        <v>1711.28</v>
      </c>
      <c r="H49" s="90">
        <f t="shared" si="8"/>
        <v>15.428044839999998</v>
      </c>
      <c r="I49" s="13">
        <f>F49/5*G49</f>
        <v>3085.608968</v>
      </c>
      <c r="J49" s="24"/>
      <c r="L49" s="20"/>
      <c r="M49" s="21"/>
      <c r="N49" s="22"/>
    </row>
    <row r="50" spans="1:14" ht="31.5" hidden="1" customHeight="1">
      <c r="A50" s="45">
        <v>10</v>
      </c>
      <c r="B50" s="86" t="s">
        <v>111</v>
      </c>
      <c r="C50" s="87" t="s">
        <v>100</v>
      </c>
      <c r="D50" s="86" t="s">
        <v>42</v>
      </c>
      <c r="E50" s="88">
        <v>1803.1</v>
      </c>
      <c r="F50" s="89">
        <f>SUM(E50*2/1000)</f>
        <v>3.6061999999999999</v>
      </c>
      <c r="G50" s="13">
        <v>1510.06</v>
      </c>
      <c r="H50" s="90">
        <f t="shared" si="8"/>
        <v>5.4455783719999999</v>
      </c>
      <c r="I50" s="13">
        <f>F50/2*G50</f>
        <v>2722.789186</v>
      </c>
      <c r="J50" s="24"/>
      <c r="L50" s="20"/>
      <c r="M50" s="21"/>
      <c r="N50" s="22"/>
    </row>
    <row r="51" spans="1:14" ht="31.5" hidden="1" customHeight="1">
      <c r="A51" s="45">
        <v>11</v>
      </c>
      <c r="B51" s="86" t="s">
        <v>112</v>
      </c>
      <c r="C51" s="87" t="s">
        <v>38</v>
      </c>
      <c r="D51" s="86" t="s">
        <v>42</v>
      </c>
      <c r="E51" s="88">
        <v>9</v>
      </c>
      <c r="F51" s="89">
        <f>SUM(E51*2/100)</f>
        <v>0.18</v>
      </c>
      <c r="G51" s="13">
        <v>3850.4</v>
      </c>
      <c r="H51" s="90">
        <f t="shared" si="8"/>
        <v>0.69307200000000002</v>
      </c>
      <c r="I51" s="13">
        <f t="shared" ref="I51:I52" si="10">F51/2*G51</f>
        <v>346.536</v>
      </c>
      <c r="J51" s="24"/>
      <c r="L51" s="20"/>
      <c r="M51" s="21"/>
      <c r="N51" s="22"/>
    </row>
    <row r="52" spans="1:14" ht="15.75" hidden="1" customHeight="1">
      <c r="A52" s="45">
        <v>12</v>
      </c>
      <c r="B52" s="86" t="s">
        <v>39</v>
      </c>
      <c r="C52" s="87" t="s">
        <v>40</v>
      </c>
      <c r="D52" s="86" t="s">
        <v>42</v>
      </c>
      <c r="E52" s="88">
        <v>1</v>
      </c>
      <c r="F52" s="89">
        <v>0.02</v>
      </c>
      <c r="G52" s="13">
        <v>7033.13</v>
      </c>
      <c r="H52" s="90">
        <f t="shared" si="8"/>
        <v>0.1406626</v>
      </c>
      <c r="I52" s="13">
        <f t="shared" si="10"/>
        <v>70.331299999999999</v>
      </c>
      <c r="J52" s="24"/>
      <c r="L52" s="20"/>
      <c r="M52" s="21"/>
      <c r="N52" s="22"/>
    </row>
    <row r="53" spans="1:14" ht="15.75" hidden="1" customHeight="1">
      <c r="A53" s="45">
        <v>13</v>
      </c>
      <c r="B53" s="86" t="s">
        <v>136</v>
      </c>
      <c r="C53" s="87" t="s">
        <v>29</v>
      </c>
      <c r="D53" s="86" t="s">
        <v>70</v>
      </c>
      <c r="E53" s="88">
        <v>36</v>
      </c>
      <c r="F53" s="89">
        <f>E53*3</f>
        <v>108</v>
      </c>
      <c r="G53" s="13">
        <v>175.6</v>
      </c>
      <c r="H53" s="90">
        <f t="shared" si="8"/>
        <v>18.9648</v>
      </c>
      <c r="I53" s="13">
        <f>E53*G53</f>
        <v>6321.5999999999995</v>
      </c>
      <c r="J53" s="24"/>
      <c r="L53" s="20"/>
      <c r="M53" s="21"/>
      <c r="N53" s="22"/>
    </row>
    <row r="54" spans="1:14" ht="15.75" hidden="1" customHeight="1">
      <c r="A54" s="45">
        <v>14</v>
      </c>
      <c r="B54" s="86" t="s">
        <v>41</v>
      </c>
      <c r="C54" s="87" t="s">
        <v>29</v>
      </c>
      <c r="D54" s="86" t="s">
        <v>70</v>
      </c>
      <c r="E54" s="88">
        <v>36</v>
      </c>
      <c r="F54" s="89">
        <f>SUM(E54)*3</f>
        <v>108</v>
      </c>
      <c r="G54" s="13">
        <v>81.73</v>
      </c>
      <c r="H54" s="90">
        <f t="shared" si="8"/>
        <v>8.8268400000000007</v>
      </c>
      <c r="I54" s="13">
        <f>E54*G54</f>
        <v>2942.28</v>
      </c>
      <c r="J54" s="24"/>
      <c r="L54" s="20"/>
      <c r="M54" s="21"/>
      <c r="N54" s="22"/>
    </row>
    <row r="55" spans="1:14" ht="15.75" customHeight="1">
      <c r="A55" s="140" t="s">
        <v>142</v>
      </c>
      <c r="B55" s="141"/>
      <c r="C55" s="141"/>
      <c r="D55" s="141"/>
      <c r="E55" s="141"/>
      <c r="F55" s="141"/>
      <c r="G55" s="141"/>
      <c r="H55" s="141"/>
      <c r="I55" s="142"/>
      <c r="J55" s="24"/>
      <c r="L55" s="20"/>
      <c r="M55" s="21"/>
      <c r="N55" s="22"/>
    </row>
    <row r="56" spans="1:14" ht="15.75" hidden="1" customHeight="1">
      <c r="A56" s="57"/>
      <c r="B56" s="52" t="s">
        <v>43</v>
      </c>
      <c r="C56" s="17"/>
      <c r="D56" s="16"/>
      <c r="E56" s="16"/>
      <c r="F56" s="16"/>
      <c r="G56" s="30"/>
      <c r="H56" s="30"/>
      <c r="I56" s="19"/>
      <c r="J56" s="24"/>
      <c r="L56" s="20"/>
      <c r="M56" s="21"/>
      <c r="N56" s="22"/>
    </row>
    <row r="57" spans="1:14" ht="31.5" hidden="1" customHeight="1">
      <c r="A57" s="45">
        <v>12</v>
      </c>
      <c r="B57" s="86" t="s">
        <v>114</v>
      </c>
      <c r="C57" s="87" t="s">
        <v>90</v>
      </c>
      <c r="D57" s="86" t="s">
        <v>71</v>
      </c>
      <c r="E57" s="88">
        <v>12</v>
      </c>
      <c r="F57" s="89">
        <f>E57*6/100</f>
        <v>0.72</v>
      </c>
      <c r="G57" s="95">
        <v>2306.62</v>
      </c>
      <c r="H57" s="90">
        <f>F57*G57/1000</f>
        <v>1.6607663999999998</v>
      </c>
      <c r="I57" s="13">
        <f>F57/6*G57</f>
        <v>276.7944</v>
      </c>
      <c r="J57" s="24"/>
      <c r="L57" s="20"/>
      <c r="M57" s="21"/>
      <c r="N57" s="22"/>
    </row>
    <row r="58" spans="1:14" ht="15.75" hidden="1" customHeight="1">
      <c r="A58" s="45"/>
      <c r="B58" s="96" t="s">
        <v>83</v>
      </c>
      <c r="C58" s="97" t="s">
        <v>115</v>
      </c>
      <c r="D58" s="96" t="s">
        <v>66</v>
      </c>
      <c r="E58" s="98"/>
      <c r="F58" s="99">
        <v>2</v>
      </c>
      <c r="G58" s="100">
        <v>1501</v>
      </c>
      <c r="H58" s="90">
        <f>F58*G58/1000</f>
        <v>3.0019999999999998</v>
      </c>
      <c r="I58" s="13">
        <v>0</v>
      </c>
      <c r="J58" s="24"/>
      <c r="L58" s="20"/>
      <c r="M58" s="21"/>
      <c r="N58" s="22"/>
    </row>
    <row r="59" spans="1:14" ht="15.75" hidden="1" customHeight="1">
      <c r="A59" s="45"/>
      <c r="B59" s="77" t="s">
        <v>44</v>
      </c>
      <c r="C59" s="77"/>
      <c r="D59" s="77"/>
      <c r="E59" s="77"/>
      <c r="F59" s="77"/>
      <c r="G59" s="68"/>
      <c r="H59" s="68"/>
      <c r="I59" s="39"/>
      <c r="J59" s="24"/>
      <c r="L59" s="20"/>
      <c r="M59" s="21"/>
      <c r="N59" s="22"/>
    </row>
    <row r="60" spans="1:14" ht="15.75" hidden="1" customHeight="1">
      <c r="A60" s="45">
        <v>27</v>
      </c>
      <c r="B60" s="96" t="s">
        <v>45</v>
      </c>
      <c r="C60" s="97" t="s">
        <v>53</v>
      </c>
      <c r="D60" s="96" t="s">
        <v>54</v>
      </c>
      <c r="E60" s="98">
        <v>177</v>
      </c>
      <c r="F60" s="99">
        <f>E60/100</f>
        <v>1.77</v>
      </c>
      <c r="G60" s="100">
        <v>987.51</v>
      </c>
      <c r="H60" s="101">
        <f>G60*F60/1000</f>
        <v>1.7478927000000002</v>
      </c>
      <c r="I60" s="13">
        <v>0</v>
      </c>
      <c r="J60" s="24"/>
      <c r="L60" s="20"/>
      <c r="M60" s="21"/>
      <c r="N60" s="22"/>
    </row>
    <row r="61" spans="1:14" ht="15.75" customHeight="1">
      <c r="A61" s="45"/>
      <c r="B61" s="77" t="s">
        <v>46</v>
      </c>
      <c r="C61" s="17"/>
      <c r="D61" s="41"/>
      <c r="E61" s="41"/>
      <c r="F61" s="16"/>
      <c r="G61" s="69"/>
      <c r="H61" s="68"/>
      <c r="I61" s="19"/>
      <c r="J61" s="24"/>
      <c r="L61" s="20"/>
      <c r="M61" s="21"/>
      <c r="N61" s="22"/>
    </row>
    <row r="62" spans="1:14" ht="18.75" hidden="1" customHeight="1">
      <c r="A62" s="45">
        <v>15</v>
      </c>
      <c r="B62" s="15" t="s">
        <v>47</v>
      </c>
      <c r="C62" s="17" t="s">
        <v>113</v>
      </c>
      <c r="D62" s="15" t="s">
        <v>66</v>
      </c>
      <c r="E62" s="19">
        <v>1</v>
      </c>
      <c r="F62" s="89">
        <f>E62</f>
        <v>1</v>
      </c>
      <c r="G62" s="13">
        <v>276.74</v>
      </c>
      <c r="H62" s="102">
        <f t="shared" ref="H62:H70" si="11">SUM(F62*G62/1000)</f>
        <v>0.27673999999999999</v>
      </c>
      <c r="I62" s="13">
        <f>G62*3</f>
        <v>830.22</v>
      </c>
      <c r="J62" s="24"/>
      <c r="L62" s="20"/>
      <c r="M62" s="21"/>
      <c r="N62" s="22"/>
    </row>
    <row r="63" spans="1:14" ht="19.5" hidden="1" customHeight="1">
      <c r="A63" s="30">
        <v>29</v>
      </c>
      <c r="B63" s="15" t="s">
        <v>48</v>
      </c>
      <c r="C63" s="17" t="s">
        <v>113</v>
      </c>
      <c r="D63" s="15" t="s">
        <v>66</v>
      </c>
      <c r="E63" s="19">
        <v>3</v>
      </c>
      <c r="F63" s="89">
        <v>3</v>
      </c>
      <c r="G63" s="13">
        <v>94.89</v>
      </c>
      <c r="H63" s="102">
        <f t="shared" si="11"/>
        <v>0.28467000000000003</v>
      </c>
      <c r="I63" s="13">
        <v>0</v>
      </c>
      <c r="J63" s="24"/>
      <c r="L63" s="20"/>
    </row>
    <row r="64" spans="1:14" ht="15" hidden="1" customHeight="1">
      <c r="A64" s="30">
        <v>28</v>
      </c>
      <c r="B64" s="15" t="s">
        <v>49</v>
      </c>
      <c r="C64" s="17" t="s">
        <v>116</v>
      </c>
      <c r="D64" s="15" t="s">
        <v>54</v>
      </c>
      <c r="E64" s="88">
        <v>7265</v>
      </c>
      <c r="F64" s="13">
        <f>SUM(E64/100)</f>
        <v>72.650000000000006</v>
      </c>
      <c r="G64" s="13">
        <v>263.99</v>
      </c>
      <c r="H64" s="102">
        <f t="shared" si="11"/>
        <v>19.178873500000002</v>
      </c>
      <c r="I64" s="13">
        <f>F64*G64</f>
        <v>19178.873500000002</v>
      </c>
    </row>
    <row r="65" spans="1:22" ht="14.25" hidden="1" customHeight="1">
      <c r="A65" s="30">
        <v>29</v>
      </c>
      <c r="B65" s="15" t="s">
        <v>50</v>
      </c>
      <c r="C65" s="17" t="s">
        <v>117</v>
      </c>
      <c r="D65" s="15" t="s">
        <v>54</v>
      </c>
      <c r="E65" s="88">
        <v>7265</v>
      </c>
      <c r="F65" s="13">
        <f>SUM(E65/1000)</f>
        <v>7.2649999999999997</v>
      </c>
      <c r="G65" s="13">
        <v>205.57</v>
      </c>
      <c r="H65" s="102">
        <f t="shared" si="11"/>
        <v>1.4934660500000001</v>
      </c>
      <c r="I65" s="13">
        <f t="shared" ref="I65:I68" si="12">F65*G65</f>
        <v>1493.46605</v>
      </c>
    </row>
    <row r="66" spans="1:22" ht="14.25" hidden="1" customHeight="1">
      <c r="A66" s="30">
        <v>30</v>
      </c>
      <c r="B66" s="15" t="s">
        <v>51</v>
      </c>
      <c r="C66" s="17" t="s">
        <v>76</v>
      </c>
      <c r="D66" s="15" t="s">
        <v>54</v>
      </c>
      <c r="E66" s="88">
        <v>1090</v>
      </c>
      <c r="F66" s="13">
        <f>SUM(E66/100)</f>
        <v>10.9</v>
      </c>
      <c r="G66" s="13">
        <v>2581.5300000000002</v>
      </c>
      <c r="H66" s="102">
        <f t="shared" si="11"/>
        <v>28.138677000000005</v>
      </c>
      <c r="I66" s="13">
        <f t="shared" si="12"/>
        <v>28138.677000000003</v>
      </c>
    </row>
    <row r="67" spans="1:22" ht="17.25" hidden="1" customHeight="1">
      <c r="A67" s="30">
        <v>31</v>
      </c>
      <c r="B67" s="103" t="s">
        <v>118</v>
      </c>
      <c r="C67" s="17" t="s">
        <v>32</v>
      </c>
      <c r="D67" s="15"/>
      <c r="E67" s="88">
        <v>7.4</v>
      </c>
      <c r="F67" s="13">
        <f>SUM(E67)</f>
        <v>7.4</v>
      </c>
      <c r="G67" s="13">
        <v>47.45</v>
      </c>
      <c r="H67" s="102">
        <f t="shared" si="11"/>
        <v>0.35113000000000005</v>
      </c>
      <c r="I67" s="13">
        <f t="shared" si="12"/>
        <v>351.13000000000005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0">
        <v>32</v>
      </c>
      <c r="B68" s="103" t="s">
        <v>138</v>
      </c>
      <c r="C68" s="17" t="s">
        <v>32</v>
      </c>
      <c r="D68" s="15"/>
      <c r="E68" s="88">
        <v>7.4</v>
      </c>
      <c r="F68" s="13">
        <f>SUM(E68)</f>
        <v>7.4</v>
      </c>
      <c r="G68" s="13">
        <v>44.27</v>
      </c>
      <c r="H68" s="102">
        <f t="shared" si="11"/>
        <v>0.327598</v>
      </c>
      <c r="I68" s="13">
        <f t="shared" si="12"/>
        <v>327.59800000000001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6.5" hidden="1" customHeight="1">
      <c r="A69" s="30">
        <v>18</v>
      </c>
      <c r="B69" s="15" t="s">
        <v>57</v>
      </c>
      <c r="C69" s="17" t="s">
        <v>58</v>
      </c>
      <c r="D69" s="15" t="s">
        <v>54</v>
      </c>
      <c r="E69" s="19">
        <v>3</v>
      </c>
      <c r="F69" s="89">
        <f>SUM(E69)</f>
        <v>3</v>
      </c>
      <c r="G69" s="13">
        <v>62.07</v>
      </c>
      <c r="H69" s="102">
        <f t="shared" si="11"/>
        <v>0.18621000000000001</v>
      </c>
      <c r="I69" s="13">
        <f>F69*G69</f>
        <v>186.21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customHeight="1">
      <c r="A70" s="30">
        <v>7</v>
      </c>
      <c r="B70" s="15" t="s">
        <v>84</v>
      </c>
      <c r="C70" s="30" t="s">
        <v>119</v>
      </c>
      <c r="D70" s="15"/>
      <c r="E70" s="19">
        <v>1803.1</v>
      </c>
      <c r="F70" s="89">
        <f>SUM(E70*12)</f>
        <v>21637.199999999997</v>
      </c>
      <c r="G70" s="13">
        <v>2.16</v>
      </c>
      <c r="H70" s="102">
        <f t="shared" si="11"/>
        <v>46.736351999999997</v>
      </c>
      <c r="I70" s="13">
        <f>F70/12*G70</f>
        <v>3894.6959999999995</v>
      </c>
      <c r="J70" s="5"/>
      <c r="K70" s="5"/>
      <c r="L70" s="5"/>
      <c r="M70" s="5"/>
      <c r="N70" s="5"/>
      <c r="O70" s="5"/>
      <c r="P70" s="5"/>
      <c r="Q70" s="5"/>
      <c r="R70" s="132"/>
      <c r="S70" s="132"/>
      <c r="T70" s="132"/>
      <c r="U70" s="132"/>
    </row>
    <row r="71" spans="1:22" ht="15.75" customHeight="1">
      <c r="A71" s="30"/>
      <c r="B71" s="53" t="s">
        <v>72</v>
      </c>
      <c r="C71" s="53"/>
      <c r="D71" s="53"/>
      <c r="E71" s="53"/>
      <c r="F71" s="19"/>
      <c r="G71" s="30"/>
      <c r="H71" s="30"/>
      <c r="I71" s="19"/>
    </row>
    <row r="72" spans="1:22" ht="15.75" hidden="1" customHeight="1">
      <c r="A72" s="30"/>
      <c r="B72" s="15" t="s">
        <v>121</v>
      </c>
      <c r="C72" s="17" t="s">
        <v>122</v>
      </c>
      <c r="D72" s="15" t="s">
        <v>66</v>
      </c>
      <c r="E72" s="19">
        <v>1</v>
      </c>
      <c r="F72" s="13">
        <f>E72</f>
        <v>1</v>
      </c>
      <c r="G72" s="13">
        <v>976.4</v>
      </c>
      <c r="H72" s="102">
        <f t="shared" ref="H72:H76" si="13">SUM(F72*G72/1000)</f>
        <v>0.97639999999999993</v>
      </c>
      <c r="I72" s="13">
        <v>0</v>
      </c>
    </row>
    <row r="73" spans="1:22" ht="15.75" hidden="1" customHeight="1">
      <c r="A73" s="30"/>
      <c r="B73" s="15" t="s">
        <v>123</v>
      </c>
      <c r="C73" s="17" t="s">
        <v>124</v>
      </c>
      <c r="D73" s="15"/>
      <c r="E73" s="19">
        <v>1</v>
      </c>
      <c r="F73" s="13">
        <v>1</v>
      </c>
      <c r="G73" s="13">
        <v>650</v>
      </c>
      <c r="H73" s="102">
        <f t="shared" si="13"/>
        <v>0.65</v>
      </c>
      <c r="I73" s="13">
        <v>0</v>
      </c>
    </row>
    <row r="74" spans="1:22" ht="15.75" customHeight="1">
      <c r="A74" s="30">
        <v>8</v>
      </c>
      <c r="B74" s="15" t="s">
        <v>73</v>
      </c>
      <c r="C74" s="17" t="s">
        <v>30</v>
      </c>
      <c r="D74" s="15" t="s">
        <v>243</v>
      </c>
      <c r="E74" s="19">
        <v>3</v>
      </c>
      <c r="F74" s="13">
        <f>E74/10</f>
        <v>0.3</v>
      </c>
      <c r="G74" s="13">
        <v>624.16999999999996</v>
      </c>
      <c r="H74" s="102">
        <f t="shared" si="13"/>
        <v>0.18725099999999997</v>
      </c>
      <c r="I74" s="13">
        <f>G74*0.1</f>
        <v>62.417000000000002</v>
      </c>
    </row>
    <row r="75" spans="1:22" ht="15.75" hidden="1" customHeight="1">
      <c r="A75" s="30"/>
      <c r="B75" s="15" t="s">
        <v>74</v>
      </c>
      <c r="C75" s="17" t="s">
        <v>29</v>
      </c>
      <c r="D75" s="15" t="s">
        <v>66</v>
      </c>
      <c r="E75" s="19">
        <v>1</v>
      </c>
      <c r="F75" s="13">
        <v>1</v>
      </c>
      <c r="G75" s="13">
        <v>1061.4100000000001</v>
      </c>
      <c r="H75" s="102">
        <f t="shared" si="13"/>
        <v>1.0614100000000002</v>
      </c>
      <c r="I75" s="13">
        <v>0</v>
      </c>
    </row>
    <row r="76" spans="1:22" ht="15.75" hidden="1" customHeight="1">
      <c r="A76" s="30">
        <v>17</v>
      </c>
      <c r="B76" s="15" t="s">
        <v>85</v>
      </c>
      <c r="C76" s="17" t="s">
        <v>29</v>
      </c>
      <c r="D76" s="15" t="s">
        <v>66</v>
      </c>
      <c r="E76" s="19">
        <v>1</v>
      </c>
      <c r="F76" s="89">
        <f>SUM(E76)</f>
        <v>1</v>
      </c>
      <c r="G76" s="13">
        <v>446.12</v>
      </c>
      <c r="H76" s="102">
        <f t="shared" si="13"/>
        <v>0.44612000000000002</v>
      </c>
      <c r="I76" s="13">
        <v>0</v>
      </c>
    </row>
    <row r="77" spans="1:22" ht="15.75" hidden="1" customHeight="1">
      <c r="A77" s="30"/>
      <c r="B77" s="54" t="s">
        <v>75</v>
      </c>
      <c r="C77" s="42"/>
      <c r="D77" s="30"/>
      <c r="E77" s="30"/>
      <c r="F77" s="19"/>
      <c r="G77" s="40" t="s">
        <v>128</v>
      </c>
      <c r="H77" s="40"/>
      <c r="I77" s="19"/>
    </row>
    <row r="78" spans="1:22" ht="15.75" hidden="1" customHeight="1">
      <c r="A78" s="30">
        <v>39</v>
      </c>
      <c r="B78" s="56" t="s">
        <v>125</v>
      </c>
      <c r="C78" s="17" t="s">
        <v>76</v>
      </c>
      <c r="D78" s="15"/>
      <c r="E78" s="19"/>
      <c r="F78" s="13">
        <v>1.35</v>
      </c>
      <c r="G78" s="13">
        <v>3433.68</v>
      </c>
      <c r="H78" s="102">
        <f t="shared" ref="H78" si="14">SUM(F78*G78/1000)</f>
        <v>4.6354679999999995</v>
      </c>
      <c r="I78" s="13">
        <v>0</v>
      </c>
    </row>
    <row r="79" spans="1:22" ht="15.75" hidden="1" customHeight="1">
      <c r="A79" s="57"/>
      <c r="B79" s="77" t="s">
        <v>120</v>
      </c>
      <c r="C79" s="77"/>
      <c r="D79" s="77"/>
      <c r="E79" s="77"/>
      <c r="F79" s="77"/>
      <c r="G79" s="77"/>
      <c r="H79" s="77"/>
      <c r="I79" s="19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2" ht="15.75" hidden="1" customHeight="1">
      <c r="A80" s="30">
        <v>16</v>
      </c>
      <c r="B80" s="86" t="s">
        <v>87</v>
      </c>
      <c r="C80" s="17"/>
      <c r="D80" s="15"/>
      <c r="E80" s="104"/>
      <c r="F80" s="13">
        <v>1</v>
      </c>
      <c r="G80" s="13">
        <v>14156.3</v>
      </c>
      <c r="H80" s="102">
        <f>G80*F80/1000</f>
        <v>14.1563</v>
      </c>
      <c r="I80" s="13">
        <v>3992</v>
      </c>
    </row>
    <row r="81" spans="1:9" ht="15.75" customHeight="1">
      <c r="A81" s="125" t="s">
        <v>143</v>
      </c>
      <c r="B81" s="126"/>
      <c r="C81" s="126"/>
      <c r="D81" s="126"/>
      <c r="E81" s="126"/>
      <c r="F81" s="126"/>
      <c r="G81" s="126"/>
      <c r="H81" s="126"/>
      <c r="I81" s="127"/>
    </row>
    <row r="82" spans="1:9" ht="15.75" customHeight="1">
      <c r="A82" s="30">
        <v>9</v>
      </c>
      <c r="B82" s="86" t="s">
        <v>126</v>
      </c>
      <c r="C82" s="17" t="s">
        <v>55</v>
      </c>
      <c r="D82" s="105"/>
      <c r="E82" s="13">
        <v>1803.1</v>
      </c>
      <c r="F82" s="13">
        <f>SUM(E82*12)</f>
        <v>21637.199999999997</v>
      </c>
      <c r="G82" s="13">
        <v>2.95</v>
      </c>
      <c r="H82" s="102">
        <f>SUM(F82*G82/1000)</f>
        <v>63.829740000000001</v>
      </c>
      <c r="I82" s="13">
        <f>F82/12*G82</f>
        <v>5319.1449999999995</v>
      </c>
    </row>
    <row r="83" spans="1:9" ht="31.5" customHeight="1">
      <c r="A83" s="30">
        <v>10</v>
      </c>
      <c r="B83" s="15" t="s">
        <v>77</v>
      </c>
      <c r="C83" s="17"/>
      <c r="D83" s="105"/>
      <c r="E83" s="88">
        <v>1803.1</v>
      </c>
      <c r="F83" s="13">
        <f>E83*12</f>
        <v>21637.199999999997</v>
      </c>
      <c r="G83" s="13">
        <v>3.05</v>
      </c>
      <c r="H83" s="102">
        <f>F83*G83/1000</f>
        <v>65.993459999999999</v>
      </c>
      <c r="I83" s="13">
        <f>F83/12*G83</f>
        <v>5499.454999999999</v>
      </c>
    </row>
    <row r="84" spans="1:9" ht="15.75" customHeight="1">
      <c r="A84" s="57"/>
      <c r="B84" s="43" t="s">
        <v>79</v>
      </c>
      <c r="C84" s="45"/>
      <c r="D84" s="16"/>
      <c r="E84" s="16"/>
      <c r="F84" s="16"/>
      <c r="G84" s="19"/>
      <c r="H84" s="19"/>
      <c r="I84" s="32">
        <f>I83+I82+I74+I70+I33+I31+I30+I18+I17+I16</f>
        <v>21139.869497333329</v>
      </c>
    </row>
    <row r="85" spans="1:9" ht="15.75" customHeight="1">
      <c r="A85" s="128" t="s">
        <v>60</v>
      </c>
      <c r="B85" s="129"/>
      <c r="C85" s="129"/>
      <c r="D85" s="129"/>
      <c r="E85" s="129"/>
      <c r="F85" s="129"/>
      <c r="G85" s="129"/>
      <c r="H85" s="129"/>
      <c r="I85" s="130"/>
    </row>
    <row r="86" spans="1:9" ht="15.75" customHeight="1">
      <c r="A86" s="30">
        <v>11</v>
      </c>
      <c r="B86" s="41" t="s">
        <v>153</v>
      </c>
      <c r="C86" s="42" t="s">
        <v>154</v>
      </c>
      <c r="D86" s="46"/>
      <c r="E86" s="46"/>
      <c r="F86" s="46"/>
      <c r="G86" s="40">
        <v>1.4</v>
      </c>
      <c r="H86" s="46"/>
      <c r="I86" s="46">
        <f>G86*12</f>
        <v>16.799999999999997</v>
      </c>
    </row>
    <row r="87" spans="1:9" ht="16.5" customHeight="1">
      <c r="A87" s="30">
        <v>12</v>
      </c>
      <c r="B87" s="114" t="s">
        <v>225</v>
      </c>
      <c r="C87" s="121" t="s">
        <v>28</v>
      </c>
      <c r="D87" s="41"/>
      <c r="E87" s="18"/>
      <c r="F87" s="40">
        <f>1.004*2</f>
        <v>2.008</v>
      </c>
      <c r="G87" s="40">
        <v>241.69</v>
      </c>
      <c r="H87" s="112"/>
      <c r="I87" s="19">
        <f>G87*1.004</f>
        <v>242.65675999999999</v>
      </c>
    </row>
    <row r="88" spans="1:9" ht="16.5" customHeight="1">
      <c r="A88" s="30">
        <v>13</v>
      </c>
      <c r="B88" s="114" t="s">
        <v>39</v>
      </c>
      <c r="C88" s="115" t="s">
        <v>238</v>
      </c>
      <c r="D88" s="41" t="s">
        <v>162</v>
      </c>
      <c r="E88" s="18"/>
      <c r="F88" s="40">
        <v>0.02</v>
      </c>
      <c r="G88" s="40">
        <v>8763.7900000000009</v>
      </c>
      <c r="H88" s="112"/>
      <c r="I88" s="19">
        <v>0</v>
      </c>
    </row>
    <row r="89" spans="1:9" ht="16.5" customHeight="1">
      <c r="A89" s="30">
        <v>14</v>
      </c>
      <c r="B89" s="114" t="s">
        <v>173</v>
      </c>
      <c r="C89" s="115" t="s">
        <v>156</v>
      </c>
      <c r="D89" s="41" t="s">
        <v>244</v>
      </c>
      <c r="E89" s="18"/>
      <c r="F89" s="40">
        <v>2</v>
      </c>
      <c r="G89" s="40">
        <v>231.54</v>
      </c>
      <c r="H89" s="112"/>
      <c r="I89" s="19">
        <v>0</v>
      </c>
    </row>
    <row r="90" spans="1:9" ht="32.25" customHeight="1">
      <c r="A90" s="30">
        <v>15</v>
      </c>
      <c r="B90" s="114" t="s">
        <v>239</v>
      </c>
      <c r="C90" s="123" t="s">
        <v>231</v>
      </c>
      <c r="D90" s="41" t="s">
        <v>245</v>
      </c>
      <c r="E90" s="18"/>
      <c r="F90" s="40">
        <v>0.5</v>
      </c>
      <c r="G90" s="40">
        <v>3583.84</v>
      </c>
      <c r="H90" s="112"/>
      <c r="I90" s="19">
        <f>G90*0.5</f>
        <v>1791.92</v>
      </c>
    </row>
    <row r="91" spans="1:9" ht="16.5" customHeight="1">
      <c r="A91" s="30">
        <v>16</v>
      </c>
      <c r="B91" s="114" t="s">
        <v>240</v>
      </c>
      <c r="C91" s="115" t="s">
        <v>113</v>
      </c>
      <c r="D91" s="41" t="s">
        <v>242</v>
      </c>
      <c r="E91" s="18"/>
      <c r="F91" s="40">
        <v>1</v>
      </c>
      <c r="G91" s="40">
        <v>725.12</v>
      </c>
      <c r="H91" s="112"/>
      <c r="I91" s="19">
        <f>G91*1</f>
        <v>725.12</v>
      </c>
    </row>
    <row r="92" spans="1:9" ht="16.5" customHeight="1">
      <c r="A92" s="30">
        <v>17</v>
      </c>
      <c r="B92" s="114" t="s">
        <v>174</v>
      </c>
      <c r="C92" s="115" t="s">
        <v>158</v>
      </c>
      <c r="D92" s="41" t="s">
        <v>241</v>
      </c>
      <c r="E92" s="18"/>
      <c r="F92" s="40">
        <v>3</v>
      </c>
      <c r="G92" s="40">
        <v>295.36</v>
      </c>
      <c r="H92" s="112"/>
      <c r="I92" s="19">
        <v>0</v>
      </c>
    </row>
    <row r="93" spans="1:9" ht="15.75" customHeight="1">
      <c r="A93" s="30"/>
      <c r="B93" s="50" t="s">
        <v>52</v>
      </c>
      <c r="C93" s="46"/>
      <c r="D93" s="58"/>
      <c r="E93" s="58"/>
      <c r="F93" s="46">
        <v>1</v>
      </c>
      <c r="G93" s="46"/>
      <c r="H93" s="46"/>
      <c r="I93" s="32">
        <f>SUM(I86:I92)</f>
        <v>2776.49676</v>
      </c>
    </row>
    <row r="94" spans="1:9" ht="15.75" customHeight="1">
      <c r="A94" s="30"/>
      <c r="B94" s="56" t="s">
        <v>78</v>
      </c>
      <c r="C94" s="16"/>
      <c r="D94" s="16"/>
      <c r="E94" s="16"/>
      <c r="F94" s="47"/>
      <c r="G94" s="48"/>
      <c r="H94" s="48"/>
      <c r="I94" s="18">
        <v>0</v>
      </c>
    </row>
    <row r="95" spans="1:9" ht="15.75" customHeight="1">
      <c r="A95" s="59"/>
      <c r="B95" s="51" t="s">
        <v>133</v>
      </c>
      <c r="C95" s="38"/>
      <c r="D95" s="38"/>
      <c r="E95" s="38"/>
      <c r="F95" s="38"/>
      <c r="G95" s="38"/>
      <c r="H95" s="38"/>
      <c r="I95" s="49">
        <f>I84+I93</f>
        <v>23916.366257333328</v>
      </c>
    </row>
    <row r="96" spans="1:9" ht="15.75" customHeight="1">
      <c r="A96" s="131" t="s">
        <v>246</v>
      </c>
      <c r="B96" s="131"/>
      <c r="C96" s="131"/>
      <c r="D96" s="131"/>
      <c r="E96" s="131"/>
      <c r="F96" s="131"/>
      <c r="G96" s="131"/>
      <c r="H96" s="131"/>
      <c r="I96" s="131"/>
    </row>
    <row r="97" spans="1:9" ht="15.75" customHeight="1">
      <c r="A97" s="72"/>
      <c r="B97" s="147" t="s">
        <v>247</v>
      </c>
      <c r="C97" s="147"/>
      <c r="D97" s="147"/>
      <c r="E97" s="147"/>
      <c r="F97" s="147"/>
      <c r="G97" s="147"/>
      <c r="H97" s="84"/>
      <c r="I97" s="3"/>
    </row>
    <row r="98" spans="1:9" ht="15.75" customHeight="1">
      <c r="A98" s="75"/>
      <c r="B98" s="143" t="s">
        <v>6</v>
      </c>
      <c r="C98" s="143"/>
      <c r="D98" s="143"/>
      <c r="E98" s="143"/>
      <c r="F98" s="143"/>
      <c r="G98" s="143"/>
      <c r="H98" s="25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51" t="s">
        <v>7</v>
      </c>
      <c r="B100" s="151"/>
      <c r="C100" s="151"/>
      <c r="D100" s="151"/>
      <c r="E100" s="151"/>
      <c r="F100" s="151"/>
      <c r="G100" s="151"/>
      <c r="H100" s="151"/>
      <c r="I100" s="151"/>
    </row>
    <row r="101" spans="1:9" ht="15.75" customHeight="1">
      <c r="A101" s="151" t="s">
        <v>8</v>
      </c>
      <c r="B101" s="151"/>
      <c r="C101" s="151"/>
      <c r="D101" s="151"/>
      <c r="E101" s="151"/>
      <c r="F101" s="151"/>
      <c r="G101" s="151"/>
      <c r="H101" s="151"/>
      <c r="I101" s="151"/>
    </row>
    <row r="102" spans="1:9" ht="15.75" customHeight="1">
      <c r="A102" s="148" t="s">
        <v>61</v>
      </c>
      <c r="B102" s="148"/>
      <c r="C102" s="148"/>
      <c r="D102" s="148"/>
      <c r="E102" s="148"/>
      <c r="F102" s="148"/>
      <c r="G102" s="148"/>
      <c r="H102" s="148"/>
      <c r="I102" s="148"/>
    </row>
    <row r="103" spans="1:9" ht="15.75" customHeight="1">
      <c r="A103" s="11"/>
    </row>
    <row r="104" spans="1:9" ht="15.75" customHeight="1">
      <c r="A104" s="149" t="s">
        <v>9</v>
      </c>
      <c r="B104" s="149"/>
      <c r="C104" s="149"/>
      <c r="D104" s="149"/>
      <c r="E104" s="149"/>
      <c r="F104" s="149"/>
      <c r="G104" s="149"/>
      <c r="H104" s="149"/>
      <c r="I104" s="149"/>
    </row>
    <row r="105" spans="1:9" ht="15.75" customHeight="1">
      <c r="A105" s="4"/>
    </row>
    <row r="106" spans="1:9" ht="15.75" customHeight="1">
      <c r="B106" s="71" t="s">
        <v>10</v>
      </c>
      <c r="C106" s="150" t="s">
        <v>182</v>
      </c>
      <c r="D106" s="150"/>
      <c r="E106" s="150"/>
      <c r="F106" s="150"/>
      <c r="I106" s="74"/>
    </row>
    <row r="107" spans="1:9" ht="15.75" customHeight="1">
      <c r="A107" s="75"/>
      <c r="C107" s="143" t="s">
        <v>11</v>
      </c>
      <c r="D107" s="143"/>
      <c r="E107" s="143"/>
      <c r="F107" s="143"/>
      <c r="I107" s="73" t="s">
        <v>12</v>
      </c>
    </row>
    <row r="108" spans="1:9" ht="15.75" customHeight="1">
      <c r="A108" s="26"/>
      <c r="C108" s="12"/>
      <c r="D108" s="12"/>
      <c r="E108" s="12"/>
      <c r="G108" s="12"/>
      <c r="H108" s="12"/>
    </row>
    <row r="109" spans="1:9" ht="15.75" customHeight="1">
      <c r="B109" s="71" t="s">
        <v>13</v>
      </c>
      <c r="C109" s="145"/>
      <c r="D109" s="145"/>
      <c r="E109" s="145"/>
      <c r="F109" s="145"/>
      <c r="I109" s="74"/>
    </row>
    <row r="110" spans="1:9" ht="15.75" customHeight="1">
      <c r="A110" s="75"/>
      <c r="C110" s="132" t="s">
        <v>11</v>
      </c>
      <c r="D110" s="132"/>
      <c r="E110" s="132"/>
      <c r="F110" s="132"/>
      <c r="I110" s="73" t="s">
        <v>12</v>
      </c>
    </row>
    <row r="111" spans="1:9" ht="15.75" customHeight="1">
      <c r="A111" s="4" t="s">
        <v>14</v>
      </c>
    </row>
    <row r="112" spans="1:9">
      <c r="A112" s="146" t="s">
        <v>15</v>
      </c>
      <c r="B112" s="146"/>
      <c r="C112" s="146"/>
      <c r="D112" s="146"/>
      <c r="E112" s="146"/>
      <c r="F112" s="146"/>
      <c r="G112" s="146"/>
      <c r="H112" s="146"/>
      <c r="I112" s="146"/>
    </row>
    <row r="113" spans="1:9" ht="45" customHeight="1">
      <c r="A113" s="144" t="s">
        <v>16</v>
      </c>
      <c r="B113" s="144"/>
      <c r="C113" s="144"/>
      <c r="D113" s="144"/>
      <c r="E113" s="144"/>
      <c r="F113" s="144"/>
      <c r="G113" s="144"/>
      <c r="H113" s="144"/>
      <c r="I113" s="144"/>
    </row>
    <row r="114" spans="1:9" ht="30" customHeight="1">
      <c r="A114" s="144" t="s">
        <v>17</v>
      </c>
      <c r="B114" s="144"/>
      <c r="C114" s="144"/>
      <c r="D114" s="144"/>
      <c r="E114" s="144"/>
      <c r="F114" s="144"/>
      <c r="G114" s="144"/>
      <c r="H114" s="144"/>
      <c r="I114" s="144"/>
    </row>
    <row r="115" spans="1:9" ht="30" customHeight="1">
      <c r="A115" s="144" t="s">
        <v>21</v>
      </c>
      <c r="B115" s="144"/>
      <c r="C115" s="144"/>
      <c r="D115" s="144"/>
      <c r="E115" s="144"/>
      <c r="F115" s="144"/>
      <c r="G115" s="144"/>
      <c r="H115" s="144"/>
      <c r="I115" s="144"/>
    </row>
    <row r="116" spans="1:9" ht="15" customHeight="1">
      <c r="A116" s="144" t="s">
        <v>20</v>
      </c>
      <c r="B116" s="144"/>
      <c r="C116" s="144"/>
      <c r="D116" s="144"/>
      <c r="E116" s="144"/>
      <c r="F116" s="144"/>
      <c r="G116" s="144"/>
      <c r="H116" s="144"/>
      <c r="I116" s="144"/>
    </row>
  </sheetData>
  <autoFilter ref="I12:I65"/>
  <mergeCells count="29">
    <mergeCell ref="A112:I112"/>
    <mergeCell ref="A113:I113"/>
    <mergeCell ref="A114:I114"/>
    <mergeCell ref="A115:I115"/>
    <mergeCell ref="A116:I116"/>
    <mergeCell ref="R70:U70"/>
    <mergeCell ref="C110:F110"/>
    <mergeCell ref="A85:I85"/>
    <mergeCell ref="A96:I96"/>
    <mergeCell ref="B97:G97"/>
    <mergeCell ref="B98:G98"/>
    <mergeCell ref="A100:I100"/>
    <mergeCell ref="A101:I101"/>
    <mergeCell ref="A102:I102"/>
    <mergeCell ref="A104:I104"/>
    <mergeCell ref="C106:F106"/>
    <mergeCell ref="C107:F107"/>
    <mergeCell ref="C109:F109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6"/>
  <sheetViews>
    <sheetView topLeftCell="A63" workbookViewId="0">
      <selection activeCell="G89" sqref="G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7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155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3" t="s">
        <v>151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</row>
    <row r="4" spans="1:13" ht="31.5" customHeight="1">
      <c r="A4" s="134" t="s">
        <v>127</v>
      </c>
      <c r="B4" s="134"/>
      <c r="C4" s="134"/>
      <c r="D4" s="134"/>
      <c r="E4" s="134"/>
      <c r="F4" s="134"/>
      <c r="G4" s="134"/>
      <c r="H4" s="134"/>
      <c r="I4" s="134"/>
    </row>
    <row r="5" spans="1:13" ht="15.75" customHeight="1">
      <c r="A5" s="133" t="s">
        <v>248</v>
      </c>
      <c r="B5" s="137"/>
      <c r="C5" s="137"/>
      <c r="D5" s="137"/>
      <c r="E5" s="137"/>
      <c r="F5" s="137"/>
      <c r="G5" s="137"/>
      <c r="H5" s="137"/>
      <c r="I5" s="137"/>
      <c r="J5" s="2"/>
      <c r="K5" s="2"/>
      <c r="L5" s="2"/>
      <c r="M5" s="2"/>
    </row>
    <row r="6" spans="1:13" ht="15.75" customHeight="1">
      <c r="A6" s="2"/>
      <c r="B6" s="82"/>
      <c r="C6" s="82"/>
      <c r="D6" s="82"/>
      <c r="E6" s="82"/>
      <c r="F6" s="82"/>
      <c r="G6" s="82"/>
      <c r="H6" s="82"/>
      <c r="I6" s="31">
        <v>44530</v>
      </c>
      <c r="J6" s="2"/>
      <c r="K6" s="2"/>
      <c r="L6" s="2"/>
      <c r="M6" s="2"/>
    </row>
    <row r="7" spans="1:13" ht="15.75" customHeight="1">
      <c r="B7" s="78"/>
      <c r="C7" s="78"/>
      <c r="D7" s="78"/>
      <c r="E7" s="78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181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129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8" t="s">
        <v>59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90</v>
      </c>
      <c r="D16" s="86" t="s">
        <v>160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88</v>
      </c>
      <c r="C17" s="87" t="s">
        <v>90</v>
      </c>
      <c r="D17" s="86" t="s">
        <v>161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89</v>
      </c>
      <c r="C18" s="87" t="s">
        <v>90</v>
      </c>
      <c r="D18" s="86" t="s">
        <v>162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91</v>
      </c>
      <c r="C19" s="87" t="s">
        <v>86</v>
      </c>
      <c r="D19" s="86" t="s">
        <v>92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93</v>
      </c>
      <c r="C20" s="87" t="s">
        <v>90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94</v>
      </c>
      <c r="C21" s="87" t="s">
        <v>90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95</v>
      </c>
      <c r="C22" s="87" t="s">
        <v>53</v>
      </c>
      <c r="D22" s="86" t="s">
        <v>92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96</v>
      </c>
      <c r="C23" s="87" t="s">
        <v>53</v>
      </c>
      <c r="D23" s="86" t="s">
        <v>92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97</v>
      </c>
      <c r="C24" s="87" t="s">
        <v>53</v>
      </c>
      <c r="D24" s="86" t="s">
        <v>92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98</v>
      </c>
      <c r="C25" s="87" t="s">
        <v>53</v>
      </c>
      <c r="D25" s="86" t="s">
        <v>92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99</v>
      </c>
      <c r="C26" s="87" t="s">
        <v>53</v>
      </c>
      <c r="D26" s="86" t="s">
        <v>92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hidden="1" customHeight="1">
      <c r="A27" s="30">
        <v>4</v>
      </c>
      <c r="B27" s="34" t="s">
        <v>159</v>
      </c>
      <c r="C27" s="44" t="s">
        <v>154</v>
      </c>
      <c r="D27" s="34" t="s">
        <v>163</v>
      </c>
      <c r="E27" s="117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hidden="1" customHeight="1">
      <c r="A28" s="30">
        <v>5</v>
      </c>
      <c r="B28" s="93" t="s">
        <v>23</v>
      </c>
      <c r="C28" s="87" t="s">
        <v>24</v>
      </c>
      <c r="D28" s="86"/>
      <c r="E28" s="88">
        <v>1803.1</v>
      </c>
      <c r="F28" s="89">
        <f>SUM(E28*12)</f>
        <v>21637.199999999997</v>
      </c>
      <c r="G28" s="89">
        <v>4.58</v>
      </c>
      <c r="H28" s="90">
        <f t="shared" ref="H28" si="3">SUM(F28*G28/1000)</f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39" t="s">
        <v>81</v>
      </c>
      <c r="B29" s="139"/>
      <c r="C29" s="139"/>
      <c r="D29" s="139"/>
      <c r="E29" s="139"/>
      <c r="F29" s="139"/>
      <c r="G29" s="139"/>
      <c r="H29" s="139"/>
      <c r="I29" s="139"/>
      <c r="J29" s="23"/>
      <c r="K29" s="8"/>
      <c r="L29" s="8"/>
      <c r="M29" s="8"/>
    </row>
    <row r="30" spans="1:13" ht="15.75" hidden="1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hidden="1" customHeight="1">
      <c r="A31" s="45">
        <v>6</v>
      </c>
      <c r="B31" s="86" t="s">
        <v>134</v>
      </c>
      <c r="C31" s="87" t="s">
        <v>100</v>
      </c>
      <c r="D31" s="86" t="s">
        <v>101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4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hidden="1" customHeight="1">
      <c r="A32" s="45">
        <v>7</v>
      </c>
      <c r="B32" s="86" t="s">
        <v>135</v>
      </c>
      <c r="C32" s="87" t="s">
        <v>100</v>
      </c>
      <c r="D32" s="86" t="s">
        <v>102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4"/>
        <v>1.6379028900000001</v>
      </c>
      <c r="I32" s="13">
        <f t="shared" ref="I32:I35" si="5">F32/6*G32</f>
        <v>272.98381499999999</v>
      </c>
      <c r="J32" s="23"/>
      <c r="K32" s="8"/>
      <c r="L32" s="8"/>
      <c r="M32" s="8"/>
    </row>
    <row r="33" spans="1:14" ht="15.75" hidden="1" customHeight="1">
      <c r="A33" s="45">
        <v>16</v>
      </c>
      <c r="B33" s="86" t="s">
        <v>26</v>
      </c>
      <c r="C33" s="87" t="s">
        <v>100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4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hidden="1" customHeight="1">
      <c r="A34" s="45">
        <v>8</v>
      </c>
      <c r="B34" s="86" t="s">
        <v>103</v>
      </c>
      <c r="C34" s="87" t="s">
        <v>40</v>
      </c>
      <c r="D34" s="86" t="s">
        <v>63</v>
      </c>
      <c r="E34" s="89">
        <v>1</v>
      </c>
      <c r="F34" s="89">
        <f>E34*155/100</f>
        <v>1.55</v>
      </c>
      <c r="G34" s="89">
        <v>1620.15</v>
      </c>
      <c r="H34" s="90">
        <f t="shared" si="4"/>
        <v>2.5112325000000002</v>
      </c>
      <c r="I34" s="13">
        <f t="shared" si="5"/>
        <v>418.53875000000005</v>
      </c>
      <c r="J34" s="23"/>
      <c r="K34" s="8"/>
    </row>
    <row r="35" spans="1:14" ht="15.75" hidden="1" customHeight="1">
      <c r="A35" s="45">
        <v>9</v>
      </c>
      <c r="B35" s="86" t="s">
        <v>104</v>
      </c>
      <c r="C35" s="87" t="s">
        <v>29</v>
      </c>
      <c r="D35" s="86" t="s">
        <v>63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5"/>
        <v>607.42777777777781</v>
      </c>
      <c r="J35" s="24"/>
    </row>
    <row r="36" spans="1:14" ht="15.75" hidden="1" customHeight="1">
      <c r="A36" s="45">
        <v>4</v>
      </c>
      <c r="B36" s="86" t="s">
        <v>64</v>
      </c>
      <c r="C36" s="87" t="s">
        <v>32</v>
      </c>
      <c r="D36" s="86" t="s">
        <v>66</v>
      </c>
      <c r="E36" s="88"/>
      <c r="F36" s="89">
        <v>1</v>
      </c>
      <c r="G36" s="89">
        <v>238.07</v>
      </c>
      <c r="H36" s="90">
        <f t="shared" ref="H36:H37" si="6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65</v>
      </c>
      <c r="C37" s="87" t="s">
        <v>31</v>
      </c>
      <c r="D37" s="86" t="s">
        <v>66</v>
      </c>
      <c r="E37" s="88"/>
      <c r="F37" s="89">
        <v>1</v>
      </c>
      <c r="G37" s="89">
        <v>1413.96</v>
      </c>
      <c r="H37" s="90">
        <f t="shared" si="6"/>
        <v>1.4139600000000001</v>
      </c>
      <c r="I37" s="13">
        <v>0</v>
      </c>
      <c r="J37" s="24"/>
    </row>
    <row r="38" spans="1:14" ht="15.75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20.25" customHeight="1">
      <c r="A39" s="35">
        <v>4</v>
      </c>
      <c r="B39" s="86" t="s">
        <v>25</v>
      </c>
      <c r="C39" s="87" t="s">
        <v>31</v>
      </c>
      <c r="D39" s="86" t="s">
        <v>249</v>
      </c>
      <c r="E39" s="88"/>
      <c r="F39" s="89">
        <v>2</v>
      </c>
      <c r="G39" s="89">
        <v>1900.37</v>
      </c>
      <c r="H39" s="90">
        <f t="shared" ref="H39:H44" si="7">SUM(F39*G39/1000)</f>
        <v>3.8007399999999998</v>
      </c>
      <c r="I39" s="13">
        <f>G39*1</f>
        <v>1900.37</v>
      </c>
      <c r="J39" s="24"/>
    </row>
    <row r="40" spans="1:14" ht="15.75" customHeight="1">
      <c r="A40" s="35">
        <v>5</v>
      </c>
      <c r="B40" s="86" t="s">
        <v>67</v>
      </c>
      <c r="C40" s="67" t="s">
        <v>28</v>
      </c>
      <c r="D40" s="36" t="s">
        <v>164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7"/>
        <v>5.1217791749999995</v>
      </c>
      <c r="I40" s="13">
        <f t="shared" ref="I40:I42" si="8">F40/6*G40</f>
        <v>853.62986249999994</v>
      </c>
      <c r="J40" s="24"/>
    </row>
    <row r="41" spans="1:14" ht="15.75" customHeight="1">
      <c r="A41" s="35">
        <v>6</v>
      </c>
      <c r="B41" s="86" t="s">
        <v>68</v>
      </c>
      <c r="C41" s="44" t="s">
        <v>28</v>
      </c>
      <c r="D41" s="34" t="s">
        <v>165</v>
      </c>
      <c r="E41" s="33">
        <v>65.25</v>
      </c>
      <c r="F41" s="89">
        <f>SUM(E41*155/1000)</f>
        <v>10.11375</v>
      </c>
      <c r="G41" s="89">
        <v>436.45</v>
      </c>
      <c r="H41" s="90">
        <f t="shared" si="7"/>
        <v>4.4141461874999992</v>
      </c>
      <c r="I41" s="13">
        <f t="shared" si="8"/>
        <v>735.69103124999992</v>
      </c>
      <c r="J41" s="24"/>
    </row>
    <row r="42" spans="1:14" ht="46.5" customHeight="1">
      <c r="A42" s="35">
        <v>7</v>
      </c>
      <c r="B42" s="86" t="s">
        <v>80</v>
      </c>
      <c r="C42" s="44" t="s">
        <v>100</v>
      </c>
      <c r="D42" s="34" t="s">
        <v>166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7"/>
        <v>16.4914383375</v>
      </c>
      <c r="I42" s="13">
        <f t="shared" si="8"/>
        <v>2748.5730562499998</v>
      </c>
      <c r="J42" s="24"/>
      <c r="L42" s="20"/>
      <c r="M42" s="21"/>
      <c r="N42" s="22"/>
    </row>
    <row r="43" spans="1:14" ht="15.75" hidden="1" customHeight="1">
      <c r="A43" s="35">
        <v>8</v>
      </c>
      <c r="B43" s="86" t="s">
        <v>108</v>
      </c>
      <c r="C43" s="44" t="s">
        <v>100</v>
      </c>
      <c r="D43" s="34" t="s">
        <v>162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7"/>
        <v>0.69615225000000003</v>
      </c>
      <c r="I43" s="13">
        <f>G43*F43/20*2</f>
        <v>69.615224999999995</v>
      </c>
      <c r="J43" s="24"/>
      <c r="L43" s="20"/>
      <c r="M43" s="21"/>
      <c r="N43" s="22"/>
    </row>
    <row r="44" spans="1:14" ht="15.75" hidden="1" customHeight="1">
      <c r="A44" s="35">
        <v>9</v>
      </c>
      <c r="B44" s="86" t="s">
        <v>69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7"/>
        <v>0.49648500000000001</v>
      </c>
      <c r="I44" s="13">
        <f>G44*F44/20*2</f>
        <v>49.648499999999999</v>
      </c>
      <c r="J44" s="24"/>
      <c r="L44" s="20"/>
      <c r="M44" s="21"/>
      <c r="N44" s="22"/>
    </row>
    <row r="45" spans="1:14" ht="15.75" customHeight="1">
      <c r="A45" s="140" t="s">
        <v>130</v>
      </c>
      <c r="B45" s="141"/>
      <c r="C45" s="141"/>
      <c r="D45" s="141"/>
      <c r="E45" s="141"/>
      <c r="F45" s="141"/>
      <c r="G45" s="141"/>
      <c r="H45" s="141"/>
      <c r="I45" s="142"/>
      <c r="J45" s="24"/>
      <c r="L45" s="20"/>
      <c r="M45" s="21"/>
      <c r="N45" s="22"/>
    </row>
    <row r="46" spans="1:14" ht="15.75" hidden="1" customHeight="1">
      <c r="A46" s="45">
        <v>12</v>
      </c>
      <c r="B46" s="86" t="s">
        <v>110</v>
      </c>
      <c r="C46" s="87" t="s">
        <v>100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9">SUM(F46*G46/1000)</f>
        <v>2.635713456</v>
      </c>
      <c r="I46" s="13">
        <f t="shared" ref="I46:I49" si="10">F46/2*G46</f>
        <v>1317.856728</v>
      </c>
      <c r="J46" s="24"/>
      <c r="L46" s="20"/>
      <c r="M46" s="21"/>
      <c r="N46" s="22"/>
    </row>
    <row r="47" spans="1:14" ht="15.75" hidden="1" customHeight="1">
      <c r="A47" s="45">
        <v>13</v>
      </c>
      <c r="B47" s="86" t="s">
        <v>35</v>
      </c>
      <c r="C47" s="87" t="s">
        <v>100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9"/>
        <v>0.16602854400000003</v>
      </c>
      <c r="I47" s="13">
        <f t="shared" si="10"/>
        <v>83.01427200000002</v>
      </c>
      <c r="J47" s="24"/>
      <c r="L47" s="20"/>
      <c r="M47" s="21"/>
      <c r="N47" s="22"/>
    </row>
    <row r="48" spans="1:14" ht="15.75" hidden="1" customHeight="1">
      <c r="A48" s="45">
        <v>14</v>
      </c>
      <c r="B48" s="86" t="s">
        <v>36</v>
      </c>
      <c r="C48" s="87" t="s">
        <v>100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9"/>
        <v>2.2617645503999997</v>
      </c>
      <c r="I48" s="13">
        <f t="shared" si="10"/>
        <v>1130.8822751999999</v>
      </c>
      <c r="J48" s="24"/>
      <c r="L48" s="20"/>
      <c r="M48" s="21"/>
      <c r="N48" s="22"/>
    </row>
    <row r="49" spans="1:14" ht="15.75" hidden="1" customHeight="1">
      <c r="A49" s="45">
        <v>15</v>
      </c>
      <c r="B49" s="86" t="s">
        <v>37</v>
      </c>
      <c r="C49" s="87" t="s">
        <v>100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9"/>
        <v>2.7280312466000001</v>
      </c>
      <c r="I49" s="13">
        <f t="shared" si="10"/>
        <v>1364.0156233</v>
      </c>
      <c r="J49" s="24"/>
      <c r="L49" s="20"/>
      <c r="M49" s="21"/>
      <c r="N49" s="22"/>
    </row>
    <row r="50" spans="1:14" ht="15.75" hidden="1" customHeight="1">
      <c r="A50" s="45">
        <v>16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9"/>
        <v>2.7182999999999999E-2</v>
      </c>
      <c r="I50" s="13">
        <f>F50/2*G50</f>
        <v>13.5915</v>
      </c>
      <c r="J50" s="24"/>
      <c r="L50" s="20"/>
      <c r="M50" s="21"/>
      <c r="N50" s="22"/>
    </row>
    <row r="51" spans="1:14" ht="15.75" hidden="1" customHeight="1">
      <c r="A51" s="45">
        <v>17</v>
      </c>
      <c r="B51" s="86" t="s">
        <v>56</v>
      </c>
      <c r="C51" s="87" t="s">
        <v>100</v>
      </c>
      <c r="D51" s="86" t="s">
        <v>137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9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10</v>
      </c>
      <c r="B52" s="86" t="s">
        <v>111</v>
      </c>
      <c r="C52" s="87" t="s">
        <v>100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9"/>
        <v>5.4455783719999999</v>
      </c>
      <c r="I52" s="13">
        <f>F52/2*G52</f>
        <v>2722.789186</v>
      </c>
      <c r="J52" s="24"/>
      <c r="L52" s="20"/>
      <c r="M52" s="21"/>
      <c r="N52" s="22"/>
    </row>
    <row r="53" spans="1:14" ht="31.5" hidden="1" customHeight="1">
      <c r="A53" s="45">
        <v>11</v>
      </c>
      <c r="B53" s="86" t="s">
        <v>112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9"/>
        <v>0.69307200000000002</v>
      </c>
      <c r="I53" s="13">
        <f t="shared" ref="I53:I54" si="11">F53/2*G53</f>
        <v>346.536</v>
      </c>
      <c r="J53" s="24"/>
      <c r="L53" s="20"/>
      <c r="M53" s="21"/>
      <c r="N53" s="22"/>
    </row>
    <row r="54" spans="1:14" ht="15.75" hidden="1" customHeight="1">
      <c r="A54" s="45">
        <v>12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9"/>
        <v>0.1406626</v>
      </c>
      <c r="I54" s="13">
        <f t="shared" si="11"/>
        <v>70.331299999999999</v>
      </c>
      <c r="J54" s="24"/>
      <c r="L54" s="20"/>
      <c r="M54" s="21"/>
      <c r="N54" s="22"/>
    </row>
    <row r="55" spans="1:14" ht="15.75" customHeight="1">
      <c r="A55" s="45">
        <v>8</v>
      </c>
      <c r="B55" s="86" t="s">
        <v>136</v>
      </c>
      <c r="C55" s="87" t="s">
        <v>29</v>
      </c>
      <c r="D55" s="118">
        <v>44512</v>
      </c>
      <c r="E55" s="88">
        <v>36</v>
      </c>
      <c r="F55" s="89">
        <f>E55*3</f>
        <v>108</v>
      </c>
      <c r="G55" s="13">
        <v>175.6</v>
      </c>
      <c r="H55" s="90">
        <f t="shared" si="9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customHeight="1">
      <c r="A56" s="45">
        <v>9</v>
      </c>
      <c r="B56" s="86" t="s">
        <v>41</v>
      </c>
      <c r="C56" s="87" t="s">
        <v>29</v>
      </c>
      <c r="D56" s="118">
        <v>44512</v>
      </c>
      <c r="E56" s="88">
        <v>36</v>
      </c>
      <c r="F56" s="89">
        <f>SUM(E56)*3</f>
        <v>108</v>
      </c>
      <c r="G56" s="13">
        <v>81.73</v>
      </c>
      <c r="H56" s="90">
        <f t="shared" si="9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40" t="s">
        <v>131</v>
      </c>
      <c r="B57" s="141"/>
      <c r="C57" s="141"/>
      <c r="D57" s="141"/>
      <c r="E57" s="141"/>
      <c r="F57" s="141"/>
      <c r="G57" s="141"/>
      <c r="H57" s="141"/>
      <c r="I57" s="142"/>
      <c r="J57" s="24"/>
      <c r="L57" s="20"/>
      <c r="M57" s="21"/>
      <c r="N57" s="22"/>
    </row>
    <row r="58" spans="1:14" ht="15.75" hidden="1" customHeight="1">
      <c r="A58" s="85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hidden="1" customHeight="1">
      <c r="A59" s="45">
        <v>12</v>
      </c>
      <c r="B59" s="86" t="s">
        <v>114</v>
      </c>
      <c r="C59" s="87" t="s">
        <v>90</v>
      </c>
      <c r="D59" s="86" t="s">
        <v>71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83</v>
      </c>
      <c r="C60" s="97" t="s">
        <v>115</v>
      </c>
      <c r="D60" s="96" t="s">
        <v>66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83" t="s">
        <v>44</v>
      </c>
      <c r="C61" s="83"/>
      <c r="D61" s="83"/>
      <c r="E61" s="83"/>
      <c r="F61" s="83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83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11</v>
      </c>
      <c r="B64" s="15" t="s">
        <v>47</v>
      </c>
      <c r="C64" s="17" t="s">
        <v>113</v>
      </c>
      <c r="D64" s="15" t="s">
        <v>168</v>
      </c>
      <c r="E64" s="19">
        <v>1</v>
      </c>
      <c r="F64" s="89">
        <f>E64</f>
        <v>1</v>
      </c>
      <c r="G64" s="13">
        <v>276.74</v>
      </c>
      <c r="H64" s="102">
        <f t="shared" ref="H64:H72" si="12">SUM(F64*G64/1000)</f>
        <v>0.27673999999999999</v>
      </c>
      <c r="I64" s="13">
        <f>G64*1</f>
        <v>276.74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113</v>
      </c>
      <c r="D65" s="15" t="s">
        <v>66</v>
      </c>
      <c r="E65" s="19">
        <v>3</v>
      </c>
      <c r="F65" s="89">
        <v>3</v>
      </c>
      <c r="G65" s="13">
        <v>94.89</v>
      </c>
      <c r="H65" s="102">
        <f t="shared" si="12"/>
        <v>0.28467000000000003</v>
      </c>
      <c r="I65" s="13">
        <v>0</v>
      </c>
      <c r="J65" s="24"/>
      <c r="L65" s="20"/>
    </row>
    <row r="66" spans="1:22" ht="15.75" hidden="1" customHeight="1">
      <c r="A66" s="30">
        <v>28</v>
      </c>
      <c r="B66" s="15" t="s">
        <v>49</v>
      </c>
      <c r="C66" s="17" t="s">
        <v>116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12"/>
        <v>19.178873500000002</v>
      </c>
      <c r="I66" s="13">
        <f>F66*G66</f>
        <v>19178.873500000002</v>
      </c>
    </row>
    <row r="67" spans="1:22" ht="15.75" hidden="1" customHeight="1">
      <c r="A67" s="30">
        <v>29</v>
      </c>
      <c r="B67" s="15" t="s">
        <v>50</v>
      </c>
      <c r="C67" s="17" t="s">
        <v>117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12"/>
        <v>1.4934660500000001</v>
      </c>
      <c r="I67" s="13">
        <f t="shared" ref="I67:I70" si="13">F67*G67</f>
        <v>1493.46605</v>
      </c>
    </row>
    <row r="68" spans="1:22" ht="15.75" hidden="1" customHeight="1">
      <c r="A68" s="30">
        <v>30</v>
      </c>
      <c r="B68" s="15" t="s">
        <v>51</v>
      </c>
      <c r="C68" s="17" t="s">
        <v>76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12"/>
        <v>28.138677000000005</v>
      </c>
      <c r="I68" s="13">
        <f t="shared" si="13"/>
        <v>28138.677000000003</v>
      </c>
    </row>
    <row r="69" spans="1:22" ht="15.75" hidden="1" customHeight="1">
      <c r="A69" s="30">
        <v>31</v>
      </c>
      <c r="B69" s="103" t="s">
        <v>118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12"/>
        <v>0.35113000000000005</v>
      </c>
      <c r="I69" s="13">
        <f t="shared" si="13"/>
        <v>351.13000000000005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32</v>
      </c>
      <c r="B70" s="103" t="s">
        <v>138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12"/>
        <v>0.327598</v>
      </c>
      <c r="I70" s="13">
        <f t="shared" si="13"/>
        <v>327.59800000000001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18</v>
      </c>
      <c r="B71" s="15" t="s">
        <v>57</v>
      </c>
      <c r="C71" s="17" t="s">
        <v>58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12"/>
        <v>0.18621000000000001</v>
      </c>
      <c r="I71" s="13">
        <f>F71*G71</f>
        <v>186.21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10</v>
      </c>
      <c r="B72" s="15" t="s">
        <v>84</v>
      </c>
      <c r="C72" s="30" t="s">
        <v>119</v>
      </c>
      <c r="D72" s="15"/>
      <c r="E72" s="19">
        <v>1803.1</v>
      </c>
      <c r="F72" s="89">
        <f>SUM(E72*12)</f>
        <v>21637.199999999997</v>
      </c>
      <c r="G72" s="13">
        <v>2.16</v>
      </c>
      <c r="H72" s="102">
        <f t="shared" si="12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32"/>
      <c r="S72" s="132"/>
      <c r="T72" s="132"/>
      <c r="U72" s="132"/>
    </row>
    <row r="73" spans="1:22" ht="15.75" customHeight="1">
      <c r="A73" s="30"/>
      <c r="B73" s="53" t="s">
        <v>72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121</v>
      </c>
      <c r="C74" s="17" t="s">
        <v>122</v>
      </c>
      <c r="D74" s="15" t="s">
        <v>66</v>
      </c>
      <c r="E74" s="19">
        <v>1</v>
      </c>
      <c r="F74" s="13">
        <f>E74</f>
        <v>1</v>
      </c>
      <c r="G74" s="13">
        <v>976.4</v>
      </c>
      <c r="H74" s="102">
        <f t="shared" ref="H74:H78" si="14">SUM(F74*G74/1000)</f>
        <v>0.97639999999999993</v>
      </c>
      <c r="I74" s="13">
        <v>0</v>
      </c>
    </row>
    <row r="75" spans="1:22" ht="15.75" hidden="1" customHeight="1">
      <c r="A75" s="30"/>
      <c r="B75" s="15" t="s">
        <v>123</v>
      </c>
      <c r="C75" s="17" t="s">
        <v>124</v>
      </c>
      <c r="D75" s="15"/>
      <c r="E75" s="19">
        <v>1</v>
      </c>
      <c r="F75" s="13">
        <v>1</v>
      </c>
      <c r="G75" s="13">
        <v>650</v>
      </c>
      <c r="H75" s="102">
        <f t="shared" si="14"/>
        <v>0.65</v>
      </c>
      <c r="I75" s="13">
        <v>0</v>
      </c>
    </row>
    <row r="76" spans="1:22" ht="15.75" customHeight="1">
      <c r="A76" s="30">
        <v>11</v>
      </c>
      <c r="B76" s="15" t="s">
        <v>73</v>
      </c>
      <c r="C76" s="17" t="s">
        <v>30</v>
      </c>
      <c r="D76" s="15" t="s">
        <v>122</v>
      </c>
      <c r="E76" s="19">
        <v>3</v>
      </c>
      <c r="F76" s="13">
        <f>E76/10</f>
        <v>0.3</v>
      </c>
      <c r="G76" s="13">
        <v>624.16999999999996</v>
      </c>
      <c r="H76" s="102">
        <f t="shared" si="14"/>
        <v>0.18725099999999997</v>
      </c>
      <c r="I76" s="13">
        <f>G76*0.1</f>
        <v>62.417000000000002</v>
      </c>
    </row>
    <row r="77" spans="1:22" ht="15.75" hidden="1" customHeight="1">
      <c r="A77" s="30"/>
      <c r="B77" s="15" t="s">
        <v>74</v>
      </c>
      <c r="C77" s="17" t="s">
        <v>29</v>
      </c>
      <c r="D77" s="15" t="s">
        <v>66</v>
      </c>
      <c r="E77" s="19">
        <v>1</v>
      </c>
      <c r="F77" s="13">
        <v>1</v>
      </c>
      <c r="G77" s="13">
        <v>1061.4100000000001</v>
      </c>
      <c r="H77" s="102">
        <f t="shared" si="14"/>
        <v>1.0614100000000002</v>
      </c>
      <c r="I77" s="13">
        <v>0</v>
      </c>
    </row>
    <row r="78" spans="1:22" ht="15.75" hidden="1" customHeight="1">
      <c r="A78" s="30">
        <v>17</v>
      </c>
      <c r="B78" s="15" t="s">
        <v>85</v>
      </c>
      <c r="C78" s="17" t="s">
        <v>29</v>
      </c>
      <c r="D78" s="15" t="s">
        <v>66</v>
      </c>
      <c r="E78" s="19">
        <v>1</v>
      </c>
      <c r="F78" s="89">
        <f>SUM(E78)</f>
        <v>1</v>
      </c>
      <c r="G78" s="13">
        <v>446.12</v>
      </c>
      <c r="H78" s="102">
        <f t="shared" si="14"/>
        <v>0.44612000000000002</v>
      </c>
      <c r="I78" s="13">
        <v>0</v>
      </c>
    </row>
    <row r="79" spans="1:22" ht="15.75" hidden="1" customHeight="1">
      <c r="A79" s="30"/>
      <c r="B79" s="54" t="s">
        <v>75</v>
      </c>
      <c r="C79" s="42"/>
      <c r="D79" s="30"/>
      <c r="E79" s="30"/>
      <c r="F79" s="19"/>
      <c r="G79" s="40" t="s">
        <v>128</v>
      </c>
      <c r="H79" s="40"/>
      <c r="I79" s="19"/>
    </row>
    <row r="80" spans="1:22" ht="15.75" hidden="1" customHeight="1">
      <c r="A80" s="30">
        <v>39</v>
      </c>
      <c r="B80" s="56" t="s">
        <v>125</v>
      </c>
      <c r="C80" s="17" t="s">
        <v>76</v>
      </c>
      <c r="D80" s="15"/>
      <c r="E80" s="19"/>
      <c r="F80" s="13">
        <v>1.35</v>
      </c>
      <c r="G80" s="13">
        <v>3433.68</v>
      </c>
      <c r="H80" s="102">
        <f t="shared" ref="H80" si="15">SUM(F80*G80/1000)</f>
        <v>4.6354679999999995</v>
      </c>
      <c r="I80" s="13">
        <v>0</v>
      </c>
    </row>
    <row r="81" spans="1:21" ht="18.75" customHeight="1">
      <c r="A81" s="85"/>
      <c r="B81" s="83" t="s">
        <v>120</v>
      </c>
      <c r="C81" s="83"/>
      <c r="D81" s="83"/>
      <c r="E81" s="83"/>
      <c r="F81" s="83"/>
      <c r="G81" s="83"/>
      <c r="H81" s="83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7.25" customHeight="1">
      <c r="A82" s="30">
        <v>12</v>
      </c>
      <c r="B82" s="86" t="s">
        <v>87</v>
      </c>
      <c r="C82" s="17"/>
      <c r="D82" s="15"/>
      <c r="E82" s="104"/>
      <c r="F82" s="13">
        <v>1</v>
      </c>
      <c r="G82" s="13">
        <v>416</v>
      </c>
      <c r="H82" s="102">
        <f>G82*F82/1000</f>
        <v>0.41599999999999998</v>
      </c>
      <c r="I82" s="13">
        <f>G82*1</f>
        <v>416</v>
      </c>
    </row>
    <row r="83" spans="1:21" ht="15.75" customHeight="1">
      <c r="A83" s="125" t="s">
        <v>132</v>
      </c>
      <c r="B83" s="126"/>
      <c r="C83" s="126"/>
      <c r="D83" s="126"/>
      <c r="E83" s="126"/>
      <c r="F83" s="126"/>
      <c r="G83" s="126"/>
      <c r="H83" s="126"/>
      <c r="I83" s="127"/>
    </row>
    <row r="84" spans="1:21" ht="15.75" customHeight="1">
      <c r="A84" s="30">
        <v>13</v>
      </c>
      <c r="B84" s="86" t="s">
        <v>126</v>
      </c>
      <c r="C84" s="17" t="s">
        <v>55</v>
      </c>
      <c r="D84" s="105"/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14</v>
      </c>
      <c r="B85" s="15" t="s">
        <v>77</v>
      </c>
      <c r="C85" s="17"/>
      <c r="D85" s="105"/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85"/>
      <c r="B86" s="43" t="s">
        <v>79</v>
      </c>
      <c r="C86" s="45"/>
      <c r="D86" s="16"/>
      <c r="E86" s="16"/>
      <c r="F86" s="16"/>
      <c r="G86" s="19"/>
      <c r="H86" s="19"/>
      <c r="I86" s="32">
        <f>I85+I84+I82+I76+I72+I56+I55+I42+I41+I40+I39+I18+I17+I16</f>
        <v>36326.313229666659</v>
      </c>
    </row>
    <row r="87" spans="1:21" ht="15.75" customHeight="1">
      <c r="A87" s="128" t="s">
        <v>60</v>
      </c>
      <c r="B87" s="129"/>
      <c r="C87" s="129"/>
      <c r="D87" s="129"/>
      <c r="E87" s="129"/>
      <c r="F87" s="129"/>
      <c r="G87" s="129"/>
      <c r="H87" s="129"/>
      <c r="I87" s="130"/>
    </row>
    <row r="88" spans="1:21" ht="17.25" customHeight="1">
      <c r="A88" s="30">
        <v>15</v>
      </c>
      <c r="B88" s="41" t="s">
        <v>153</v>
      </c>
      <c r="C88" s="42" t="s">
        <v>154</v>
      </c>
      <c r="D88" s="46"/>
      <c r="E88" s="46"/>
      <c r="F88" s="46"/>
      <c r="G88" s="40">
        <v>1.4</v>
      </c>
      <c r="H88" s="46"/>
      <c r="I88" s="46">
        <f>G88*12</f>
        <v>16.799999999999997</v>
      </c>
    </row>
    <row r="89" spans="1:21" ht="31.5" customHeight="1">
      <c r="A89" s="30">
        <v>16</v>
      </c>
      <c r="B89" s="107" t="s">
        <v>157</v>
      </c>
      <c r="C89" s="108" t="s">
        <v>28</v>
      </c>
      <c r="D89" s="56"/>
      <c r="E89" s="40"/>
      <c r="F89" s="40"/>
      <c r="G89" s="113">
        <v>21369.24</v>
      </c>
      <c r="H89" s="112"/>
      <c r="I89" s="19">
        <f>G89*0.599*6/1000</f>
        <v>76.801048559999998</v>
      </c>
    </row>
    <row r="90" spans="1:21" ht="18" customHeight="1">
      <c r="A90" s="30">
        <v>17</v>
      </c>
      <c r="B90" s="124" t="s">
        <v>250</v>
      </c>
      <c r="C90" s="45" t="s">
        <v>86</v>
      </c>
      <c r="D90" s="41"/>
      <c r="E90" s="18"/>
      <c r="F90" s="40">
        <v>0.12</v>
      </c>
      <c r="G90" s="40">
        <v>3880.23</v>
      </c>
      <c r="H90" s="112"/>
      <c r="I90" s="19">
        <f>G90*0.12</f>
        <v>465.62759999999997</v>
      </c>
    </row>
    <row r="91" spans="1:21" ht="20.25" customHeight="1">
      <c r="A91" s="30">
        <v>18</v>
      </c>
      <c r="B91" s="114" t="s">
        <v>225</v>
      </c>
      <c r="C91" s="121" t="s">
        <v>28</v>
      </c>
      <c r="D91" s="41"/>
      <c r="E91" s="18"/>
      <c r="F91" s="40">
        <f>1.004*3</f>
        <v>3.012</v>
      </c>
      <c r="G91" s="40">
        <v>241.69</v>
      </c>
      <c r="H91" s="112"/>
      <c r="I91" s="19">
        <f>G91*1.004</f>
        <v>242.65675999999999</v>
      </c>
    </row>
    <row r="92" spans="1:21" ht="20.25" customHeight="1">
      <c r="A92" s="30">
        <v>19</v>
      </c>
      <c r="B92" s="114" t="s">
        <v>39</v>
      </c>
      <c r="C92" s="115" t="s">
        <v>238</v>
      </c>
      <c r="D92" s="41" t="s">
        <v>162</v>
      </c>
      <c r="E92" s="18"/>
      <c r="F92" s="40">
        <v>0.04</v>
      </c>
      <c r="G92" s="40">
        <v>8763.7900000000009</v>
      </c>
      <c r="H92" s="112"/>
      <c r="I92" s="19">
        <v>0</v>
      </c>
    </row>
    <row r="93" spans="1:21" ht="15.75" customHeight="1">
      <c r="A93" s="30"/>
      <c r="B93" s="50" t="s">
        <v>52</v>
      </c>
      <c r="C93" s="46"/>
      <c r="D93" s="58"/>
      <c r="E93" s="58"/>
      <c r="F93" s="46">
        <v>1</v>
      </c>
      <c r="G93" s="46"/>
      <c r="H93" s="46"/>
      <c r="I93" s="32">
        <f>SUM(I88:I92)</f>
        <v>801.88540855999997</v>
      </c>
    </row>
    <row r="94" spans="1:21" ht="15.75" customHeight="1">
      <c r="A94" s="30"/>
      <c r="B94" s="56" t="s">
        <v>78</v>
      </c>
      <c r="C94" s="16"/>
      <c r="D94" s="16"/>
      <c r="E94" s="16"/>
      <c r="F94" s="47"/>
      <c r="G94" s="48"/>
      <c r="H94" s="48"/>
      <c r="I94" s="18">
        <v>0</v>
      </c>
    </row>
    <row r="95" spans="1:21" ht="15.75" customHeight="1">
      <c r="A95" s="59"/>
      <c r="B95" s="51" t="s">
        <v>133</v>
      </c>
      <c r="C95" s="38"/>
      <c r="D95" s="38"/>
      <c r="E95" s="38"/>
      <c r="F95" s="38"/>
      <c r="G95" s="38"/>
      <c r="H95" s="38"/>
      <c r="I95" s="49">
        <f>I86+I93</f>
        <v>37128.198638226662</v>
      </c>
    </row>
    <row r="96" spans="1:21" ht="15.75" customHeight="1">
      <c r="A96" s="131" t="s">
        <v>251</v>
      </c>
      <c r="B96" s="131"/>
      <c r="C96" s="131"/>
      <c r="D96" s="131"/>
      <c r="E96" s="131"/>
      <c r="F96" s="131"/>
      <c r="G96" s="131"/>
      <c r="H96" s="131"/>
      <c r="I96" s="131"/>
    </row>
    <row r="97" spans="1:9" ht="15.75" customHeight="1">
      <c r="A97" s="72"/>
      <c r="B97" s="147" t="s">
        <v>252</v>
      </c>
      <c r="C97" s="147"/>
      <c r="D97" s="147"/>
      <c r="E97" s="147"/>
      <c r="F97" s="147"/>
      <c r="G97" s="147"/>
      <c r="H97" s="84"/>
      <c r="I97" s="3"/>
    </row>
    <row r="98" spans="1:9" ht="15.75" customHeight="1">
      <c r="A98" s="79"/>
      <c r="B98" s="143" t="s">
        <v>6</v>
      </c>
      <c r="C98" s="143"/>
      <c r="D98" s="143"/>
      <c r="E98" s="143"/>
      <c r="F98" s="143"/>
      <c r="G98" s="143"/>
      <c r="H98" s="25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51" t="s">
        <v>7</v>
      </c>
      <c r="B100" s="151"/>
      <c r="C100" s="151"/>
      <c r="D100" s="151"/>
      <c r="E100" s="151"/>
      <c r="F100" s="151"/>
      <c r="G100" s="151"/>
      <c r="H100" s="151"/>
      <c r="I100" s="151"/>
    </row>
    <row r="101" spans="1:9" ht="15.75" customHeight="1">
      <c r="A101" s="151" t="s">
        <v>8</v>
      </c>
      <c r="B101" s="151"/>
      <c r="C101" s="151"/>
      <c r="D101" s="151"/>
      <c r="E101" s="151"/>
      <c r="F101" s="151"/>
      <c r="G101" s="151"/>
      <c r="H101" s="151"/>
      <c r="I101" s="151"/>
    </row>
    <row r="102" spans="1:9" ht="15.75" customHeight="1">
      <c r="A102" s="148" t="s">
        <v>61</v>
      </c>
      <c r="B102" s="148"/>
      <c r="C102" s="148"/>
      <c r="D102" s="148"/>
      <c r="E102" s="148"/>
      <c r="F102" s="148"/>
      <c r="G102" s="148"/>
      <c r="H102" s="148"/>
      <c r="I102" s="148"/>
    </row>
    <row r="103" spans="1:9" ht="15.75" customHeight="1">
      <c r="A103" s="11"/>
    </row>
    <row r="104" spans="1:9" ht="15.75" customHeight="1">
      <c r="A104" s="149" t="s">
        <v>9</v>
      </c>
      <c r="B104" s="149"/>
      <c r="C104" s="149"/>
      <c r="D104" s="149"/>
      <c r="E104" s="149"/>
      <c r="F104" s="149"/>
      <c r="G104" s="149"/>
      <c r="H104" s="149"/>
      <c r="I104" s="149"/>
    </row>
    <row r="105" spans="1:9" ht="15.75" customHeight="1">
      <c r="A105" s="4"/>
    </row>
    <row r="106" spans="1:9" ht="15.75" customHeight="1">
      <c r="B106" s="78" t="s">
        <v>10</v>
      </c>
      <c r="C106" s="150" t="s">
        <v>182</v>
      </c>
      <c r="D106" s="150"/>
      <c r="E106" s="150"/>
      <c r="F106" s="150"/>
      <c r="I106" s="81"/>
    </row>
    <row r="107" spans="1:9" ht="15.75" customHeight="1">
      <c r="A107" s="79"/>
      <c r="C107" s="143" t="s">
        <v>11</v>
      </c>
      <c r="D107" s="143"/>
      <c r="E107" s="143"/>
      <c r="F107" s="143"/>
      <c r="I107" s="80" t="s">
        <v>12</v>
      </c>
    </row>
    <row r="108" spans="1:9" ht="15.75" customHeight="1">
      <c r="A108" s="26"/>
      <c r="C108" s="12"/>
      <c r="D108" s="12"/>
      <c r="E108" s="12"/>
      <c r="G108" s="12"/>
      <c r="H108" s="12"/>
    </row>
    <row r="109" spans="1:9" ht="15.75" customHeight="1">
      <c r="B109" s="78" t="s">
        <v>13</v>
      </c>
      <c r="C109" s="145"/>
      <c r="D109" s="145"/>
      <c r="E109" s="145"/>
      <c r="F109" s="145"/>
      <c r="I109" s="81"/>
    </row>
    <row r="110" spans="1:9" ht="15.75" customHeight="1">
      <c r="A110" s="79"/>
      <c r="C110" s="132" t="s">
        <v>11</v>
      </c>
      <c r="D110" s="132"/>
      <c r="E110" s="132"/>
      <c r="F110" s="132"/>
      <c r="I110" s="80" t="s">
        <v>12</v>
      </c>
    </row>
    <row r="111" spans="1:9" ht="15.75" customHeight="1">
      <c r="A111" s="4" t="s">
        <v>14</v>
      </c>
    </row>
    <row r="112" spans="1:9">
      <c r="A112" s="146" t="s">
        <v>15</v>
      </c>
      <c r="B112" s="146"/>
      <c r="C112" s="146"/>
      <c r="D112" s="146"/>
      <c r="E112" s="146"/>
      <c r="F112" s="146"/>
      <c r="G112" s="146"/>
      <c r="H112" s="146"/>
      <c r="I112" s="146"/>
    </row>
    <row r="113" spans="1:9" ht="45" customHeight="1">
      <c r="A113" s="144" t="s">
        <v>16</v>
      </c>
      <c r="B113" s="144"/>
      <c r="C113" s="144"/>
      <c r="D113" s="144"/>
      <c r="E113" s="144"/>
      <c r="F113" s="144"/>
      <c r="G113" s="144"/>
      <c r="H113" s="144"/>
      <c r="I113" s="144"/>
    </row>
    <row r="114" spans="1:9" ht="30" customHeight="1">
      <c r="A114" s="144" t="s">
        <v>17</v>
      </c>
      <c r="B114" s="144"/>
      <c r="C114" s="144"/>
      <c r="D114" s="144"/>
      <c r="E114" s="144"/>
      <c r="F114" s="144"/>
      <c r="G114" s="144"/>
      <c r="H114" s="144"/>
      <c r="I114" s="144"/>
    </row>
    <row r="115" spans="1:9" ht="30" customHeight="1">
      <c r="A115" s="144" t="s">
        <v>21</v>
      </c>
      <c r="B115" s="144"/>
      <c r="C115" s="144"/>
      <c r="D115" s="144"/>
      <c r="E115" s="144"/>
      <c r="F115" s="144"/>
      <c r="G115" s="144"/>
      <c r="H115" s="144"/>
      <c r="I115" s="144"/>
    </row>
    <row r="116" spans="1:9" ht="15" customHeight="1">
      <c r="A116" s="144" t="s">
        <v>20</v>
      </c>
      <c r="B116" s="144"/>
      <c r="C116" s="144"/>
      <c r="D116" s="144"/>
      <c r="E116" s="144"/>
      <c r="F116" s="144"/>
      <c r="G116" s="144"/>
      <c r="H116" s="144"/>
      <c r="I116" s="144"/>
    </row>
  </sheetData>
  <autoFilter ref="I12:I67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2:U72"/>
    <mergeCell ref="C110:F110"/>
    <mergeCell ref="A87:I87"/>
    <mergeCell ref="A96:I96"/>
    <mergeCell ref="B97:G97"/>
    <mergeCell ref="B98:G98"/>
    <mergeCell ref="A100:I100"/>
    <mergeCell ref="A101:I101"/>
    <mergeCell ref="A102:I102"/>
    <mergeCell ref="A104:I104"/>
    <mergeCell ref="C106:F106"/>
    <mergeCell ref="C107:F107"/>
    <mergeCell ref="C109:F109"/>
    <mergeCell ref="A83:I83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6"/>
  <sheetViews>
    <sheetView tabSelected="1" topLeftCell="A57" workbookViewId="0">
      <selection activeCell="A102" sqref="A102:I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155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3" t="s">
        <v>152</v>
      </c>
      <c r="B3" s="133"/>
      <c r="C3" s="133"/>
      <c r="D3" s="133"/>
      <c r="E3" s="133"/>
      <c r="F3" s="133"/>
      <c r="G3" s="133"/>
      <c r="H3" s="133"/>
      <c r="I3" s="133"/>
      <c r="J3" s="3"/>
      <c r="K3" s="3"/>
      <c r="L3" s="3"/>
    </row>
    <row r="4" spans="1:13" ht="31.5" customHeight="1">
      <c r="A4" s="134" t="s">
        <v>127</v>
      </c>
      <c r="B4" s="134"/>
      <c r="C4" s="134"/>
      <c r="D4" s="134"/>
      <c r="E4" s="134"/>
      <c r="F4" s="134"/>
      <c r="G4" s="134"/>
      <c r="H4" s="134"/>
      <c r="I4" s="134"/>
    </row>
    <row r="5" spans="1:13" ht="15.75" customHeight="1">
      <c r="A5" s="133" t="s">
        <v>253</v>
      </c>
      <c r="B5" s="137"/>
      <c r="C5" s="137"/>
      <c r="D5" s="137"/>
      <c r="E5" s="137"/>
      <c r="F5" s="137"/>
      <c r="G5" s="137"/>
      <c r="H5" s="137"/>
      <c r="I5" s="137"/>
      <c r="J5" s="2"/>
      <c r="K5" s="2"/>
      <c r="L5" s="2"/>
      <c r="M5" s="2"/>
    </row>
    <row r="6" spans="1:13" ht="15.75" customHeight="1">
      <c r="A6" s="2"/>
      <c r="B6" s="82"/>
      <c r="C6" s="82"/>
      <c r="D6" s="82"/>
      <c r="E6" s="82"/>
      <c r="F6" s="82"/>
      <c r="G6" s="82"/>
      <c r="H6" s="82"/>
      <c r="I6" s="31">
        <v>44561</v>
      </c>
      <c r="J6" s="2"/>
      <c r="K6" s="2"/>
      <c r="L6" s="2"/>
      <c r="M6" s="2"/>
    </row>
    <row r="7" spans="1:13" ht="15.75" customHeight="1">
      <c r="B7" s="78"/>
      <c r="C7" s="78"/>
      <c r="D7" s="78"/>
      <c r="E7" s="78"/>
      <c r="F7" s="3"/>
      <c r="G7" s="3"/>
      <c r="H7" s="3"/>
      <c r="J7" s="3"/>
      <c r="K7" s="3"/>
      <c r="L7" s="3"/>
      <c r="M7" s="3"/>
    </row>
    <row r="8" spans="1:13" ht="78.75" customHeight="1">
      <c r="A8" s="135" t="s">
        <v>181</v>
      </c>
      <c r="B8" s="135"/>
      <c r="C8" s="135"/>
      <c r="D8" s="135"/>
      <c r="E8" s="135"/>
      <c r="F8" s="135"/>
      <c r="G8" s="135"/>
      <c r="H8" s="135"/>
      <c r="I8" s="13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6" t="s">
        <v>129</v>
      </c>
      <c r="B10" s="136"/>
      <c r="C10" s="136"/>
      <c r="D10" s="136"/>
      <c r="E10" s="136"/>
      <c r="F10" s="136"/>
      <c r="G10" s="136"/>
      <c r="H10" s="136"/>
      <c r="I10" s="13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8" t="s">
        <v>59</v>
      </c>
      <c r="B14" s="138"/>
      <c r="C14" s="138"/>
      <c r="D14" s="138"/>
      <c r="E14" s="138"/>
      <c r="F14" s="138"/>
      <c r="G14" s="138"/>
      <c r="H14" s="138"/>
      <c r="I14" s="138"/>
      <c r="J14" s="8"/>
      <c r="K14" s="8"/>
      <c r="L14" s="8"/>
      <c r="M14" s="8"/>
    </row>
    <row r="15" spans="1:13" ht="15.75" customHeight="1">
      <c r="A15" s="139" t="s">
        <v>4</v>
      </c>
      <c r="B15" s="139"/>
      <c r="C15" s="139"/>
      <c r="D15" s="139"/>
      <c r="E15" s="139"/>
      <c r="F15" s="139"/>
      <c r="G15" s="139"/>
      <c r="H15" s="139"/>
      <c r="I15" s="139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90</v>
      </c>
      <c r="D16" s="86" t="s">
        <v>160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88</v>
      </c>
      <c r="C17" s="87" t="s">
        <v>90</v>
      </c>
      <c r="D17" s="86" t="s">
        <v>161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89</v>
      </c>
      <c r="C18" s="87" t="s">
        <v>90</v>
      </c>
      <c r="D18" s="86" t="s">
        <v>162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91</v>
      </c>
      <c r="C19" s="87" t="s">
        <v>86</v>
      </c>
      <c r="D19" s="86" t="s">
        <v>92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93</v>
      </c>
      <c r="C20" s="87" t="s">
        <v>90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94</v>
      </c>
      <c r="C21" s="87" t="s">
        <v>90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95</v>
      </c>
      <c r="C22" s="87" t="s">
        <v>53</v>
      </c>
      <c r="D22" s="86" t="s">
        <v>92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96</v>
      </c>
      <c r="C23" s="87" t="s">
        <v>53</v>
      </c>
      <c r="D23" s="86" t="s">
        <v>92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97</v>
      </c>
      <c r="C24" s="87" t="s">
        <v>53</v>
      </c>
      <c r="D24" s="86" t="s">
        <v>92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98</v>
      </c>
      <c r="C25" s="87" t="s">
        <v>53</v>
      </c>
      <c r="D25" s="86" t="s">
        <v>92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99</v>
      </c>
      <c r="C26" s="87" t="s">
        <v>53</v>
      </c>
      <c r="D26" s="86" t="s">
        <v>92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hidden="1" customHeight="1">
      <c r="A27" s="30">
        <v>4</v>
      </c>
      <c r="B27" s="34" t="s">
        <v>159</v>
      </c>
      <c r="C27" s="44" t="s">
        <v>154</v>
      </c>
      <c r="D27" s="34" t="s">
        <v>163</v>
      </c>
      <c r="E27" s="117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hidden="1" customHeight="1">
      <c r="A28" s="30">
        <v>5</v>
      </c>
      <c r="B28" s="93" t="s">
        <v>23</v>
      </c>
      <c r="C28" s="87" t="s">
        <v>24</v>
      </c>
      <c r="D28" s="86"/>
      <c r="E28" s="88">
        <v>1803.1</v>
      </c>
      <c r="F28" s="89">
        <f>SUM(E28*12)</f>
        <v>21637.199999999997</v>
      </c>
      <c r="G28" s="89">
        <v>4.58</v>
      </c>
      <c r="H28" s="90">
        <f t="shared" ref="H28" si="3">SUM(F28*G28/1000)</f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39" t="s">
        <v>81</v>
      </c>
      <c r="B29" s="139"/>
      <c r="C29" s="139"/>
      <c r="D29" s="139"/>
      <c r="E29" s="139"/>
      <c r="F29" s="139"/>
      <c r="G29" s="139"/>
      <c r="H29" s="139"/>
      <c r="I29" s="139"/>
      <c r="J29" s="23"/>
      <c r="K29" s="8"/>
      <c r="L29" s="8"/>
      <c r="M29" s="8"/>
    </row>
    <row r="30" spans="1:13" ht="15.75" hidden="1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hidden="1" customHeight="1">
      <c r="A31" s="45">
        <v>6</v>
      </c>
      <c r="B31" s="86" t="s">
        <v>134</v>
      </c>
      <c r="C31" s="87" t="s">
        <v>100</v>
      </c>
      <c r="D31" s="86" t="s">
        <v>101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4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hidden="1" customHeight="1">
      <c r="A32" s="45">
        <v>7</v>
      </c>
      <c r="B32" s="86" t="s">
        <v>135</v>
      </c>
      <c r="C32" s="87" t="s">
        <v>100</v>
      </c>
      <c r="D32" s="86" t="s">
        <v>102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4"/>
        <v>1.6379028900000001</v>
      </c>
      <c r="I32" s="13">
        <f t="shared" ref="I32:I35" si="5">F32/6*G32</f>
        <v>272.98381499999999</v>
      </c>
      <c r="J32" s="23"/>
      <c r="K32" s="8"/>
      <c r="L32" s="8"/>
      <c r="M32" s="8"/>
    </row>
    <row r="33" spans="1:14" ht="15.75" hidden="1" customHeight="1">
      <c r="A33" s="45">
        <v>16</v>
      </c>
      <c r="B33" s="86" t="s">
        <v>26</v>
      </c>
      <c r="C33" s="87" t="s">
        <v>100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4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hidden="1" customHeight="1">
      <c r="A34" s="45">
        <v>8</v>
      </c>
      <c r="B34" s="86" t="s">
        <v>103</v>
      </c>
      <c r="C34" s="87" t="s">
        <v>40</v>
      </c>
      <c r="D34" s="86" t="s">
        <v>63</v>
      </c>
      <c r="E34" s="89">
        <v>1</v>
      </c>
      <c r="F34" s="89">
        <f>E34*155/100</f>
        <v>1.55</v>
      </c>
      <c r="G34" s="89">
        <v>1620.15</v>
      </c>
      <c r="H34" s="90">
        <f t="shared" si="4"/>
        <v>2.5112325000000002</v>
      </c>
      <c r="I34" s="13">
        <f t="shared" si="5"/>
        <v>418.53875000000005</v>
      </c>
      <c r="J34" s="23"/>
      <c r="K34" s="8"/>
    </row>
    <row r="35" spans="1:14" ht="15.75" hidden="1" customHeight="1">
      <c r="A35" s="45">
        <v>9</v>
      </c>
      <c r="B35" s="86" t="s">
        <v>104</v>
      </c>
      <c r="C35" s="87" t="s">
        <v>29</v>
      </c>
      <c r="D35" s="86" t="s">
        <v>63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5"/>
        <v>607.42777777777781</v>
      </c>
      <c r="J35" s="24"/>
    </row>
    <row r="36" spans="1:14" ht="15.75" hidden="1" customHeight="1">
      <c r="A36" s="45">
        <v>4</v>
      </c>
      <c r="B36" s="86" t="s">
        <v>64</v>
      </c>
      <c r="C36" s="87" t="s">
        <v>32</v>
      </c>
      <c r="D36" s="86" t="s">
        <v>66</v>
      </c>
      <c r="E36" s="88"/>
      <c r="F36" s="89">
        <v>1</v>
      </c>
      <c r="G36" s="89">
        <v>238.07</v>
      </c>
      <c r="H36" s="90">
        <f t="shared" ref="H36:H37" si="6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65</v>
      </c>
      <c r="C37" s="87" t="s">
        <v>31</v>
      </c>
      <c r="D37" s="86" t="s">
        <v>66</v>
      </c>
      <c r="E37" s="88"/>
      <c r="F37" s="89">
        <v>1</v>
      </c>
      <c r="G37" s="89">
        <v>1413.96</v>
      </c>
      <c r="H37" s="90">
        <f t="shared" si="6"/>
        <v>1.4139600000000001</v>
      </c>
      <c r="I37" s="13">
        <v>0</v>
      </c>
      <c r="J37" s="24"/>
    </row>
    <row r="38" spans="1:14" ht="15.75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customHeight="1">
      <c r="A39" s="35">
        <v>4</v>
      </c>
      <c r="B39" s="86" t="s">
        <v>25</v>
      </c>
      <c r="C39" s="87" t="s">
        <v>31</v>
      </c>
      <c r="D39" s="86" t="s">
        <v>254</v>
      </c>
      <c r="E39" s="88"/>
      <c r="F39" s="89">
        <v>2</v>
      </c>
      <c r="G39" s="89">
        <v>1900.37</v>
      </c>
      <c r="H39" s="90">
        <f t="shared" ref="H39" si="7">SUM(F39*G39/1000)</f>
        <v>3.8007399999999998</v>
      </c>
      <c r="I39" s="13">
        <f>G39*1.5</f>
        <v>2850.5549999999998</v>
      </c>
      <c r="J39" s="24"/>
    </row>
    <row r="40" spans="1:14" ht="15.75" customHeight="1">
      <c r="A40" s="35">
        <v>5</v>
      </c>
      <c r="B40" s="86" t="s">
        <v>67</v>
      </c>
      <c r="C40" s="67" t="s">
        <v>28</v>
      </c>
      <c r="D40" s="36" t="s">
        <v>164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ref="H40:H44" si="8">SUM(F40*G40/1000)</f>
        <v>5.1217791749999995</v>
      </c>
      <c r="I40" s="13">
        <f t="shared" ref="I40:I42" si="9">F40/6*G40</f>
        <v>853.62986249999994</v>
      </c>
      <c r="J40" s="24"/>
    </row>
    <row r="41" spans="1:14" ht="15.75" customHeight="1">
      <c r="A41" s="35">
        <v>6</v>
      </c>
      <c r="B41" s="86" t="s">
        <v>68</v>
      </c>
      <c r="C41" s="44" t="s">
        <v>28</v>
      </c>
      <c r="D41" s="34" t="s">
        <v>165</v>
      </c>
      <c r="E41" s="33">
        <v>65.25</v>
      </c>
      <c r="F41" s="89">
        <f>SUM(E41*155/1000)</f>
        <v>10.11375</v>
      </c>
      <c r="G41" s="89">
        <v>436.45</v>
      </c>
      <c r="H41" s="90">
        <f t="shared" si="8"/>
        <v>4.4141461874999992</v>
      </c>
      <c r="I41" s="13">
        <f t="shared" si="9"/>
        <v>735.69103124999992</v>
      </c>
      <c r="J41" s="24"/>
    </row>
    <row r="42" spans="1:14" ht="46.5" customHeight="1">
      <c r="A42" s="35">
        <v>7</v>
      </c>
      <c r="B42" s="86" t="s">
        <v>80</v>
      </c>
      <c r="C42" s="44" t="s">
        <v>100</v>
      </c>
      <c r="D42" s="34" t="s">
        <v>166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8"/>
        <v>16.4914383375</v>
      </c>
      <c r="I42" s="13">
        <f t="shared" si="9"/>
        <v>2748.5730562499998</v>
      </c>
      <c r="J42" s="24"/>
      <c r="L42" s="20"/>
      <c r="M42" s="21"/>
      <c r="N42" s="22"/>
    </row>
    <row r="43" spans="1:14" ht="15.75" hidden="1" customHeight="1">
      <c r="A43" s="35">
        <v>9</v>
      </c>
      <c r="B43" s="86" t="s">
        <v>108</v>
      </c>
      <c r="C43" s="44" t="s">
        <v>100</v>
      </c>
      <c r="D43" s="34" t="s">
        <v>167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8"/>
        <v>0.69615225000000003</v>
      </c>
      <c r="I43" s="13">
        <f>F43/7.5*G43</f>
        <v>92.820300000000003</v>
      </c>
      <c r="J43" s="24"/>
      <c r="L43" s="20"/>
      <c r="M43" s="21"/>
      <c r="N43" s="22"/>
    </row>
    <row r="44" spans="1:14" ht="15.75" hidden="1" customHeight="1">
      <c r="A44" s="35">
        <v>10</v>
      </c>
      <c r="B44" s="86" t="s">
        <v>69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8"/>
        <v>0.49648500000000001</v>
      </c>
      <c r="I44" s="13">
        <f>F44/7.5*G44</f>
        <v>66.198000000000008</v>
      </c>
      <c r="J44" s="24"/>
      <c r="L44" s="20"/>
      <c r="M44" s="21"/>
      <c r="N44" s="22"/>
    </row>
    <row r="45" spans="1:14" ht="15.75" customHeight="1">
      <c r="A45" s="140" t="s">
        <v>130</v>
      </c>
      <c r="B45" s="141"/>
      <c r="C45" s="141"/>
      <c r="D45" s="141"/>
      <c r="E45" s="141"/>
      <c r="F45" s="141"/>
      <c r="G45" s="141"/>
      <c r="H45" s="141"/>
      <c r="I45" s="142"/>
      <c r="J45" s="24"/>
      <c r="L45" s="20"/>
      <c r="M45" s="21"/>
      <c r="N45" s="22"/>
    </row>
    <row r="46" spans="1:14" ht="15.75" hidden="1" customHeight="1">
      <c r="A46" s="45">
        <v>12</v>
      </c>
      <c r="B46" s="86" t="s">
        <v>110</v>
      </c>
      <c r="C46" s="87" t="s">
        <v>100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10">SUM(F46*G46/1000)</f>
        <v>2.635713456</v>
      </c>
      <c r="I46" s="13">
        <f t="shared" ref="I46:I49" si="11">F46/2*G46</f>
        <v>1317.856728</v>
      </c>
      <c r="J46" s="24"/>
      <c r="L46" s="20"/>
      <c r="M46" s="21"/>
      <c r="N46" s="22"/>
    </row>
    <row r="47" spans="1:14" ht="15.75" hidden="1" customHeight="1">
      <c r="A47" s="45">
        <v>13</v>
      </c>
      <c r="B47" s="86" t="s">
        <v>35</v>
      </c>
      <c r="C47" s="87" t="s">
        <v>100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10"/>
        <v>0.16602854400000003</v>
      </c>
      <c r="I47" s="13">
        <f t="shared" si="11"/>
        <v>83.01427200000002</v>
      </c>
      <c r="J47" s="24"/>
      <c r="L47" s="20"/>
      <c r="M47" s="21"/>
      <c r="N47" s="22"/>
    </row>
    <row r="48" spans="1:14" ht="15.75" hidden="1" customHeight="1">
      <c r="A48" s="45">
        <v>14</v>
      </c>
      <c r="B48" s="86" t="s">
        <v>36</v>
      </c>
      <c r="C48" s="87" t="s">
        <v>100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10"/>
        <v>2.2617645503999997</v>
      </c>
      <c r="I48" s="13">
        <f t="shared" si="11"/>
        <v>1130.8822751999999</v>
      </c>
      <c r="J48" s="24"/>
      <c r="L48" s="20"/>
      <c r="M48" s="21"/>
      <c r="N48" s="22"/>
    </row>
    <row r="49" spans="1:14" ht="15.75" hidden="1" customHeight="1">
      <c r="A49" s="45">
        <v>15</v>
      </c>
      <c r="B49" s="86" t="s">
        <v>37</v>
      </c>
      <c r="C49" s="87" t="s">
        <v>100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10"/>
        <v>2.7280312466000001</v>
      </c>
      <c r="I49" s="13">
        <f t="shared" si="11"/>
        <v>1364.0156233</v>
      </c>
      <c r="J49" s="24"/>
      <c r="L49" s="20"/>
      <c r="M49" s="21"/>
      <c r="N49" s="22"/>
    </row>
    <row r="50" spans="1:14" ht="15.75" hidden="1" customHeight="1">
      <c r="A50" s="45">
        <v>16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10"/>
        <v>2.7182999999999999E-2</v>
      </c>
      <c r="I50" s="13">
        <f>F50/2*G50</f>
        <v>13.5915</v>
      </c>
      <c r="J50" s="24"/>
      <c r="L50" s="20"/>
      <c r="M50" s="21"/>
      <c r="N50" s="22"/>
    </row>
    <row r="51" spans="1:14" ht="15.75" customHeight="1">
      <c r="A51" s="45">
        <v>8</v>
      </c>
      <c r="B51" s="86" t="s">
        <v>56</v>
      </c>
      <c r="C51" s="87" t="s">
        <v>100</v>
      </c>
      <c r="D51" s="86" t="s">
        <v>168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10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10</v>
      </c>
      <c r="B52" s="86" t="s">
        <v>111</v>
      </c>
      <c r="C52" s="87" t="s">
        <v>100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10"/>
        <v>5.4455783719999999</v>
      </c>
      <c r="I52" s="13">
        <f>F52/2*G52</f>
        <v>2722.789186</v>
      </c>
      <c r="J52" s="24"/>
      <c r="L52" s="20"/>
      <c r="M52" s="21"/>
      <c r="N52" s="22"/>
    </row>
    <row r="53" spans="1:14" ht="31.5" hidden="1" customHeight="1">
      <c r="A53" s="45">
        <v>11</v>
      </c>
      <c r="B53" s="86" t="s">
        <v>112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10"/>
        <v>0.69307200000000002</v>
      </c>
      <c r="I53" s="13">
        <f t="shared" ref="I53:I54" si="12">F53/2*G53</f>
        <v>346.536</v>
      </c>
      <c r="J53" s="24"/>
      <c r="L53" s="20"/>
      <c r="M53" s="21"/>
      <c r="N53" s="22"/>
    </row>
    <row r="54" spans="1:14" ht="15.75" hidden="1" customHeight="1">
      <c r="A54" s="45">
        <v>12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10"/>
        <v>0.1406626</v>
      </c>
      <c r="I54" s="13">
        <f t="shared" si="12"/>
        <v>70.331299999999999</v>
      </c>
      <c r="J54" s="24"/>
      <c r="L54" s="20"/>
      <c r="M54" s="21"/>
      <c r="N54" s="22"/>
    </row>
    <row r="55" spans="1:14" ht="15.75" hidden="1" customHeight="1">
      <c r="A55" s="45">
        <v>13</v>
      </c>
      <c r="B55" s="86" t="s">
        <v>136</v>
      </c>
      <c r="C55" s="87" t="s">
        <v>29</v>
      </c>
      <c r="D55" s="86" t="s">
        <v>70</v>
      </c>
      <c r="E55" s="88">
        <v>36</v>
      </c>
      <c r="F55" s="89">
        <f>E55*3</f>
        <v>108</v>
      </c>
      <c r="G55" s="13">
        <v>175.6</v>
      </c>
      <c r="H55" s="90">
        <f t="shared" si="10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hidden="1" customHeight="1">
      <c r="A56" s="45">
        <v>14</v>
      </c>
      <c r="B56" s="86" t="s">
        <v>41</v>
      </c>
      <c r="C56" s="87" t="s">
        <v>29</v>
      </c>
      <c r="D56" s="86" t="s">
        <v>70</v>
      </c>
      <c r="E56" s="88">
        <v>36</v>
      </c>
      <c r="F56" s="89">
        <f>SUM(E56)*3</f>
        <v>108</v>
      </c>
      <c r="G56" s="13">
        <v>81.73</v>
      </c>
      <c r="H56" s="90">
        <f t="shared" si="10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40" t="s">
        <v>131</v>
      </c>
      <c r="B57" s="141"/>
      <c r="C57" s="141"/>
      <c r="D57" s="141"/>
      <c r="E57" s="141"/>
      <c r="F57" s="141"/>
      <c r="G57" s="141"/>
      <c r="H57" s="141"/>
      <c r="I57" s="142"/>
      <c r="J57" s="24"/>
      <c r="L57" s="20"/>
      <c r="M57" s="21"/>
      <c r="N57" s="22"/>
    </row>
    <row r="58" spans="1:14" ht="15.75" hidden="1" customHeight="1">
      <c r="A58" s="85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hidden="1" customHeight="1">
      <c r="A59" s="45">
        <v>12</v>
      </c>
      <c r="B59" s="86" t="s">
        <v>114</v>
      </c>
      <c r="C59" s="87" t="s">
        <v>90</v>
      </c>
      <c r="D59" s="86"/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G59*0.344</f>
        <v>793.47727999999995</v>
      </c>
      <c r="J59" s="24"/>
      <c r="L59" s="20"/>
      <c r="M59" s="21"/>
      <c r="N59" s="22"/>
    </row>
    <row r="60" spans="1:14" ht="15.75" hidden="1" customHeight="1">
      <c r="A60" s="45"/>
      <c r="B60" s="96" t="s">
        <v>83</v>
      </c>
      <c r="C60" s="97" t="s">
        <v>115</v>
      </c>
      <c r="D60" s="96"/>
      <c r="E60" s="98"/>
      <c r="F60" s="99">
        <v>2</v>
      </c>
      <c r="G60" s="100">
        <v>1501</v>
      </c>
      <c r="H60" s="90">
        <f>F60*G60/1000</f>
        <v>3.0019999999999998</v>
      </c>
      <c r="I60" s="13">
        <f>G60*2</f>
        <v>3002</v>
      </c>
      <c r="J60" s="24"/>
      <c r="L60" s="20"/>
      <c r="M60" s="21"/>
      <c r="N60" s="22"/>
    </row>
    <row r="61" spans="1:14" ht="15.75" hidden="1" customHeight="1">
      <c r="A61" s="45"/>
      <c r="B61" s="83" t="s">
        <v>44</v>
      </c>
      <c r="C61" s="83"/>
      <c r="D61" s="83"/>
      <c r="E61" s="83"/>
      <c r="F61" s="83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83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12</v>
      </c>
      <c r="B64" s="15" t="s">
        <v>47</v>
      </c>
      <c r="C64" s="17" t="s">
        <v>113</v>
      </c>
      <c r="D64" s="15" t="s">
        <v>66</v>
      </c>
      <c r="E64" s="19">
        <v>1</v>
      </c>
      <c r="F64" s="89">
        <f>E64</f>
        <v>1</v>
      </c>
      <c r="G64" s="13">
        <v>276.74</v>
      </c>
      <c r="H64" s="102">
        <f t="shared" ref="H64:H72" si="13">SUM(F64*G64/1000)</f>
        <v>0.27673999999999999</v>
      </c>
      <c r="I64" s="13">
        <f>G64</f>
        <v>276.74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113</v>
      </c>
      <c r="D65" s="15" t="s">
        <v>66</v>
      </c>
      <c r="E65" s="19">
        <v>3</v>
      </c>
      <c r="F65" s="89">
        <v>3</v>
      </c>
      <c r="G65" s="13">
        <v>94.89</v>
      </c>
      <c r="H65" s="102">
        <f t="shared" si="13"/>
        <v>0.28467000000000003</v>
      </c>
      <c r="I65" s="13">
        <v>0</v>
      </c>
      <c r="J65" s="24"/>
      <c r="L65" s="20"/>
    </row>
    <row r="66" spans="1:22" ht="15.75" hidden="1" customHeight="1">
      <c r="A66" s="30">
        <v>28</v>
      </c>
      <c r="B66" s="15" t="s">
        <v>49</v>
      </c>
      <c r="C66" s="17" t="s">
        <v>116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13"/>
        <v>19.178873500000002</v>
      </c>
      <c r="I66" s="13">
        <f>F66*G66</f>
        <v>19178.873500000002</v>
      </c>
    </row>
    <row r="67" spans="1:22" ht="15.75" hidden="1" customHeight="1">
      <c r="A67" s="30">
        <v>29</v>
      </c>
      <c r="B67" s="15" t="s">
        <v>50</v>
      </c>
      <c r="C67" s="17" t="s">
        <v>117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13"/>
        <v>1.4934660500000001</v>
      </c>
      <c r="I67" s="13">
        <f t="shared" ref="I67:I70" si="14">F67*G67</f>
        <v>1493.46605</v>
      </c>
    </row>
    <row r="68" spans="1:22" ht="15.75" hidden="1" customHeight="1">
      <c r="A68" s="30">
        <v>30</v>
      </c>
      <c r="B68" s="15" t="s">
        <v>51</v>
      </c>
      <c r="C68" s="17" t="s">
        <v>76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13"/>
        <v>28.138677000000005</v>
      </c>
      <c r="I68" s="13">
        <f t="shared" si="14"/>
        <v>28138.677000000003</v>
      </c>
    </row>
    <row r="69" spans="1:22" ht="15.75" hidden="1" customHeight="1">
      <c r="A69" s="30">
        <v>31</v>
      </c>
      <c r="B69" s="103" t="s">
        <v>118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13"/>
        <v>0.35113000000000005</v>
      </c>
      <c r="I69" s="13">
        <f t="shared" si="14"/>
        <v>351.13000000000005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32</v>
      </c>
      <c r="B70" s="103" t="s">
        <v>138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13"/>
        <v>0.327598</v>
      </c>
      <c r="I70" s="13">
        <f t="shared" si="14"/>
        <v>327.59800000000001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18</v>
      </c>
      <c r="B71" s="15" t="s">
        <v>57</v>
      </c>
      <c r="C71" s="17" t="s">
        <v>58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13"/>
        <v>0.18621000000000001</v>
      </c>
      <c r="I71" s="13">
        <f>F71*G71</f>
        <v>186.21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9</v>
      </c>
      <c r="B72" s="15" t="s">
        <v>84</v>
      </c>
      <c r="C72" s="30" t="s">
        <v>119</v>
      </c>
      <c r="D72" s="15"/>
      <c r="E72" s="19">
        <v>1803.1</v>
      </c>
      <c r="F72" s="89">
        <f>SUM(E72*12)</f>
        <v>21637.199999999997</v>
      </c>
      <c r="G72" s="13">
        <v>2.16</v>
      </c>
      <c r="H72" s="102">
        <f t="shared" si="13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32"/>
      <c r="S72" s="132"/>
      <c r="T72" s="132"/>
      <c r="U72" s="132"/>
    </row>
    <row r="73" spans="1:22" ht="15.75" hidden="1" customHeight="1">
      <c r="A73" s="30"/>
      <c r="B73" s="53" t="s">
        <v>72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121</v>
      </c>
      <c r="C74" s="17" t="s">
        <v>122</v>
      </c>
      <c r="D74" s="15" t="s">
        <v>66</v>
      </c>
      <c r="E74" s="19">
        <v>1</v>
      </c>
      <c r="F74" s="13">
        <f>E74</f>
        <v>1</v>
      </c>
      <c r="G74" s="13">
        <v>976.4</v>
      </c>
      <c r="H74" s="102">
        <f t="shared" ref="H74:H78" si="15">SUM(F74*G74/1000)</f>
        <v>0.97639999999999993</v>
      </c>
      <c r="I74" s="13">
        <v>0</v>
      </c>
    </row>
    <row r="75" spans="1:22" ht="15.75" hidden="1" customHeight="1">
      <c r="A75" s="30"/>
      <c r="B75" s="15" t="s">
        <v>123</v>
      </c>
      <c r="C75" s="17" t="s">
        <v>124</v>
      </c>
      <c r="D75" s="15"/>
      <c r="E75" s="19">
        <v>1</v>
      </c>
      <c r="F75" s="13">
        <v>1</v>
      </c>
      <c r="G75" s="13">
        <v>650</v>
      </c>
      <c r="H75" s="102">
        <f t="shared" si="15"/>
        <v>0.65</v>
      </c>
      <c r="I75" s="13">
        <v>0</v>
      </c>
    </row>
    <row r="76" spans="1:22" ht="15.75" hidden="1" customHeight="1">
      <c r="A76" s="30"/>
      <c r="B76" s="15" t="s">
        <v>73</v>
      </c>
      <c r="C76" s="17" t="s">
        <v>30</v>
      </c>
      <c r="D76" s="15" t="s">
        <v>66</v>
      </c>
      <c r="E76" s="19">
        <v>3</v>
      </c>
      <c r="F76" s="13">
        <f>E76/10</f>
        <v>0.3</v>
      </c>
      <c r="G76" s="13">
        <v>624.16999999999996</v>
      </c>
      <c r="H76" s="102">
        <f t="shared" si="15"/>
        <v>0.18725099999999997</v>
      </c>
      <c r="I76" s="13">
        <v>0</v>
      </c>
    </row>
    <row r="77" spans="1:22" ht="15.75" hidden="1" customHeight="1">
      <c r="A77" s="30"/>
      <c r="B77" s="15" t="s">
        <v>74</v>
      </c>
      <c r="C77" s="17" t="s">
        <v>29</v>
      </c>
      <c r="D77" s="15" t="s">
        <v>66</v>
      </c>
      <c r="E77" s="19">
        <v>1</v>
      </c>
      <c r="F77" s="13">
        <v>1</v>
      </c>
      <c r="G77" s="13">
        <v>1061.4100000000001</v>
      </c>
      <c r="H77" s="102">
        <f t="shared" si="15"/>
        <v>1.0614100000000002</v>
      </c>
      <c r="I77" s="13">
        <v>0</v>
      </c>
    </row>
    <row r="78" spans="1:22" ht="15.75" hidden="1" customHeight="1">
      <c r="A78" s="30">
        <v>17</v>
      </c>
      <c r="B78" s="15" t="s">
        <v>85</v>
      </c>
      <c r="C78" s="17" t="s">
        <v>29</v>
      </c>
      <c r="D78" s="15" t="s">
        <v>66</v>
      </c>
      <c r="E78" s="19">
        <v>1</v>
      </c>
      <c r="F78" s="89">
        <f>SUM(E78)</f>
        <v>1</v>
      </c>
      <c r="G78" s="13">
        <v>446.12</v>
      </c>
      <c r="H78" s="102">
        <f t="shared" si="15"/>
        <v>0.44612000000000002</v>
      </c>
      <c r="I78" s="13">
        <v>0</v>
      </c>
    </row>
    <row r="79" spans="1:22" ht="15.75" hidden="1" customHeight="1">
      <c r="A79" s="30"/>
      <c r="B79" s="54" t="s">
        <v>75</v>
      </c>
      <c r="C79" s="42"/>
      <c r="D79" s="30"/>
      <c r="E79" s="30"/>
      <c r="F79" s="19"/>
      <c r="G79" s="40" t="s">
        <v>128</v>
      </c>
      <c r="H79" s="40"/>
      <c r="I79" s="19"/>
    </row>
    <row r="80" spans="1:22" ht="15.75" hidden="1" customHeight="1">
      <c r="A80" s="30">
        <v>39</v>
      </c>
      <c r="B80" s="56" t="s">
        <v>125</v>
      </c>
      <c r="C80" s="17" t="s">
        <v>76</v>
      </c>
      <c r="D80" s="15"/>
      <c r="E80" s="19"/>
      <c r="F80" s="13">
        <v>1.35</v>
      </c>
      <c r="G80" s="13">
        <v>3433.68</v>
      </c>
      <c r="H80" s="102">
        <f t="shared" ref="H80" si="16">SUM(F80*G80/1000)</f>
        <v>4.6354679999999995</v>
      </c>
      <c r="I80" s="13">
        <v>0</v>
      </c>
    </row>
    <row r="81" spans="1:21" ht="15.75" hidden="1" customHeight="1">
      <c r="A81" s="85"/>
      <c r="B81" s="83" t="s">
        <v>120</v>
      </c>
      <c r="C81" s="83"/>
      <c r="D81" s="83"/>
      <c r="E81" s="83"/>
      <c r="F81" s="83"/>
      <c r="G81" s="83"/>
      <c r="H81" s="83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11</v>
      </c>
      <c r="B82" s="86" t="s">
        <v>87</v>
      </c>
      <c r="C82" s="17"/>
      <c r="D82" s="15"/>
      <c r="E82" s="104"/>
      <c r="F82" s="13">
        <v>1</v>
      </c>
      <c r="G82" s="13">
        <v>2192.1</v>
      </c>
      <c r="H82" s="102">
        <f>G82*F82/1000</f>
        <v>2.1920999999999999</v>
      </c>
      <c r="I82" s="13">
        <f>G82*1</f>
        <v>2192.1</v>
      </c>
    </row>
    <row r="83" spans="1:21" ht="15.75" customHeight="1">
      <c r="A83" s="125" t="s">
        <v>132</v>
      </c>
      <c r="B83" s="126"/>
      <c r="C83" s="126"/>
      <c r="D83" s="126"/>
      <c r="E83" s="126"/>
      <c r="F83" s="126"/>
      <c r="G83" s="126"/>
      <c r="H83" s="126"/>
      <c r="I83" s="127"/>
    </row>
    <row r="84" spans="1:21" ht="15.75" customHeight="1">
      <c r="A84" s="30">
        <v>10</v>
      </c>
      <c r="B84" s="86" t="s">
        <v>126</v>
      </c>
      <c r="C84" s="17" t="s">
        <v>55</v>
      </c>
      <c r="D84" s="105"/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11</v>
      </c>
      <c r="B85" s="15" t="s">
        <v>77</v>
      </c>
      <c r="C85" s="17"/>
      <c r="D85" s="105"/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85"/>
      <c r="B86" s="43" t="s">
        <v>79</v>
      </c>
      <c r="C86" s="45"/>
      <c r="D86" s="16"/>
      <c r="E86" s="16"/>
      <c r="F86" s="16"/>
      <c r="G86" s="19"/>
      <c r="H86" s="19"/>
      <c r="I86" s="32">
        <f>I85+I84+I72+I51+I42+I41+I40+I39+I18+I17+I16</f>
        <v>30619.810197666666</v>
      </c>
    </row>
    <row r="87" spans="1:21" ht="15.75" customHeight="1">
      <c r="A87" s="128" t="s">
        <v>60</v>
      </c>
      <c r="B87" s="129"/>
      <c r="C87" s="129"/>
      <c r="D87" s="129"/>
      <c r="E87" s="129"/>
      <c r="F87" s="129"/>
      <c r="G87" s="129"/>
      <c r="H87" s="129"/>
      <c r="I87" s="130"/>
    </row>
    <row r="88" spans="1:21" ht="17.25" customHeight="1">
      <c r="A88" s="30">
        <v>12</v>
      </c>
      <c r="B88" s="41" t="s">
        <v>153</v>
      </c>
      <c r="C88" s="42" t="s">
        <v>154</v>
      </c>
      <c r="D88" s="46"/>
      <c r="E88" s="46"/>
      <c r="F88" s="46"/>
      <c r="G88" s="40">
        <v>1.4</v>
      </c>
      <c r="H88" s="46"/>
      <c r="I88" s="46">
        <f>G88*12</f>
        <v>16.799999999999997</v>
      </c>
    </row>
    <row r="89" spans="1:21" ht="31.5" customHeight="1">
      <c r="A89" s="30">
        <v>13</v>
      </c>
      <c r="B89" s="107" t="s">
        <v>157</v>
      </c>
      <c r="C89" s="108" t="s">
        <v>28</v>
      </c>
      <c r="D89" s="56"/>
      <c r="E89" s="40"/>
      <c r="F89" s="40"/>
      <c r="G89" s="113">
        <v>21369.24</v>
      </c>
      <c r="H89" s="112">
        <f>G89*F89/1000</f>
        <v>0</v>
      </c>
      <c r="I89" s="19">
        <f>G89*0.599*6/1000</f>
        <v>76.801048559999998</v>
      </c>
    </row>
    <row r="90" spans="1:21" ht="20.25" customHeight="1">
      <c r="A90" s="30">
        <v>14</v>
      </c>
      <c r="B90" s="114" t="s">
        <v>255</v>
      </c>
      <c r="C90" s="115" t="s">
        <v>156</v>
      </c>
      <c r="D90" s="41" t="s">
        <v>257</v>
      </c>
      <c r="E90" s="18"/>
      <c r="F90" s="40">
        <v>1</v>
      </c>
      <c r="G90" s="40">
        <v>280.70999999999998</v>
      </c>
      <c r="H90" s="112"/>
      <c r="I90" s="19">
        <f>G90*1</f>
        <v>280.70999999999998</v>
      </c>
    </row>
    <row r="91" spans="1:21" ht="14.25" customHeight="1">
      <c r="A91" s="30">
        <v>15</v>
      </c>
      <c r="B91" s="114" t="s">
        <v>256</v>
      </c>
      <c r="C91" s="115" t="s">
        <v>113</v>
      </c>
      <c r="D91" s="41"/>
      <c r="E91" s="18"/>
      <c r="F91" s="40">
        <v>1</v>
      </c>
      <c r="G91" s="40">
        <v>224.48</v>
      </c>
      <c r="H91" s="112"/>
      <c r="I91" s="19">
        <f>G91*1</f>
        <v>224.48</v>
      </c>
    </row>
    <row r="92" spans="1:21" ht="18" customHeight="1">
      <c r="A92" s="30">
        <v>16</v>
      </c>
      <c r="B92" s="114" t="s">
        <v>229</v>
      </c>
      <c r="C92" s="115" t="s">
        <v>40</v>
      </c>
      <c r="D92" s="41" t="s">
        <v>168</v>
      </c>
      <c r="E92" s="18"/>
      <c r="F92" s="40">
        <v>0.02</v>
      </c>
      <c r="G92" s="40">
        <v>28224.75</v>
      </c>
      <c r="H92" s="112"/>
      <c r="I92" s="19">
        <v>0</v>
      </c>
    </row>
    <row r="93" spans="1:21" ht="15.75" customHeight="1">
      <c r="A93" s="30"/>
      <c r="B93" s="50" t="s">
        <v>52</v>
      </c>
      <c r="C93" s="46"/>
      <c r="D93" s="58"/>
      <c r="E93" s="58"/>
      <c r="F93" s="46">
        <v>1</v>
      </c>
      <c r="G93" s="46"/>
      <c r="H93" s="46"/>
      <c r="I93" s="32">
        <f>SUM(I88:I92)</f>
        <v>598.79104855999992</v>
      </c>
    </row>
    <row r="94" spans="1:21" ht="15.75" customHeight="1">
      <c r="A94" s="30"/>
      <c r="B94" s="56" t="s">
        <v>78</v>
      </c>
      <c r="C94" s="16"/>
      <c r="D94" s="16"/>
      <c r="E94" s="16"/>
      <c r="F94" s="47"/>
      <c r="G94" s="48"/>
      <c r="H94" s="48"/>
      <c r="I94" s="18">
        <v>0</v>
      </c>
    </row>
    <row r="95" spans="1:21" ht="15.75" customHeight="1">
      <c r="A95" s="59"/>
      <c r="B95" s="51" t="s">
        <v>133</v>
      </c>
      <c r="C95" s="38"/>
      <c r="D95" s="38"/>
      <c r="E95" s="38"/>
      <c r="F95" s="38"/>
      <c r="G95" s="38"/>
      <c r="H95" s="38"/>
      <c r="I95" s="49">
        <f>I86+I93</f>
        <v>31218.601246226666</v>
      </c>
    </row>
    <row r="96" spans="1:21" ht="15.75" customHeight="1">
      <c r="A96" s="131" t="s">
        <v>258</v>
      </c>
      <c r="B96" s="131"/>
      <c r="C96" s="131"/>
      <c r="D96" s="131"/>
      <c r="E96" s="131"/>
      <c r="F96" s="131"/>
      <c r="G96" s="131"/>
      <c r="H96" s="131"/>
      <c r="I96" s="131"/>
    </row>
    <row r="97" spans="1:9" ht="15.75" customHeight="1">
      <c r="A97" s="72"/>
      <c r="B97" s="147" t="s">
        <v>259</v>
      </c>
      <c r="C97" s="147"/>
      <c r="D97" s="147"/>
      <c r="E97" s="147"/>
      <c r="F97" s="147"/>
      <c r="G97" s="147"/>
      <c r="H97" s="84"/>
      <c r="I97" s="3"/>
    </row>
    <row r="98" spans="1:9" ht="15.75" customHeight="1">
      <c r="A98" s="79"/>
      <c r="B98" s="143" t="s">
        <v>6</v>
      </c>
      <c r="C98" s="143"/>
      <c r="D98" s="143"/>
      <c r="E98" s="143"/>
      <c r="F98" s="143"/>
      <c r="G98" s="143"/>
      <c r="H98" s="25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51" t="s">
        <v>7</v>
      </c>
      <c r="B100" s="151"/>
      <c r="C100" s="151"/>
      <c r="D100" s="151"/>
      <c r="E100" s="151"/>
      <c r="F100" s="151"/>
      <c r="G100" s="151"/>
      <c r="H100" s="151"/>
      <c r="I100" s="151"/>
    </row>
    <row r="101" spans="1:9" ht="15.75" customHeight="1">
      <c r="A101" s="151" t="s">
        <v>8</v>
      </c>
      <c r="B101" s="151"/>
      <c r="C101" s="151"/>
      <c r="D101" s="151"/>
      <c r="E101" s="151"/>
      <c r="F101" s="151"/>
      <c r="G101" s="151"/>
      <c r="H101" s="151"/>
      <c r="I101" s="151"/>
    </row>
    <row r="102" spans="1:9" ht="15.75" customHeight="1">
      <c r="A102" s="148" t="s">
        <v>61</v>
      </c>
      <c r="B102" s="148"/>
      <c r="C102" s="148"/>
      <c r="D102" s="148"/>
      <c r="E102" s="148"/>
      <c r="F102" s="148"/>
      <c r="G102" s="148"/>
      <c r="H102" s="148"/>
      <c r="I102" s="148"/>
    </row>
    <row r="103" spans="1:9" ht="15.75" customHeight="1">
      <c r="A103" s="11"/>
    </row>
    <row r="104" spans="1:9" ht="15.75" customHeight="1">
      <c r="A104" s="149" t="s">
        <v>9</v>
      </c>
      <c r="B104" s="149"/>
      <c r="C104" s="149"/>
      <c r="D104" s="149"/>
      <c r="E104" s="149"/>
      <c r="F104" s="149"/>
      <c r="G104" s="149"/>
      <c r="H104" s="149"/>
      <c r="I104" s="149"/>
    </row>
    <row r="105" spans="1:9" ht="15.75" customHeight="1">
      <c r="A105" s="4"/>
    </row>
    <row r="106" spans="1:9" ht="15.75" customHeight="1">
      <c r="B106" s="78" t="s">
        <v>10</v>
      </c>
      <c r="C106" s="150" t="s">
        <v>182</v>
      </c>
      <c r="D106" s="150"/>
      <c r="E106" s="150"/>
      <c r="F106" s="150"/>
      <c r="I106" s="81"/>
    </row>
    <row r="107" spans="1:9" ht="15.75" customHeight="1">
      <c r="A107" s="79"/>
      <c r="C107" s="143" t="s">
        <v>11</v>
      </c>
      <c r="D107" s="143"/>
      <c r="E107" s="143"/>
      <c r="F107" s="143"/>
      <c r="I107" s="80" t="s">
        <v>12</v>
      </c>
    </row>
    <row r="108" spans="1:9" ht="15.75" customHeight="1">
      <c r="A108" s="26"/>
      <c r="C108" s="12"/>
      <c r="D108" s="12"/>
      <c r="E108" s="12"/>
      <c r="G108" s="12"/>
      <c r="H108" s="12"/>
    </row>
    <row r="109" spans="1:9" ht="15.75" customHeight="1">
      <c r="B109" s="78" t="s">
        <v>13</v>
      </c>
      <c r="C109" s="145"/>
      <c r="D109" s="145"/>
      <c r="E109" s="145"/>
      <c r="F109" s="145"/>
      <c r="I109" s="81"/>
    </row>
    <row r="110" spans="1:9" ht="15.75" customHeight="1">
      <c r="A110" s="79"/>
      <c r="C110" s="132" t="s">
        <v>11</v>
      </c>
      <c r="D110" s="132"/>
      <c r="E110" s="132"/>
      <c r="F110" s="132"/>
      <c r="I110" s="80" t="s">
        <v>12</v>
      </c>
    </row>
    <row r="111" spans="1:9" ht="15.75" customHeight="1">
      <c r="A111" s="4" t="s">
        <v>14</v>
      </c>
    </row>
    <row r="112" spans="1:9">
      <c r="A112" s="146" t="s">
        <v>15</v>
      </c>
      <c r="B112" s="146"/>
      <c r="C112" s="146"/>
      <c r="D112" s="146"/>
      <c r="E112" s="146"/>
      <c r="F112" s="146"/>
      <c r="G112" s="146"/>
      <c r="H112" s="146"/>
      <c r="I112" s="146"/>
    </row>
    <row r="113" spans="1:9" ht="45" customHeight="1">
      <c r="A113" s="144" t="s">
        <v>16</v>
      </c>
      <c r="B113" s="144"/>
      <c r="C113" s="144"/>
      <c r="D113" s="144"/>
      <c r="E113" s="144"/>
      <c r="F113" s="144"/>
      <c r="G113" s="144"/>
      <c r="H113" s="144"/>
      <c r="I113" s="144"/>
    </row>
    <row r="114" spans="1:9" ht="30" customHeight="1">
      <c r="A114" s="144" t="s">
        <v>17</v>
      </c>
      <c r="B114" s="144"/>
      <c r="C114" s="144"/>
      <c r="D114" s="144"/>
      <c r="E114" s="144"/>
      <c r="F114" s="144"/>
      <c r="G114" s="144"/>
      <c r="H114" s="144"/>
      <c r="I114" s="144"/>
    </row>
    <row r="115" spans="1:9" ht="30" customHeight="1">
      <c r="A115" s="144" t="s">
        <v>21</v>
      </c>
      <c r="B115" s="144"/>
      <c r="C115" s="144"/>
      <c r="D115" s="144"/>
      <c r="E115" s="144"/>
      <c r="F115" s="144"/>
      <c r="G115" s="144"/>
      <c r="H115" s="144"/>
      <c r="I115" s="144"/>
    </row>
    <row r="116" spans="1:9" ht="15" customHeight="1">
      <c r="A116" s="144" t="s">
        <v>20</v>
      </c>
      <c r="B116" s="144"/>
      <c r="C116" s="144"/>
      <c r="D116" s="144"/>
      <c r="E116" s="144"/>
      <c r="F116" s="144"/>
      <c r="G116" s="144"/>
      <c r="H116" s="144"/>
      <c r="I116" s="144"/>
    </row>
  </sheetData>
  <autoFilter ref="I12:I67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2:U72"/>
    <mergeCell ref="C110:F110"/>
    <mergeCell ref="A87:I87"/>
    <mergeCell ref="A96:I96"/>
    <mergeCell ref="B97:G97"/>
    <mergeCell ref="B98:G98"/>
    <mergeCell ref="A100:I100"/>
    <mergeCell ref="A101:I101"/>
    <mergeCell ref="A102:I102"/>
    <mergeCell ref="A104:I104"/>
    <mergeCell ref="C106:F106"/>
    <mergeCell ref="C107:F107"/>
    <mergeCell ref="C109:F109"/>
    <mergeCell ref="A83:I83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'01.21'!Область_печати</vt:lpstr>
      <vt:lpstr>'02.21'!Область_печати</vt:lpstr>
      <vt:lpstr>'03.21'!Область_печати</vt:lpstr>
      <vt:lpstr>'04.21'!Область_печати</vt:lpstr>
      <vt:lpstr>'05.21'!Область_печати</vt:lpstr>
      <vt:lpstr>'06.21'!Область_печати</vt:lpstr>
      <vt:lpstr>'07.21'!Область_печати</vt:lpstr>
      <vt:lpstr>'08.21'!Область_печати</vt:lpstr>
      <vt:lpstr>'09.21'!Область_печати</vt:lpstr>
      <vt:lpstr>'10.21'!Область_печати</vt:lpstr>
      <vt:lpstr>'11.21'!Область_печати</vt:lpstr>
      <vt:lpstr>'12.21'!Область_печати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2021-02-12T07:25:03Z</cp:lastPrinted>
  <dcterms:created xsi:type="dcterms:W3CDTF">2016-03-25T08:33:47Z</dcterms:created>
  <dcterms:modified xsi:type="dcterms:W3CDTF">2022-01-19T08:55:02Z</dcterms:modified>
</cp:coreProperties>
</file>