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-45" windowWidth="15480" windowHeight="11280" activeTab="11"/>
  </bookViews>
  <sheets>
    <sheet name="01.21" sheetId="27" r:id="rId1"/>
    <sheet name="02.21" sheetId="28" r:id="rId2"/>
    <sheet name="03.21" sheetId="29" r:id="rId3"/>
    <sheet name="04.21" sheetId="30" r:id="rId4"/>
    <sheet name="05.21" sheetId="31" r:id="rId5"/>
    <sheet name="06.21" sheetId="32" r:id="rId6"/>
    <sheet name="07.21" sheetId="33" r:id="rId7"/>
    <sheet name="08.21" sheetId="34" r:id="rId8"/>
    <sheet name="09.21" sheetId="25" r:id="rId9"/>
    <sheet name="10.21" sheetId="26" r:id="rId10"/>
    <sheet name="11.21" sheetId="35" r:id="rId11"/>
    <sheet name="12.21" sheetId="36" r:id="rId12"/>
  </sheets>
  <definedNames>
    <definedName name="_xlnm._FilterDatabase" localSheetId="0" hidden="1">'01.21'!$I$12:$I$56</definedName>
    <definedName name="_xlnm._FilterDatabase" localSheetId="1" hidden="1">'02.21'!$I$12:$I$56</definedName>
    <definedName name="_xlnm._FilterDatabase" localSheetId="2" hidden="1">'03.21'!$I$12:$I$57</definedName>
    <definedName name="_xlnm._FilterDatabase" localSheetId="3" hidden="1">'04.21'!$I$12:$I$57</definedName>
    <definedName name="_xlnm._FilterDatabase" localSheetId="4" hidden="1">'05.21'!$I$12:$I$54</definedName>
    <definedName name="_xlnm._FilterDatabase" localSheetId="5" hidden="1">'06.21'!$I$12:$I$53</definedName>
    <definedName name="_xlnm._FilterDatabase" localSheetId="6" hidden="1">'07.21'!$I$12:$I$55</definedName>
    <definedName name="_xlnm._FilterDatabase" localSheetId="7" hidden="1">'08.21'!$I$12:$I$54</definedName>
    <definedName name="_xlnm._FilterDatabase" localSheetId="8" hidden="1">'09.21'!$I$12:$I$54</definedName>
    <definedName name="_xlnm._FilterDatabase" localSheetId="9" hidden="1">'10.21'!$I$12:$I$54</definedName>
    <definedName name="_xlnm._FilterDatabase" localSheetId="10" hidden="1">'11.21'!$I$12:$I$57</definedName>
    <definedName name="_xlnm._FilterDatabase" localSheetId="11" hidden="1">'12.21'!$I$12:$I$57</definedName>
    <definedName name="_xlnm.Print_Area" localSheetId="0">'01.21'!$A$1:$I$114</definedName>
    <definedName name="_xlnm.Print_Area" localSheetId="1">'02.21'!$A$1:$I$117</definedName>
    <definedName name="_xlnm.Print_Area" localSheetId="2">'03.21'!$A$1:$I$117</definedName>
    <definedName name="_xlnm.Print_Area" localSheetId="3">'04.21'!$A$1:$I$114</definedName>
    <definedName name="_xlnm.Print_Area" localSheetId="4">'05.21'!$A$1:$I$111</definedName>
    <definedName name="_xlnm.Print_Area" localSheetId="5">'06.21'!$A$1:$I$109</definedName>
    <definedName name="_xlnm.Print_Area" localSheetId="6">'07.21'!$A$1:$I$110</definedName>
    <definedName name="_xlnm.Print_Area" localSheetId="7">'08.21'!$A$1:$I$112</definedName>
    <definedName name="_xlnm.Print_Area" localSheetId="8">'09.21'!$A$1:$I$111</definedName>
    <definedName name="_xlnm.Print_Area" localSheetId="9">'10.21'!$A$1:$I$110</definedName>
    <definedName name="_xlnm.Print_Area" localSheetId="10">'11.21'!$A$1:$I$114</definedName>
    <definedName name="_xlnm.Print_Area" localSheetId="11">'12.21'!$A$1:$I$119</definedName>
  </definedNames>
  <calcPr calcId="125725"/>
</workbook>
</file>

<file path=xl/calcChain.xml><?xml version="1.0" encoding="utf-8"?>
<calcChain xmlns="http://schemas.openxmlformats.org/spreadsheetml/2006/main">
  <c r="I96" i="36"/>
  <c r="I87"/>
  <c r="I94"/>
  <c r="I93"/>
  <c r="I92"/>
  <c r="I91"/>
  <c r="I89"/>
  <c r="I38"/>
  <c r="I38" i="35"/>
  <c r="I87" l="1"/>
  <c r="I91"/>
  <c r="I90"/>
  <c r="I89"/>
  <c r="I58"/>
  <c r="I84" i="26"/>
  <c r="I83" i="25" l="1"/>
  <c r="I88"/>
  <c r="I87"/>
  <c r="I86"/>
  <c r="I85"/>
  <c r="I61" i="34"/>
  <c r="I85" s="1"/>
  <c r="I89"/>
  <c r="I87"/>
  <c r="I85" i="33"/>
  <c r="F26"/>
  <c r="F25"/>
  <c r="F24"/>
  <c r="F23"/>
  <c r="F22"/>
  <c r="F21"/>
  <c r="F20"/>
  <c r="I62"/>
  <c r="I87" i="31"/>
  <c r="I91" i="30"/>
  <c r="I89"/>
  <c r="I90"/>
  <c r="I38"/>
  <c r="I91" i="29"/>
  <c r="I94" s="1"/>
  <c r="I92"/>
  <c r="I58"/>
  <c r="I43"/>
  <c r="I38"/>
  <c r="I93" i="28"/>
  <c r="I92" l="1"/>
  <c r="F73"/>
  <c r="I91"/>
  <c r="I89"/>
  <c r="I88"/>
  <c r="F85"/>
  <c r="H85" s="1"/>
  <c r="F84"/>
  <c r="I84" s="1"/>
  <c r="F78"/>
  <c r="I78" s="1"/>
  <c r="I77"/>
  <c r="F77"/>
  <c r="H77" s="1"/>
  <c r="F71"/>
  <c r="H71" s="1"/>
  <c r="I61"/>
  <c r="H61"/>
  <c r="F50"/>
  <c r="H50" s="1"/>
  <c r="I37"/>
  <c r="F43"/>
  <c r="I43" s="1"/>
  <c r="I42"/>
  <c r="H42"/>
  <c r="F41"/>
  <c r="I41" s="1"/>
  <c r="F40"/>
  <c r="I40" s="1"/>
  <c r="H39"/>
  <c r="F39"/>
  <c r="I39" s="1"/>
  <c r="F38"/>
  <c r="I38" s="1"/>
  <c r="H37"/>
  <c r="F27"/>
  <c r="H27" s="1"/>
  <c r="H26"/>
  <c r="F26"/>
  <c r="I26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F17"/>
  <c r="I17" s="1"/>
  <c r="F16"/>
  <c r="H16" s="1"/>
  <c r="I94" l="1"/>
  <c r="H17"/>
  <c r="H84"/>
  <c r="I85"/>
  <c r="I71"/>
  <c r="I50"/>
  <c r="H41"/>
  <c r="H38"/>
  <c r="H40"/>
  <c r="I18"/>
  <c r="H18"/>
  <c r="I16"/>
  <c r="I19"/>
  <c r="I21"/>
  <c r="I23"/>
  <c r="I25"/>
  <c r="I27"/>
  <c r="F85" i="27" l="1"/>
  <c r="H85" s="1"/>
  <c r="F84"/>
  <c r="I84" s="1"/>
  <c r="F78"/>
  <c r="I78" s="1"/>
  <c r="I77"/>
  <c r="F77"/>
  <c r="H77" s="1"/>
  <c r="F71"/>
  <c r="H71" s="1"/>
  <c r="I61"/>
  <c r="H61"/>
  <c r="F50"/>
  <c r="H50" s="1"/>
  <c r="I37"/>
  <c r="I43"/>
  <c r="F43"/>
  <c r="I42"/>
  <c r="H42"/>
  <c r="F41"/>
  <c r="H41" s="1"/>
  <c r="F40"/>
  <c r="I40" s="1"/>
  <c r="F39"/>
  <c r="H39" s="1"/>
  <c r="F38"/>
  <c r="I38" s="1"/>
  <c r="H37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2" l="1"/>
  <c r="H38"/>
  <c r="H17"/>
  <c r="H20"/>
  <c r="H40"/>
  <c r="H84"/>
  <c r="I85"/>
  <c r="I71"/>
  <c r="I50"/>
  <c r="I39"/>
  <c r="I41"/>
  <c r="I18"/>
  <c r="H18"/>
  <c r="I19"/>
  <c r="I21"/>
  <c r="I23"/>
  <c r="H24"/>
  <c r="I25"/>
  <c r="H26"/>
  <c r="I27"/>
  <c r="I16"/>
  <c r="F86" i="36"/>
  <c r="H86" s="1"/>
  <c r="F85"/>
  <c r="I85" s="1"/>
  <c r="F79"/>
  <c r="I79" s="1"/>
  <c r="I78"/>
  <c r="F78"/>
  <c r="H78" s="1"/>
  <c r="F72"/>
  <c r="H72" s="1"/>
  <c r="F51"/>
  <c r="F44"/>
  <c r="I44" s="1"/>
  <c r="I43"/>
  <c r="H43"/>
  <c r="F42"/>
  <c r="I42" s="1"/>
  <c r="F41"/>
  <c r="I41" s="1"/>
  <c r="F40"/>
  <c r="I40" s="1"/>
  <c r="F39"/>
  <c r="I39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27" l="1"/>
  <c r="H17" i="36"/>
  <c r="H40"/>
  <c r="H85"/>
  <c r="I86"/>
  <c r="I72"/>
  <c r="H42"/>
  <c r="H39"/>
  <c r="H41"/>
  <c r="I18"/>
  <c r="H18"/>
  <c r="I16"/>
  <c r="I19"/>
  <c r="H20"/>
  <c r="I21"/>
  <c r="H22"/>
  <c r="I23"/>
  <c r="H24"/>
  <c r="I25"/>
  <c r="H26"/>
  <c r="I27"/>
  <c r="F17" i="35" l="1"/>
  <c r="H17" s="1"/>
  <c r="H16"/>
  <c r="F16"/>
  <c r="I16" s="1"/>
  <c r="F86"/>
  <c r="H86" s="1"/>
  <c r="F85"/>
  <c r="I85" s="1"/>
  <c r="F79"/>
  <c r="I79" s="1"/>
  <c r="I78"/>
  <c r="F78"/>
  <c r="H78" s="1"/>
  <c r="F72"/>
  <c r="H72" s="1"/>
  <c r="I62"/>
  <c r="H62"/>
  <c r="F44"/>
  <c r="I44" s="1"/>
  <c r="I43"/>
  <c r="H43"/>
  <c r="F42"/>
  <c r="I42" s="1"/>
  <c r="F41"/>
  <c r="I41" s="1"/>
  <c r="F40"/>
  <c r="I40" s="1"/>
  <c r="F39"/>
  <c r="I39" s="1"/>
  <c r="H38"/>
  <c r="F27"/>
  <c r="H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27" l="1"/>
  <c r="I17"/>
  <c r="H18"/>
  <c r="I18"/>
  <c r="H21"/>
  <c r="H25"/>
  <c r="H40"/>
  <c r="H19"/>
  <c r="H23"/>
  <c r="H85"/>
  <c r="I86"/>
  <c r="I72"/>
  <c r="H42"/>
  <c r="H39"/>
  <c r="H41"/>
  <c r="H20"/>
  <c r="H22"/>
  <c r="H24"/>
  <c r="H26"/>
  <c r="I87" i="26"/>
  <c r="F83"/>
  <c r="H83" s="1"/>
  <c r="F82"/>
  <c r="I82" s="1"/>
  <c r="I61"/>
  <c r="F76"/>
  <c r="I76" s="1"/>
  <c r="I75"/>
  <c r="F75"/>
  <c r="H75" s="1"/>
  <c r="F69"/>
  <c r="H69" s="1"/>
  <c r="I59"/>
  <c r="H59"/>
  <c r="F33"/>
  <c r="I33" s="1"/>
  <c r="F32"/>
  <c r="H32" s="1"/>
  <c r="F31"/>
  <c r="I31" s="1"/>
  <c r="F30"/>
  <c r="H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4" l="1"/>
  <c r="H22"/>
  <c r="H26"/>
  <c r="I16"/>
  <c r="I27"/>
  <c r="H17"/>
  <c r="H20"/>
  <c r="I30"/>
  <c r="H82"/>
  <c r="I83"/>
  <c r="I69"/>
  <c r="H33"/>
  <c r="H31"/>
  <c r="I32"/>
  <c r="I18"/>
  <c r="H18"/>
  <c r="I19"/>
  <c r="I21"/>
  <c r="I23"/>
  <c r="I25"/>
  <c r="F49" i="25"/>
  <c r="F48"/>
  <c r="F82"/>
  <c r="H82" s="1"/>
  <c r="F81"/>
  <c r="I81" s="1"/>
  <c r="F76"/>
  <c r="I76" s="1"/>
  <c r="I75"/>
  <c r="F75"/>
  <c r="H75" s="1"/>
  <c r="F69"/>
  <c r="H69" s="1"/>
  <c r="I61"/>
  <c r="I59"/>
  <c r="H59"/>
  <c r="F33"/>
  <c r="H33" s="1"/>
  <c r="F32"/>
  <c r="I32" s="1"/>
  <c r="F31"/>
  <c r="H31" s="1"/>
  <c r="F30"/>
  <c r="I30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F84" i="34"/>
  <c r="H84" s="1"/>
  <c r="F83"/>
  <c r="I83" s="1"/>
  <c r="F77"/>
  <c r="I77" s="1"/>
  <c r="I76"/>
  <c r="F76"/>
  <c r="H76" s="1"/>
  <c r="F70"/>
  <c r="H70" s="1"/>
  <c r="I59"/>
  <c r="H59"/>
  <c r="F33"/>
  <c r="H33" s="1"/>
  <c r="F32"/>
  <c r="I32" s="1"/>
  <c r="F31"/>
  <c r="H31" s="1"/>
  <c r="F30"/>
  <c r="I30" s="1"/>
  <c r="F27"/>
  <c r="H27" s="1"/>
  <c r="H26"/>
  <c r="F26"/>
  <c r="I26" s="1"/>
  <c r="F25"/>
  <c r="H25" s="1"/>
  <c r="F24"/>
  <c r="I24" s="1"/>
  <c r="F23"/>
  <c r="H23" s="1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84" i="33"/>
  <c r="H84" s="1"/>
  <c r="F83"/>
  <c r="I83" s="1"/>
  <c r="F77"/>
  <c r="I77" s="1"/>
  <c r="I76"/>
  <c r="F76"/>
  <c r="H76" s="1"/>
  <c r="F70"/>
  <c r="H70" s="1"/>
  <c r="F34"/>
  <c r="H34" s="1"/>
  <c r="F33"/>
  <c r="I33" s="1"/>
  <c r="F32"/>
  <c r="H32" s="1"/>
  <c r="F31"/>
  <c r="I31" s="1"/>
  <c r="F27"/>
  <c r="H27" s="1"/>
  <c r="I26"/>
  <c r="H25"/>
  <c r="I24"/>
  <c r="H23"/>
  <c r="I22"/>
  <c r="H21"/>
  <c r="I20"/>
  <c r="F19"/>
  <c r="H19" s="1"/>
  <c r="E18"/>
  <c r="F18" s="1"/>
  <c r="F17"/>
  <c r="I17" s="1"/>
  <c r="F16"/>
  <c r="H16" s="1"/>
  <c r="I19" i="32"/>
  <c r="F83"/>
  <c r="H83" s="1"/>
  <c r="F82"/>
  <c r="I82" s="1"/>
  <c r="F76"/>
  <c r="I76" s="1"/>
  <c r="I75"/>
  <c r="F75"/>
  <c r="H75" s="1"/>
  <c r="F69"/>
  <c r="H69" s="1"/>
  <c r="F66"/>
  <c r="F65"/>
  <c r="F64"/>
  <c r="F63"/>
  <c r="F62"/>
  <c r="F60"/>
  <c r="F61"/>
  <c r="I58"/>
  <c r="F58"/>
  <c r="H58" s="1"/>
  <c r="F33"/>
  <c r="H33" s="1"/>
  <c r="F32"/>
  <c r="I32" s="1"/>
  <c r="F31"/>
  <c r="H31" s="1"/>
  <c r="F30"/>
  <c r="I30" s="1"/>
  <c r="F27"/>
  <c r="H27" s="1"/>
  <c r="F26"/>
  <c r="F25"/>
  <c r="F24"/>
  <c r="F23"/>
  <c r="F22"/>
  <c r="F21"/>
  <c r="F20"/>
  <c r="F19"/>
  <c r="E18"/>
  <c r="F18" s="1"/>
  <c r="F17"/>
  <c r="I17" s="1"/>
  <c r="F16"/>
  <c r="I16" s="1"/>
  <c r="F55" i="31"/>
  <c r="H55" s="1"/>
  <c r="H56"/>
  <c r="I56"/>
  <c r="I88"/>
  <c r="F84"/>
  <c r="H84" s="1"/>
  <c r="F83"/>
  <c r="I83" s="1"/>
  <c r="F77"/>
  <c r="I77" s="1"/>
  <c r="I76"/>
  <c r="F76"/>
  <c r="H76" s="1"/>
  <c r="F70"/>
  <c r="H70" s="1"/>
  <c r="I59"/>
  <c r="F59"/>
  <c r="H59" s="1"/>
  <c r="F50"/>
  <c r="F49"/>
  <c r="F48"/>
  <c r="F47"/>
  <c r="F46"/>
  <c r="F45"/>
  <c r="F44"/>
  <c r="F43"/>
  <c r="F33"/>
  <c r="I33" s="1"/>
  <c r="F32"/>
  <c r="F31"/>
  <c r="F30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24" i="34" l="1"/>
  <c r="H30"/>
  <c r="H17" i="33"/>
  <c r="H20"/>
  <c r="H26"/>
  <c r="H24"/>
  <c r="H31"/>
  <c r="H22"/>
  <c r="H22" i="34"/>
  <c r="H16" i="25"/>
  <c r="H19"/>
  <c r="H23"/>
  <c r="H27"/>
  <c r="H30"/>
  <c r="H21"/>
  <c r="H25"/>
  <c r="H81"/>
  <c r="I82"/>
  <c r="I69"/>
  <c r="H32"/>
  <c r="I33"/>
  <c r="I31"/>
  <c r="H17"/>
  <c r="H18"/>
  <c r="H20"/>
  <c r="H22"/>
  <c r="H24"/>
  <c r="H26"/>
  <c r="H83" i="34"/>
  <c r="I84"/>
  <c r="I70"/>
  <c r="I31"/>
  <c r="H32"/>
  <c r="I33"/>
  <c r="I18"/>
  <c r="H18"/>
  <c r="I16"/>
  <c r="I19"/>
  <c r="I21"/>
  <c r="I23"/>
  <c r="I25"/>
  <c r="I27"/>
  <c r="H83" i="33"/>
  <c r="I84"/>
  <c r="I70"/>
  <c r="I32"/>
  <c r="H33"/>
  <c r="I34"/>
  <c r="I18"/>
  <c r="H18"/>
  <c r="I16"/>
  <c r="I19"/>
  <c r="I21"/>
  <c r="I23"/>
  <c r="I25"/>
  <c r="I27"/>
  <c r="H82" i="32"/>
  <c r="I83"/>
  <c r="I69"/>
  <c r="H17"/>
  <c r="H30"/>
  <c r="I31"/>
  <c r="H32"/>
  <c r="I33"/>
  <c r="I27"/>
  <c r="H18"/>
  <c r="I18"/>
  <c r="H16"/>
  <c r="I55" i="31"/>
  <c r="H17"/>
  <c r="H83"/>
  <c r="I84"/>
  <c r="I70"/>
  <c r="H20"/>
  <c r="H24"/>
  <c r="H22"/>
  <c r="H26"/>
  <c r="H18"/>
  <c r="I16"/>
  <c r="I19"/>
  <c r="I21"/>
  <c r="I23"/>
  <c r="I25"/>
  <c r="I27"/>
  <c r="F72" i="30" l="1"/>
  <c r="H72" s="1"/>
  <c r="F86"/>
  <c r="H86" s="1"/>
  <c r="F85"/>
  <c r="I85" s="1"/>
  <c r="F79"/>
  <c r="I79" s="1"/>
  <c r="I78"/>
  <c r="F78"/>
  <c r="H78" s="1"/>
  <c r="F44"/>
  <c r="I44" s="1"/>
  <c r="I43"/>
  <c r="H43"/>
  <c r="F42"/>
  <c r="I42" s="1"/>
  <c r="F41"/>
  <c r="I41" s="1"/>
  <c r="F40"/>
  <c r="I40" s="1"/>
  <c r="F39"/>
  <c r="I39" s="1"/>
  <c r="H38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72" l="1"/>
  <c r="H40"/>
  <c r="H17"/>
  <c r="H85"/>
  <c r="I86"/>
  <c r="H42"/>
  <c r="H39"/>
  <c r="H41"/>
  <c r="I18"/>
  <c r="H18"/>
  <c r="I16"/>
  <c r="I19"/>
  <c r="H20"/>
  <c r="I21"/>
  <c r="H22"/>
  <c r="I23"/>
  <c r="H24"/>
  <c r="I25"/>
  <c r="H26"/>
  <c r="I27"/>
  <c r="F87" i="29" l="1"/>
  <c r="I87" s="1"/>
  <c r="F86"/>
  <c r="F85"/>
  <c r="I78"/>
  <c r="F79"/>
  <c r="I79" s="1"/>
  <c r="F78"/>
  <c r="F72"/>
  <c r="F44"/>
  <c r="I44" s="1"/>
  <c r="F42"/>
  <c r="I42" s="1"/>
  <c r="F41"/>
  <c r="F40"/>
  <c r="F39"/>
  <c r="F27"/>
  <c r="E18"/>
  <c r="F18" s="1"/>
  <c r="H18" s="1"/>
  <c r="F17"/>
  <c r="H17" s="1"/>
  <c r="F16"/>
  <c r="H16" s="1"/>
  <c r="I18" l="1"/>
  <c r="I17"/>
  <c r="I16"/>
  <c r="I91" i="27" l="1"/>
  <c r="I79" i="25" l="1"/>
  <c r="I57" i="33" l="1"/>
  <c r="I26" i="32"/>
  <c r="H25"/>
  <c r="H24"/>
  <c r="I24"/>
  <c r="H23"/>
  <c r="I22"/>
  <c r="H21"/>
  <c r="I20"/>
  <c r="H19"/>
  <c r="H27" i="29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I60" i="32"/>
  <c r="I52" i="31"/>
  <c r="I74" i="28"/>
  <c r="I73"/>
  <c r="I86" s="1"/>
  <c r="I54"/>
  <c r="H20" i="29" l="1"/>
  <c r="H24"/>
  <c r="H22"/>
  <c r="H26"/>
  <c r="H20" i="32"/>
  <c r="H22"/>
  <c r="H26"/>
  <c r="I21"/>
  <c r="I23"/>
  <c r="I25"/>
  <c r="I19" i="29"/>
  <c r="I21"/>
  <c r="I23"/>
  <c r="I25"/>
  <c r="I27"/>
  <c r="I62" i="36" l="1"/>
  <c r="H62"/>
  <c r="I57" i="28" l="1"/>
  <c r="I81" i="33" l="1"/>
  <c r="I80" i="32" l="1"/>
  <c r="I62" i="30" l="1"/>
  <c r="I87" s="1"/>
  <c r="F62" i="29"/>
  <c r="I83" i="36" l="1"/>
  <c r="H83"/>
  <c r="H81"/>
  <c r="I80"/>
  <c r="H77"/>
  <c r="I76"/>
  <c r="H76"/>
  <c r="H75"/>
  <c r="F74"/>
  <c r="H74" s="1"/>
  <c r="I71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1"/>
  <c r="H61" s="1"/>
  <c r="I59"/>
  <c r="H59"/>
  <c r="F58"/>
  <c r="I58" s="1"/>
  <c r="I55"/>
  <c r="H55"/>
  <c r="I54"/>
  <c r="H54"/>
  <c r="F53"/>
  <c r="H53" s="1"/>
  <c r="F52"/>
  <c r="I52" s="1"/>
  <c r="H51"/>
  <c r="F50"/>
  <c r="I50" s="1"/>
  <c r="F49"/>
  <c r="H49" s="1"/>
  <c r="F48"/>
  <c r="I48" s="1"/>
  <c r="F47"/>
  <c r="H47" s="1"/>
  <c r="F46"/>
  <c r="I46" s="1"/>
  <c r="H38"/>
  <c r="H36"/>
  <c r="H35"/>
  <c r="F34"/>
  <c r="H34" s="1"/>
  <c r="E34"/>
  <c r="F33"/>
  <c r="H33" s="1"/>
  <c r="F32"/>
  <c r="I32" s="1"/>
  <c r="F31"/>
  <c r="H31" s="1"/>
  <c r="F28"/>
  <c r="I28" s="1"/>
  <c r="I83" i="35"/>
  <c r="H83"/>
  <c r="H81"/>
  <c r="I80"/>
  <c r="H77"/>
  <c r="I76"/>
  <c r="H76"/>
  <c r="H75"/>
  <c r="F74"/>
  <c r="H74" s="1"/>
  <c r="I71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1"/>
  <c r="H61" s="1"/>
  <c r="I59"/>
  <c r="H59"/>
  <c r="F58"/>
  <c r="H58" s="1"/>
  <c r="I55"/>
  <c r="H55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36"/>
  <c r="H35"/>
  <c r="F34"/>
  <c r="I34" s="1"/>
  <c r="E34"/>
  <c r="F33"/>
  <c r="I33" s="1"/>
  <c r="F32"/>
  <c r="H32" s="1"/>
  <c r="F31"/>
  <c r="I31" s="1"/>
  <c r="F28"/>
  <c r="H28" s="1"/>
  <c r="I73" i="26"/>
  <c r="I56"/>
  <c r="F52" i="25"/>
  <c r="H81" i="34"/>
  <c r="H79"/>
  <c r="I78"/>
  <c r="H75"/>
  <c r="I74"/>
  <c r="H74"/>
  <c r="H73"/>
  <c r="H72"/>
  <c r="F72"/>
  <c r="I68"/>
  <c r="H68"/>
  <c r="F67"/>
  <c r="I67" s="1"/>
  <c r="F66"/>
  <c r="H66" s="1"/>
  <c r="F65"/>
  <c r="I65" s="1"/>
  <c r="F64"/>
  <c r="H64" s="1"/>
  <c r="F63"/>
  <c r="I63" s="1"/>
  <c r="F62"/>
  <c r="H62" s="1"/>
  <c r="F61"/>
  <c r="H61" s="1"/>
  <c r="F58"/>
  <c r="H58" s="1"/>
  <c r="H56"/>
  <c r="F55"/>
  <c r="I55" s="1"/>
  <c r="H52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F38"/>
  <c r="I38" s="1"/>
  <c r="F37"/>
  <c r="H37" s="1"/>
  <c r="I36"/>
  <c r="H36"/>
  <c r="H34"/>
  <c r="H50" l="1"/>
  <c r="H46"/>
  <c r="H65"/>
  <c r="H58" i="36"/>
  <c r="H82" s="1"/>
  <c r="H50"/>
  <c r="H52"/>
  <c r="H28"/>
  <c r="I31"/>
  <c r="H32"/>
  <c r="I33"/>
  <c r="I34"/>
  <c r="H46"/>
  <c r="I47"/>
  <c r="H48"/>
  <c r="I49"/>
  <c r="I51"/>
  <c r="I53"/>
  <c r="H87"/>
  <c r="H34" i="35"/>
  <c r="H82"/>
  <c r="H33"/>
  <c r="H31"/>
  <c r="H49"/>
  <c r="H53"/>
  <c r="H47"/>
  <c r="H51"/>
  <c r="H87"/>
  <c r="I28"/>
  <c r="I32"/>
  <c r="I46"/>
  <c r="I48"/>
  <c r="I50"/>
  <c r="I52"/>
  <c r="H38" i="34"/>
  <c r="H44"/>
  <c r="H48"/>
  <c r="H55"/>
  <c r="H63"/>
  <c r="H67"/>
  <c r="H40"/>
  <c r="H85"/>
  <c r="I37"/>
  <c r="I39"/>
  <c r="I43"/>
  <c r="I45"/>
  <c r="I47"/>
  <c r="I49"/>
  <c r="I52"/>
  <c r="I64"/>
  <c r="I66"/>
  <c r="I98" i="36" l="1"/>
  <c r="I93" i="35"/>
  <c r="I91" i="34"/>
  <c r="H80"/>
  <c r="H81" i="33" l="1"/>
  <c r="H79"/>
  <c r="I78"/>
  <c r="H75"/>
  <c r="I74"/>
  <c r="H74"/>
  <c r="H73"/>
  <c r="F72"/>
  <c r="H72" s="1"/>
  <c r="I69"/>
  <c r="H69"/>
  <c r="F68"/>
  <c r="I68" s="1"/>
  <c r="F67"/>
  <c r="I67" s="1"/>
  <c r="F66"/>
  <c r="I66" s="1"/>
  <c r="F65"/>
  <c r="I65" s="1"/>
  <c r="F64"/>
  <c r="I64" s="1"/>
  <c r="F63"/>
  <c r="H63" s="1"/>
  <c r="F62"/>
  <c r="H62" s="1"/>
  <c r="H60"/>
  <c r="I60"/>
  <c r="F59"/>
  <c r="H59" s="1"/>
  <c r="H57"/>
  <c r="F56"/>
  <c r="I56" s="1"/>
  <c r="F53"/>
  <c r="I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F38"/>
  <c r="I38" s="1"/>
  <c r="I37"/>
  <c r="H37"/>
  <c r="H35"/>
  <c r="F28"/>
  <c r="I28" s="1"/>
  <c r="I73" i="32"/>
  <c r="H80"/>
  <c r="H78"/>
  <c r="I77"/>
  <c r="H74"/>
  <c r="H73"/>
  <c r="H72"/>
  <c r="F71"/>
  <c r="H71" s="1"/>
  <c r="I67"/>
  <c r="H67"/>
  <c r="H66"/>
  <c r="I65"/>
  <c r="H64"/>
  <c r="I63"/>
  <c r="H62"/>
  <c r="H61"/>
  <c r="H60"/>
  <c r="F57"/>
  <c r="H57" s="1"/>
  <c r="H55"/>
  <c r="F54"/>
  <c r="H54" s="1"/>
  <c r="F51"/>
  <c r="I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F42"/>
  <c r="I42" s="1"/>
  <c r="I40"/>
  <c r="H40"/>
  <c r="F39"/>
  <c r="H39" s="1"/>
  <c r="F38"/>
  <c r="I38" s="1"/>
  <c r="F37"/>
  <c r="H37" s="1"/>
  <c r="F36"/>
  <c r="I36" s="1"/>
  <c r="I35"/>
  <c r="H35"/>
  <c r="H81" i="31"/>
  <c r="H79"/>
  <c r="I78"/>
  <c r="H75"/>
  <c r="H74"/>
  <c r="H73"/>
  <c r="F72"/>
  <c r="H72" s="1"/>
  <c r="I68"/>
  <c r="H68"/>
  <c r="F67"/>
  <c r="H67" s="1"/>
  <c r="F66"/>
  <c r="H66" s="1"/>
  <c r="F65"/>
  <c r="H65" s="1"/>
  <c r="F64"/>
  <c r="H64" s="1"/>
  <c r="F63"/>
  <c r="H63" s="1"/>
  <c r="F62"/>
  <c r="H62" s="1"/>
  <c r="I61"/>
  <c r="F61"/>
  <c r="H61" s="1"/>
  <c r="F58"/>
  <c r="H58" s="1"/>
  <c r="I51"/>
  <c r="H51"/>
  <c r="H50"/>
  <c r="I49"/>
  <c r="H48"/>
  <c r="I47"/>
  <c r="H46"/>
  <c r="I45"/>
  <c r="H44"/>
  <c r="I43"/>
  <c r="I41"/>
  <c r="H41"/>
  <c r="F40"/>
  <c r="H40" s="1"/>
  <c r="F39"/>
  <c r="I39" s="1"/>
  <c r="F38"/>
  <c r="H38" s="1"/>
  <c r="F37"/>
  <c r="I37" s="1"/>
  <c r="I36"/>
  <c r="H36"/>
  <c r="H34"/>
  <c r="H33"/>
  <c r="H32"/>
  <c r="I31"/>
  <c r="H30"/>
  <c r="H83" i="30"/>
  <c r="H81"/>
  <c r="I80"/>
  <c r="H77"/>
  <c r="H76"/>
  <c r="H75"/>
  <c r="F74"/>
  <c r="H74" s="1"/>
  <c r="I71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H62" s="1"/>
  <c r="F61"/>
  <c r="H61" s="1"/>
  <c r="H59"/>
  <c r="F58"/>
  <c r="I58" s="1"/>
  <c r="F55"/>
  <c r="I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H36"/>
  <c r="H35"/>
  <c r="F34"/>
  <c r="H34" s="1"/>
  <c r="E34"/>
  <c r="F33"/>
  <c r="H33" s="1"/>
  <c r="F32"/>
  <c r="I32" s="1"/>
  <c r="F31"/>
  <c r="H31" s="1"/>
  <c r="F28"/>
  <c r="I28" s="1"/>
  <c r="H86" i="29"/>
  <c r="H88" s="1"/>
  <c r="H85"/>
  <c r="H83"/>
  <c r="H81"/>
  <c r="I80"/>
  <c r="H78"/>
  <c r="H77"/>
  <c r="H76"/>
  <c r="H75"/>
  <c r="F74"/>
  <c r="H74" s="1"/>
  <c r="H72"/>
  <c r="I72"/>
  <c r="I71"/>
  <c r="H71"/>
  <c r="F70"/>
  <c r="H70" s="1"/>
  <c r="F69"/>
  <c r="H69" s="1"/>
  <c r="H68"/>
  <c r="F68"/>
  <c r="H67"/>
  <c r="F67"/>
  <c r="F66"/>
  <c r="H66" s="1"/>
  <c r="F65"/>
  <c r="H65" s="1"/>
  <c r="I64"/>
  <c r="F64"/>
  <c r="H64" s="1"/>
  <c r="H62"/>
  <c r="I62"/>
  <c r="F61"/>
  <c r="H59"/>
  <c r="F58"/>
  <c r="H55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3"/>
  <c r="H41"/>
  <c r="I40"/>
  <c r="H39"/>
  <c r="H38"/>
  <c r="H36"/>
  <c r="H35"/>
  <c r="F34"/>
  <c r="I34" s="1"/>
  <c r="E34"/>
  <c r="F33"/>
  <c r="I33" s="1"/>
  <c r="F32"/>
  <c r="H32" s="1"/>
  <c r="F31"/>
  <c r="I31" s="1"/>
  <c r="F28"/>
  <c r="H28" s="1"/>
  <c r="H82" i="28"/>
  <c r="H80"/>
  <c r="I79"/>
  <c r="H76"/>
  <c r="H75"/>
  <c r="H74"/>
  <c r="H73"/>
  <c r="I70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0"/>
  <c r="H60" s="1"/>
  <c r="H58"/>
  <c r="F57"/>
  <c r="I53"/>
  <c r="H53"/>
  <c r="F52"/>
  <c r="I52" s="1"/>
  <c r="F51"/>
  <c r="I51" s="1"/>
  <c r="F49"/>
  <c r="I49" s="1"/>
  <c r="F48"/>
  <c r="H48" s="1"/>
  <c r="F47"/>
  <c r="I47" s="1"/>
  <c r="F46"/>
  <c r="H46" s="1"/>
  <c r="F45"/>
  <c r="I45" s="1"/>
  <c r="H35"/>
  <c r="H34"/>
  <c r="F33"/>
  <c r="I33" s="1"/>
  <c r="E33"/>
  <c r="F32"/>
  <c r="I32" s="1"/>
  <c r="F31"/>
  <c r="I31" s="1"/>
  <c r="F30"/>
  <c r="H30" s="1"/>
  <c r="I63" i="27"/>
  <c r="F60"/>
  <c r="H60" s="1"/>
  <c r="H58"/>
  <c r="F57"/>
  <c r="I57" s="1"/>
  <c r="F54"/>
  <c r="H61" i="29" l="1"/>
  <c r="I61"/>
  <c r="I63" i="31"/>
  <c r="H53" i="29"/>
  <c r="H33" i="28"/>
  <c r="H47"/>
  <c r="H57"/>
  <c r="H57" i="27"/>
  <c r="H47" i="33"/>
  <c r="H41"/>
  <c r="H51"/>
  <c r="H39"/>
  <c r="H45"/>
  <c r="H49"/>
  <c r="H56"/>
  <c r="H63" i="32"/>
  <c r="H58" i="30"/>
  <c r="H82" s="1"/>
  <c r="H58" i="29"/>
  <c r="H82" s="1"/>
  <c r="H81" i="28"/>
  <c r="H31"/>
  <c r="H32"/>
  <c r="H49"/>
  <c r="H52"/>
  <c r="H64" i="33"/>
  <c r="H68"/>
  <c r="H66"/>
  <c r="H85"/>
  <c r="H28"/>
  <c r="H38"/>
  <c r="H40"/>
  <c r="H44"/>
  <c r="H46"/>
  <c r="H48"/>
  <c r="H50"/>
  <c r="H53"/>
  <c r="H65"/>
  <c r="H67"/>
  <c r="H36" i="32"/>
  <c r="H51"/>
  <c r="H38"/>
  <c r="H65"/>
  <c r="H44"/>
  <c r="H48"/>
  <c r="H42"/>
  <c r="H46"/>
  <c r="H84"/>
  <c r="I37"/>
  <c r="I39"/>
  <c r="I43"/>
  <c r="I45"/>
  <c r="I47"/>
  <c r="I49"/>
  <c r="I54"/>
  <c r="I62"/>
  <c r="I64"/>
  <c r="I66"/>
  <c r="I84" s="1"/>
  <c r="I66" i="31"/>
  <c r="I64"/>
  <c r="I67"/>
  <c r="I65"/>
  <c r="H85"/>
  <c r="I30"/>
  <c r="H31"/>
  <c r="I32"/>
  <c r="H37"/>
  <c r="I38"/>
  <c r="H39"/>
  <c r="I40"/>
  <c r="H43"/>
  <c r="I44"/>
  <c r="H45"/>
  <c r="I46"/>
  <c r="H47"/>
  <c r="I48"/>
  <c r="H49"/>
  <c r="I50"/>
  <c r="I85" s="1"/>
  <c r="H52"/>
  <c r="H51" i="30"/>
  <c r="H47"/>
  <c r="H49"/>
  <c r="H53"/>
  <c r="H28"/>
  <c r="I31"/>
  <c r="H32"/>
  <c r="I33"/>
  <c r="I34"/>
  <c r="H46"/>
  <c r="H48"/>
  <c r="H50"/>
  <c r="H52"/>
  <c r="H55"/>
  <c r="H87"/>
  <c r="H51" i="29"/>
  <c r="H49"/>
  <c r="I28"/>
  <c r="H31"/>
  <c r="I32"/>
  <c r="H33"/>
  <c r="H34"/>
  <c r="I39"/>
  <c r="H40"/>
  <c r="I41"/>
  <c r="H42"/>
  <c r="I46"/>
  <c r="H47"/>
  <c r="I48"/>
  <c r="I50"/>
  <c r="I52"/>
  <c r="I55"/>
  <c r="I88" s="1"/>
  <c r="I85"/>
  <c r="I86"/>
  <c r="I30" i="28"/>
  <c r="H45"/>
  <c r="I46"/>
  <c r="I48"/>
  <c r="H51"/>
  <c r="H54"/>
  <c r="H86"/>
  <c r="H82" i="27"/>
  <c r="H80"/>
  <c r="I79"/>
  <c r="H76"/>
  <c r="H75"/>
  <c r="H74"/>
  <c r="F73"/>
  <c r="H73" s="1"/>
  <c r="I70"/>
  <c r="H70"/>
  <c r="F69"/>
  <c r="H69" s="1"/>
  <c r="F68"/>
  <c r="H68" s="1"/>
  <c r="F67"/>
  <c r="H67" s="1"/>
  <c r="F66"/>
  <c r="H66" s="1"/>
  <c r="F65"/>
  <c r="H65" s="1"/>
  <c r="F64"/>
  <c r="H64" s="1"/>
  <c r="F63"/>
  <c r="H63" s="1"/>
  <c r="I54"/>
  <c r="H54"/>
  <c r="I53"/>
  <c r="H53"/>
  <c r="F52"/>
  <c r="I52" s="1"/>
  <c r="F51"/>
  <c r="H51" s="1"/>
  <c r="F49"/>
  <c r="H49" s="1"/>
  <c r="F48"/>
  <c r="I48" s="1"/>
  <c r="F47"/>
  <c r="H47" s="1"/>
  <c r="F46"/>
  <c r="I46" s="1"/>
  <c r="F45"/>
  <c r="H45" s="1"/>
  <c r="H35"/>
  <c r="H34"/>
  <c r="F33"/>
  <c r="I33" s="1"/>
  <c r="E33"/>
  <c r="F32"/>
  <c r="I32" s="1"/>
  <c r="F31"/>
  <c r="H31" s="1"/>
  <c r="F30"/>
  <c r="I30" s="1"/>
  <c r="H79" i="32" l="1"/>
  <c r="I88"/>
  <c r="I89" i="33"/>
  <c r="I90" i="31"/>
  <c r="I96" i="29"/>
  <c r="H33" i="27"/>
  <c r="H80" i="31"/>
  <c r="I96" i="28"/>
  <c r="H80" i="33"/>
  <c r="I93" i="30"/>
  <c r="H46" i="27"/>
  <c r="H30"/>
  <c r="H32"/>
  <c r="H48"/>
  <c r="H52"/>
  <c r="H81"/>
  <c r="H86"/>
  <c r="I31"/>
  <c r="I45"/>
  <c r="I47"/>
  <c r="I49"/>
  <c r="I51"/>
  <c r="I93" l="1"/>
  <c r="I80" i="26" l="1"/>
  <c r="H80"/>
  <c r="H78"/>
  <c r="I77"/>
  <c r="H74"/>
  <c r="H73"/>
  <c r="H72"/>
  <c r="F71"/>
  <c r="H71" s="1"/>
  <c r="I68"/>
  <c r="H68"/>
  <c r="F67"/>
  <c r="H67" s="1"/>
  <c r="F66"/>
  <c r="H66" s="1"/>
  <c r="F65"/>
  <c r="H65" s="1"/>
  <c r="F64"/>
  <c r="H64" s="1"/>
  <c r="F63"/>
  <c r="H63" s="1"/>
  <c r="F62"/>
  <c r="H62" s="1"/>
  <c r="F61"/>
  <c r="H61" s="1"/>
  <c r="F58"/>
  <c r="H58" s="1"/>
  <c r="H56"/>
  <c r="F55"/>
  <c r="H55" s="1"/>
  <c r="I52"/>
  <c r="H52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F37"/>
  <c r="I37" s="1"/>
  <c r="I36"/>
  <c r="H36"/>
  <c r="H34"/>
  <c r="H49" l="1"/>
  <c r="H79"/>
  <c r="H45"/>
  <c r="H47"/>
  <c r="H84"/>
  <c r="H37"/>
  <c r="I38"/>
  <c r="H39"/>
  <c r="I40"/>
  <c r="H43"/>
  <c r="I44"/>
  <c r="I46"/>
  <c r="I48"/>
  <c r="I50"/>
  <c r="I68" i="25"/>
  <c r="I89" i="26" l="1"/>
  <c r="I52" i="25"/>
  <c r="I51"/>
  <c r="I41"/>
  <c r="H79"/>
  <c r="H77"/>
  <c r="H74"/>
  <c r="H73"/>
  <c r="H72"/>
  <c r="F71"/>
  <c r="H71" s="1"/>
  <c r="H68"/>
  <c r="F67"/>
  <c r="H67" s="1"/>
  <c r="F66"/>
  <c r="H66" s="1"/>
  <c r="F65"/>
  <c r="H65" s="1"/>
  <c r="F64"/>
  <c r="H64" s="1"/>
  <c r="F63"/>
  <c r="H63" s="1"/>
  <c r="F62"/>
  <c r="H62" s="1"/>
  <c r="F61"/>
  <c r="H61" s="1"/>
  <c r="F58"/>
  <c r="H58" s="1"/>
  <c r="H56"/>
  <c r="F55"/>
  <c r="H55" s="1"/>
  <c r="H52"/>
  <c r="H51"/>
  <c r="F50"/>
  <c r="H50" s="1"/>
  <c r="H49"/>
  <c r="H48"/>
  <c r="F47"/>
  <c r="H47" s="1"/>
  <c r="F46"/>
  <c r="H46" s="1"/>
  <c r="F45"/>
  <c r="H45" s="1"/>
  <c r="F44"/>
  <c r="H44" s="1"/>
  <c r="F43"/>
  <c r="H43" s="1"/>
  <c r="H41"/>
  <c r="F40"/>
  <c r="H40" s="1"/>
  <c r="F39"/>
  <c r="H39" s="1"/>
  <c r="F38"/>
  <c r="H38" s="1"/>
  <c r="F37"/>
  <c r="H37" s="1"/>
  <c r="H36"/>
  <c r="H34"/>
  <c r="I36"/>
  <c r="I37"/>
  <c r="I38"/>
  <c r="I39" l="1"/>
  <c r="I40"/>
  <c r="I43"/>
  <c r="I47"/>
  <c r="I45"/>
  <c r="I48"/>
  <c r="I46"/>
  <c r="I44"/>
  <c r="I50"/>
  <c r="I49"/>
  <c r="H78"/>
  <c r="H83" l="1"/>
  <c r="I90" l="1"/>
</calcChain>
</file>

<file path=xl/sharedStrings.xml><?xml version="1.0" encoding="utf-8"?>
<sst xmlns="http://schemas.openxmlformats.org/spreadsheetml/2006/main" count="2684" uniqueCount="282">
  <si>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</si>
  <si>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</si>
  <si>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</si>
  <si>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</si>
  <si>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</si>
  <si>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</si>
  <si>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</si>
  <si>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</si>
  <si>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</si>
  <si>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</si>
  <si>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</si>
  <si>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</si>
  <si>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</si>
  <si>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</si>
  <si>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</si>
  <si>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</si>
  <si>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</si>
  <si>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</si>
  <si>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</si>
  <si>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</si>
  <si>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</si>
  <si>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</si>
  <si>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</si>
  <si>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</si>
  <si>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</si>
  <si>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</si>
  <si>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</si>
  <si>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</si>
  <si>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</si>
  <si>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</si>
  <si>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</si>
  <si>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</si>
  <si>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</si>
  <si>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</si>
  <si>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</si>
  <si>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</si>
  <si>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</si>
  <si>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</si>
  <si>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</si>
  <si>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</si>
  <si>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</si>
  <si>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</si>
  <si>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</si>
  <si>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</si>
  <si>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</si>
  <si>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</si>
  <si>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</si>
  <si>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</si>
  <si>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</si>
  <si>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</si>
  <si>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</si>
  <si>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</si>
  <si>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</si>
  <si>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</si>
  <si>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</si>
  <si>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</si>
  <si>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</si>
  <si>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</si>
  <si>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</si>
  <si>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</si>
  <si>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</si>
  <si>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</si>
  <si>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</si>
  <si>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</si>
  <si>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</si>
  <si>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</si>
  <si>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</si>
  <si>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</si>
  <si>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</si>
  <si>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</si>
  <si>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</si>
  <si>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</si>
  <si>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</si>
  <si>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</si>
  <si>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</si>
  <si>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</si>
  <si>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</si>
  <si>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место</t>
  </si>
  <si>
    <t xml:space="preserve">II. Уборка земельного участка 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</si>
  <si>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</si>
  <si>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</si>
  <si>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</si>
  <si>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</si>
  <si>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</si>
  <si>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</si>
  <si>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</si>
  <si>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</si>
  <si>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</si>
  <si>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</si>
  <si>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</si>
  <si>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</si>
  <si>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</si>
  <si>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</si>
  <si>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</si>
  <si>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</si>
  <si>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</si>
  <si>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</si>
  <si>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</si>
  <si>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</si>
  <si>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</si>
  <si>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</si>
  <si>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</si>
  <si>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</si>
  <si>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</si>
  <si>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</si>
  <si>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</si>
  <si>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</si>
  <si>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</si>
  <si>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</si>
  <si>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</si>
  <si>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</si>
  <si>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</si>
  <si>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2-3 этажа</t>
  </si>
  <si>
    <t>Мытье лестничных  площадок и маршей 1-3 этаж.</t>
  </si>
  <si>
    <t xml:space="preserve"> </t>
  </si>
  <si>
    <t>Сдвигание снега в дни снегопада (крыльца, вход.площадки)</t>
  </si>
  <si>
    <t xml:space="preserve">Подметание снега с крылец, вход. площадок </t>
  </si>
  <si>
    <t>Очистка территории 1-го класса с усовершенствованным покрытием под скребок: ступеньки и площадки крылец, входные площадки</t>
  </si>
  <si>
    <t>24 раз за сезон</t>
  </si>
  <si>
    <t>Пескопосыпка территории: крыльца и вход.площади</t>
  </si>
  <si>
    <t>Работа автовышки</t>
  </si>
  <si>
    <t>маш-час</t>
  </si>
  <si>
    <t>ТО внутренних сетей водопровода и канализации</t>
  </si>
  <si>
    <t>руб/м2 в мес.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</si>
  <si>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</si>
  <si>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</si>
  <si>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</si>
  <si>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</si>
  <si>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</si>
  <si>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Дератизация</t>
  </si>
  <si>
    <t xml:space="preserve">приемки оказанных услуг и выполненных работ по содержанию и текущему ремонту
общего имущества в многоквартирном доме №49 по ул.Октябрьская пгт.Ярега
</t>
  </si>
  <si>
    <t>5 раз в год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</si>
  <si>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</si>
  <si>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</si>
  <si>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</si>
  <si>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</si>
  <si>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</si>
  <si>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</si>
  <si>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</si>
  <si>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</si>
  <si>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</si>
  <si>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</si>
  <si>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</si>
  <si>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</si>
  <si>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</si>
  <si>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</si>
  <si>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д.49</t>
    </r>
  </si>
  <si>
    <t>II. Уборка земельного участка</t>
  </si>
  <si>
    <t>52 раза в сезон</t>
  </si>
  <si>
    <t>78 раз за сезон</t>
  </si>
  <si>
    <t>Итого затраты за месяц</t>
  </si>
  <si>
    <t>АКТ №8</t>
  </si>
  <si>
    <t>м</t>
  </si>
  <si>
    <t>АКТ №11</t>
  </si>
  <si>
    <t>АКТ №12</t>
  </si>
  <si>
    <t>ООО «Движение»</t>
  </si>
  <si>
    <t>1 раз</t>
  </si>
  <si>
    <t>Водоснабжение и канализация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</si>
  <si>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</si>
  <si>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</si>
  <si>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</si>
  <si>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</si>
  <si>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</si>
  <si>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</si>
  <si>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4 раза</t>
  </si>
  <si>
    <t>7 раз</t>
  </si>
  <si>
    <t xml:space="preserve">1 раз </t>
  </si>
  <si>
    <t>3 раза</t>
  </si>
  <si>
    <t>1,5 маш/час</t>
  </si>
  <si>
    <t>Установка хомута диаметром до 50 мм</t>
  </si>
  <si>
    <t>Очистка вручную от снега и наледи люков водопроводных и канализационных колодцев</t>
  </si>
  <si>
    <t>12 раз</t>
  </si>
  <si>
    <t xml:space="preserve">2 раза 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</si>
  <si>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</si>
  <si>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</si>
  <si>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</si>
  <si>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</si>
  <si>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Осмотр электросетей, армазуры и электрооборудования на лестничных клетках</t>
  </si>
  <si>
    <t>Очистка урн от мусора</t>
  </si>
  <si>
    <t>100шт</t>
  </si>
  <si>
    <t>2 раз</t>
  </si>
  <si>
    <t>Ремонт отдельных мест покрытия из асбоцементных листов обыкновенного профиля</t>
  </si>
  <si>
    <t>10 м2</t>
  </si>
  <si>
    <t>1 рах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</si>
  <si>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19.02.2020г.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</si>
  <si>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20 раз</t>
  </si>
  <si>
    <t>11 раз</t>
  </si>
  <si>
    <t>Очистка канализационной сети внутренней</t>
  </si>
  <si>
    <t>час</t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</si>
  <si>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</si>
  <si>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19.02.2020г.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</si>
  <si>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 раз)</t>
  </si>
  <si>
    <t>зам.генерального директора Кочанова И.Л.</t>
  </si>
  <si>
    <t>за период с 01.01.2021 г. по 31.01.2021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</si>
  <si>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19.02.2020г.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</si>
  <si>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0,4 ч (25 янв.)</t>
  </si>
  <si>
    <t>Осмотр водопроводов, канализации, отопления</t>
  </si>
  <si>
    <t>1 шт. ХВС подвал</t>
  </si>
  <si>
    <t>2. Всего за период с 01.01.2021 по 31.01.2021 выполнено работ (оказано услуг) на общую сумму: 27469,41 руб.</t>
  </si>
  <si>
    <t>(двадцать семь тысяч четыреста шестьдесят девять рублей 41 копейка )</t>
  </si>
  <si>
    <t>за период с 01.02.2021 г. по 29.02.2021 г.</t>
  </si>
  <si>
    <t>1 ч ( 2,5 ч)</t>
  </si>
  <si>
    <t>Вывоз снега с придомовой территории</t>
  </si>
  <si>
    <t>Подключение и отключение сварочного аппарата</t>
  </si>
  <si>
    <t>Отогрев ХВС</t>
  </si>
  <si>
    <t>26 м3</t>
  </si>
  <si>
    <t>4 м</t>
  </si>
  <si>
    <t>23 февр.</t>
  </si>
  <si>
    <t>Смена светодиодных светильников ( со стоимостью светильника)</t>
  </si>
  <si>
    <t>под.№3 тамбур 1 шт</t>
  </si>
  <si>
    <t>Поверка счетчика холодной и горячей воды ВСХ, ВСХд, ВСГ, ВСГд, ВСТ-40607-09 заводской номер 15338676</t>
  </si>
  <si>
    <t>Очистка стен тамбура от наледи</t>
  </si>
  <si>
    <t>под.№ 3</t>
  </si>
  <si>
    <t>2. Всего за период с 01.02.2021 по 29.02.2021 выполнено работ (оказано услуг) на общую сумму: 41943,60 руб.</t>
  </si>
  <si>
    <t>( сорок одна тысяча девятьсот сорок три рубля 60 копеек)</t>
  </si>
  <si>
    <t>за период с 01.03.2021 г. по 31.03.2021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</si>
  <si>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29.02.2020г.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</si>
  <si>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2,16,17,25 марта</t>
  </si>
  <si>
    <t>11 марта</t>
  </si>
  <si>
    <t>Установка трапов</t>
  </si>
  <si>
    <t>100 м</t>
  </si>
  <si>
    <t>Смена автомата на ток до 25А</t>
  </si>
  <si>
    <t>2. Всего за период с 01.03.2021 по 31.03.2021 выполнено работ (оказано услуг) на общую сумму: 33453,76 руб.</t>
  </si>
  <si>
    <t>(тридцать три тысячи четыреста пятьдесят три рубля 76 копеек)</t>
  </si>
  <si>
    <t>Осмотр дверей в подвал</t>
  </si>
  <si>
    <t>под.№1</t>
  </si>
  <si>
    <t>за период с 01.04.2021 г. по 30.04.2021 г.</t>
  </si>
  <si>
    <t>1 апр.</t>
  </si>
  <si>
    <t xml:space="preserve">Шифер </t>
  </si>
  <si>
    <t>4,5 шт.</t>
  </si>
  <si>
    <t>14м2</t>
  </si>
  <si>
    <t>2. Всего за период с 01.04.2021 по 30.04.2021 выполнено работ (оказано услуг) на общую сумму: 34987,41 руб.</t>
  </si>
  <si>
    <t>(тридцать четыре тысячи девятьсот восемьдесят семь рублей 41 копейка)</t>
  </si>
  <si>
    <t>за период с 01.05.2021 г. по 31.05.2021 г.</t>
  </si>
  <si>
    <t>Закрытие слухового окна</t>
  </si>
  <si>
    <t>2. Всего за период с 01.05.2021 по 31.05.2021 выполнено работ (оказано услуг) на общую сумму: 32987,60 руб.</t>
  </si>
  <si>
    <t>(тридцать две тысячи девятьсот восемьдесят семь рублей 60 копеек)</t>
  </si>
  <si>
    <t>за период с 01.06.2021 г. по 30.06.2021 г.</t>
  </si>
  <si>
    <t>2. Всего за период с 01.06.21 по 30.06.2021 выполнено работ (оказано услуг) на общую сумму: 78868,97 руб.</t>
  </si>
  <si>
    <t>(семьдесят восемь тысяч восемьсот шестьдесят восемь рублей 97 копеек)</t>
  </si>
  <si>
    <t>за период с 01.07.2021 г. по 31.07.2021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</si>
  <si>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19.02.2020 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</si>
  <si>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1 раз    </t>
  </si>
  <si>
    <t>2. Всего за период с 01.07.2021 по 31.07.2021 выполнено работ (оказано услуг) на общую сумму: 26866,63  руб.</t>
  </si>
  <si>
    <t>(двадцать шесть тысяч восемьсот шестьдесят шесть рублей 63 копейки)</t>
  </si>
  <si>
    <t>за период с 01.08.2021 г. по 31.08.2021 г.</t>
  </si>
  <si>
    <t>Очистка цоколя и отмостки от растительности</t>
  </si>
  <si>
    <t>2. Всего за период с 01.08.2021 по 31.08.2021 выполнено работ (оказано услуг) на общую сумму: 28830,76 руб.</t>
  </si>
  <si>
    <t>(двадцать восемь тысяч восемьсот тридцать рублей 76 копеек)</t>
  </si>
  <si>
    <t>за период с 01.09.2021 г. по 30.09.2021 г.</t>
  </si>
  <si>
    <t>Нумерация подъездов и квартир</t>
  </si>
  <si>
    <t>Ремонт и регулировка доводчика (со стоимостью доводчика)</t>
  </si>
  <si>
    <t>1шт.</t>
  </si>
  <si>
    <t>1 шт. под.№1 ГВС</t>
  </si>
  <si>
    <t>1 шт. под. №1</t>
  </si>
  <si>
    <t>2. Всего за период с 01.09.2021 по 30.09.2021 выполнено работ (оказано услуг) на общую сумму: 33858,21 руб.</t>
  </si>
  <si>
    <t>(тридцать три тысячи восемьсот пятьдесят восемь рублей 21 копейка)</t>
  </si>
  <si>
    <t>за период с 01.10.2021 г. по 31.10.2021 г.</t>
  </si>
  <si>
    <t>2. Всего за период с 01.10.2021 по 31.10.2021 выполнено работ (оказано услуг) на общую сумму: 24367,79 руб.</t>
  </si>
  <si>
    <t>( двадцать четыре тысячи триста шестьдесят семь рублей 79 копеек)</t>
  </si>
  <si>
    <t>за период с 01.11.2021 г. по 30.11.2021 г.</t>
  </si>
  <si>
    <t>Установка заглушек диаметром трубопроводов до 100 мм</t>
  </si>
  <si>
    <t>заглушка</t>
  </si>
  <si>
    <t>биосорбент</t>
  </si>
  <si>
    <t>кг</t>
  </si>
  <si>
    <t>кан-ция подвал 1 шт</t>
  </si>
  <si>
    <t>19,29 ноября</t>
  </si>
  <si>
    <t>2. Всего за период с 01.11.2021 по 30.11.2021 выполнено работ (оказано услуг) на общую сумму: 28854,60 руб.</t>
  </si>
  <si>
    <t>(двадцать восемь тысяч восемьсот пятьдесят четыре рубля 60 копеек)</t>
  </si>
  <si>
    <t>за период с 01.12.2021 г. по 31.12.2021 г.</t>
  </si>
  <si>
    <t>2,16 декабря</t>
  </si>
  <si>
    <t>Работа ротенбергера</t>
  </si>
  <si>
    <t xml:space="preserve">Смена радиаторов отопительных </t>
  </si>
  <si>
    <t>1 шт</t>
  </si>
  <si>
    <t>Радиатор 7 секции + 3 секции</t>
  </si>
  <si>
    <t>Смена внутренних трубопроводов на полипропиленовые трубы PN 25 Dу 25</t>
  </si>
  <si>
    <t>1 шт. кв.8</t>
  </si>
  <si>
    <t>1 м с/о кв.8</t>
  </si>
  <si>
    <t>2 шт. ГВС подвал</t>
  </si>
  <si>
    <t>2. Всего за период с 01.12.2020 по 31.12.2020 выполнено работ (оказано услуг) на общую сумму: 44135,63 руб.</t>
  </si>
  <si>
    <t>(сорок четыре тысячи сто тридцать пять рублей 63 копейки)</t>
  </si>
  <si>
    <t>+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</si>
</sst>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4" fillId="0" borderId="0" xfId="0" applyFont="1"/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14" fontId="11" fillId="2" borderId="8" xfId="0" applyNumberFormat="1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wrapText="1"/>
    </xf>
    <xf numFmtId="4" fontId="19" fillId="4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4" fontId="19" fillId="2" borderId="8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opLeftCell="A59" workbookViewId="0">
      <selection activeCell="B84" sqref="B84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135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193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83">
        <v>44227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194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7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156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ref="H18:H26" si="1">SUM(F18*G18/1000)</f>
        <v>22.298535359999999</v>
      </c>
      <c r="I18" s="34">
        <f>F18/18*G18</f>
        <v>1238.8075200000001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si="1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90</v>
      </c>
      <c r="C20" s="63" t="s">
        <v>80</v>
      </c>
      <c r="D20" s="62" t="s">
        <v>156</v>
      </c>
      <c r="E20" s="64">
        <v>9.18</v>
      </c>
      <c r="F20" s="65">
        <f>SUM(E20*2/100)</f>
        <v>0.18359999999999999</v>
      </c>
      <c r="G20" s="140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156</v>
      </c>
      <c r="E21" s="64">
        <v>8.1</v>
      </c>
      <c r="F21" s="65">
        <f>SUM(E21*2/100)</f>
        <v>0.16200000000000001</v>
      </c>
      <c r="G21" s="140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62" t="s">
        <v>147</v>
      </c>
      <c r="B28" s="163"/>
      <c r="C28" s="163"/>
      <c r="D28" s="163"/>
      <c r="E28" s="163"/>
      <c r="F28" s="163"/>
      <c r="G28" s="163"/>
      <c r="H28" s="163"/>
      <c r="I28" s="164"/>
      <c r="J28" s="24"/>
    </row>
    <row r="29" spans="1:13" ht="15.7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>
        <v>8</v>
      </c>
      <c r="B30" s="62" t="s">
        <v>100</v>
      </c>
      <c r="C30" s="63" t="s">
        <v>83</v>
      </c>
      <c r="D30" s="62" t="s">
        <v>148</v>
      </c>
      <c r="E30" s="65">
        <v>61.5</v>
      </c>
      <c r="F30" s="65">
        <f>SUM(E30*52/1000)</f>
        <v>3.198</v>
      </c>
      <c r="G30" s="65">
        <v>193.97</v>
      </c>
      <c r="H30" s="66">
        <f t="shared" ref="H30:H35" si="3">SUM(F30*G30/1000)</f>
        <v>0.62031605999999995</v>
      </c>
      <c r="I30" s="13">
        <f t="shared" ref="I30:I31" si="4">F30/6*G30</f>
        <v>103.38601</v>
      </c>
      <c r="J30" s="23"/>
      <c r="K30" s="8"/>
      <c r="L30" s="8"/>
      <c r="M30" s="8"/>
    </row>
    <row r="31" spans="1:13" ht="31.5" hidden="1" customHeight="1">
      <c r="A31" s="30">
        <v>9</v>
      </c>
      <c r="B31" s="62" t="s">
        <v>99</v>
      </c>
      <c r="C31" s="63" t="s">
        <v>83</v>
      </c>
      <c r="D31" s="62" t="s">
        <v>149</v>
      </c>
      <c r="E31" s="65">
        <v>35.299999999999997</v>
      </c>
      <c r="F31" s="65">
        <f>SUM(E31*78/1000)</f>
        <v>2.7533999999999996</v>
      </c>
      <c r="G31" s="65">
        <v>321.82</v>
      </c>
      <c r="H31" s="66">
        <f t="shared" si="3"/>
        <v>0.88609918799999987</v>
      </c>
      <c r="I31" s="13">
        <f t="shared" si="4"/>
        <v>147.68319799999998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83</v>
      </c>
      <c r="D32" s="62" t="s">
        <v>53</v>
      </c>
      <c r="E32" s="65">
        <v>61.5</v>
      </c>
      <c r="F32" s="65">
        <f>SUM(E32/1000)</f>
        <v>6.1499999999999999E-2</v>
      </c>
      <c r="G32" s="65">
        <v>3758.28</v>
      </c>
      <c r="H32" s="66">
        <f t="shared" si="3"/>
        <v>0.23113422</v>
      </c>
      <c r="I32" s="13">
        <f>F32*G32</f>
        <v>231.13422</v>
      </c>
      <c r="J32" s="23"/>
      <c r="K32" s="8"/>
      <c r="L32" s="8"/>
      <c r="M32" s="8"/>
    </row>
    <row r="33" spans="1:14" ht="15.75" hidden="1" customHeight="1">
      <c r="A33" s="30">
        <v>10</v>
      </c>
      <c r="B33" s="62" t="s">
        <v>98</v>
      </c>
      <c r="C33" s="63" t="s">
        <v>30</v>
      </c>
      <c r="D33" s="62" t="s">
        <v>62</v>
      </c>
      <c r="E33" s="69">
        <f>1/3</f>
        <v>0.33333333333333331</v>
      </c>
      <c r="F33" s="65">
        <f>155/3</f>
        <v>51.666666666666664</v>
      </c>
      <c r="G33" s="65">
        <v>70.540000000000006</v>
      </c>
      <c r="H33" s="66">
        <f t="shared" si="3"/>
        <v>3.6445666666666665</v>
      </c>
      <c r="I33" s="13">
        <f>F33/6*G33</f>
        <v>607.42777777777781</v>
      </c>
      <c r="J33" s="23"/>
      <c r="K33" s="8"/>
      <c r="L33" s="8"/>
      <c r="M33" s="8"/>
    </row>
    <row r="34" spans="1:14" ht="15.75" hidden="1" customHeight="1">
      <c r="A34" s="30"/>
      <c r="B34" s="62" t="s">
        <v>63</v>
      </c>
      <c r="C34" s="63" t="s">
        <v>32</v>
      </c>
      <c r="D34" s="62" t="s">
        <v>65</v>
      </c>
      <c r="E34" s="64"/>
      <c r="F34" s="65">
        <v>1</v>
      </c>
      <c r="G34" s="65">
        <v>238.07</v>
      </c>
      <c r="H34" s="66">
        <f t="shared" si="3"/>
        <v>0.23807</v>
      </c>
      <c r="I34" s="13">
        <v>0</v>
      </c>
      <c r="J34" s="24"/>
    </row>
    <row r="35" spans="1:14" ht="15.75" hidden="1" customHeight="1">
      <c r="A35" s="30"/>
      <c r="B35" s="62" t="s">
        <v>64</v>
      </c>
      <c r="C35" s="63" t="s">
        <v>31</v>
      </c>
      <c r="D35" s="62" t="s">
        <v>65</v>
      </c>
      <c r="E35" s="64"/>
      <c r="F35" s="65">
        <v>1</v>
      </c>
      <c r="G35" s="65">
        <v>1413.96</v>
      </c>
      <c r="H35" s="66">
        <f t="shared" si="3"/>
        <v>1.4139600000000001</v>
      </c>
      <c r="I35" s="13">
        <v>0</v>
      </c>
      <c r="J35" s="24"/>
    </row>
    <row r="36" spans="1:14" ht="15.75" customHeight="1">
      <c r="A36" s="30"/>
      <c r="B36" s="81" t="s">
        <v>5</v>
      </c>
      <c r="C36" s="63"/>
      <c r="D36" s="62"/>
      <c r="E36" s="64"/>
      <c r="F36" s="65"/>
      <c r="G36" s="65"/>
      <c r="H36" s="66" t="s">
        <v>114</v>
      </c>
      <c r="I36" s="13"/>
      <c r="J36" s="24"/>
      <c r="L36" s="19"/>
      <c r="M36" s="20"/>
      <c r="N36" s="21"/>
    </row>
    <row r="37" spans="1:14" ht="15.75" customHeight="1">
      <c r="A37" s="30">
        <v>5</v>
      </c>
      <c r="B37" s="62" t="s">
        <v>26</v>
      </c>
      <c r="C37" s="63" t="s">
        <v>31</v>
      </c>
      <c r="D37" s="62" t="s">
        <v>195</v>
      </c>
      <c r="E37" s="64"/>
      <c r="F37" s="65">
        <v>3</v>
      </c>
      <c r="G37" s="140">
        <v>1930</v>
      </c>
      <c r="H37" s="66">
        <f t="shared" ref="H37:H42" si="5">SUM(F37*G37/1000)</f>
        <v>5.79</v>
      </c>
      <c r="I37" s="13">
        <f>G37*0.4</f>
        <v>772</v>
      </c>
      <c r="J37" s="24"/>
      <c r="L37" s="19"/>
      <c r="M37" s="20"/>
      <c r="N37" s="21"/>
    </row>
    <row r="38" spans="1:14" ht="31.5" customHeight="1">
      <c r="A38" s="30">
        <v>6</v>
      </c>
      <c r="B38" s="130" t="s">
        <v>115</v>
      </c>
      <c r="C38" s="131" t="s">
        <v>29</v>
      </c>
      <c r="D38" s="118" t="s">
        <v>163</v>
      </c>
      <c r="E38" s="123">
        <v>35.299999999999997</v>
      </c>
      <c r="F38" s="132">
        <f>E38*30/1000</f>
        <v>1.0589999999999999</v>
      </c>
      <c r="G38" s="113">
        <v>3134.93</v>
      </c>
      <c r="H38" s="66">
        <f t="shared" si="5"/>
        <v>3.3198908699999996</v>
      </c>
      <c r="I38" s="13">
        <f t="shared" ref="I38:I40" si="6">F38/6*G38</f>
        <v>553.31514499999992</v>
      </c>
      <c r="J38" s="24"/>
      <c r="L38" s="19"/>
      <c r="M38" s="20"/>
      <c r="N38" s="21"/>
    </row>
    <row r="39" spans="1:14" ht="15.75" customHeight="1">
      <c r="A39" s="30">
        <v>7</v>
      </c>
      <c r="B39" s="118" t="s">
        <v>116</v>
      </c>
      <c r="C39" s="119" t="s">
        <v>29</v>
      </c>
      <c r="D39" s="118" t="s">
        <v>171</v>
      </c>
      <c r="E39" s="123">
        <v>35.299999999999997</v>
      </c>
      <c r="F39" s="132">
        <f>SUM(E39*72/1000)</f>
        <v>2.5415999999999999</v>
      </c>
      <c r="G39" s="113">
        <v>522.92999999999995</v>
      </c>
      <c r="H39" s="66">
        <f t="shared" si="5"/>
        <v>1.3290788879999997</v>
      </c>
      <c r="I39" s="13">
        <f t="shared" si="6"/>
        <v>221.51314799999997</v>
      </c>
      <c r="J39" s="24"/>
      <c r="L39" s="19"/>
      <c r="M39" s="20"/>
      <c r="N39" s="21"/>
    </row>
    <row r="40" spans="1:14" ht="47.25" customHeight="1">
      <c r="A40" s="30">
        <v>8</v>
      </c>
      <c r="B40" s="118" t="s">
        <v>117</v>
      </c>
      <c r="C40" s="119" t="s">
        <v>83</v>
      </c>
      <c r="D40" s="118" t="s">
        <v>164</v>
      </c>
      <c r="E40" s="123">
        <v>35.299999999999997</v>
      </c>
      <c r="F40" s="132">
        <f>SUM(E40*24/1000)</f>
        <v>0.84719999999999995</v>
      </c>
      <c r="G40" s="113">
        <v>8652.07</v>
      </c>
      <c r="H40" s="66">
        <f t="shared" si="5"/>
        <v>7.3300337039999999</v>
      </c>
      <c r="I40" s="13">
        <f t="shared" si="6"/>
        <v>1221.672284</v>
      </c>
      <c r="J40" s="24"/>
      <c r="L40" s="19"/>
      <c r="M40" s="20"/>
      <c r="N40" s="21"/>
    </row>
    <row r="41" spans="1:14" ht="15.75" hidden="1" customHeight="1">
      <c r="A41" s="30">
        <v>9</v>
      </c>
      <c r="B41" s="118" t="s">
        <v>119</v>
      </c>
      <c r="C41" s="119" t="s">
        <v>83</v>
      </c>
      <c r="D41" s="118" t="s">
        <v>81</v>
      </c>
      <c r="E41" s="123">
        <v>35.299999999999997</v>
      </c>
      <c r="F41" s="132">
        <f>SUM(E41*30/1000)</f>
        <v>1.0589999999999999</v>
      </c>
      <c r="G41" s="113">
        <v>639.14</v>
      </c>
      <c r="H41" s="66">
        <f t="shared" si="5"/>
        <v>0.67684926000000001</v>
      </c>
      <c r="I41" s="13">
        <f>(F41/7.5*1.5)*G41</f>
        <v>135.36985199999998</v>
      </c>
      <c r="J41" s="24"/>
      <c r="L41" s="19"/>
      <c r="M41" s="20"/>
      <c r="N41" s="21"/>
    </row>
    <row r="42" spans="1:14" ht="15.75" hidden="1" customHeight="1">
      <c r="A42" s="30">
        <v>10</v>
      </c>
      <c r="B42" s="130" t="s">
        <v>67</v>
      </c>
      <c r="C42" s="131" t="s">
        <v>32</v>
      </c>
      <c r="D42" s="130"/>
      <c r="E42" s="120"/>
      <c r="F42" s="132">
        <v>0.3</v>
      </c>
      <c r="G42" s="132">
        <v>900</v>
      </c>
      <c r="H42" s="66">
        <f t="shared" si="5"/>
        <v>0.27</v>
      </c>
      <c r="I42" s="13">
        <f>(F42/7.5*1.5)*G42</f>
        <v>54</v>
      </c>
      <c r="J42" s="24"/>
      <c r="L42" s="19"/>
      <c r="M42" s="20"/>
      <c r="N42" s="21"/>
    </row>
    <row r="43" spans="1:14" ht="30.75" customHeight="1">
      <c r="A43" s="30">
        <v>9</v>
      </c>
      <c r="B43" s="136" t="s">
        <v>170</v>
      </c>
      <c r="C43" s="131" t="s">
        <v>29</v>
      </c>
      <c r="D43" s="130" t="s">
        <v>172</v>
      </c>
      <c r="E43" s="120">
        <v>1.2</v>
      </c>
      <c r="F43" s="132">
        <f>E43*12/1000</f>
        <v>1.4399999999999998E-2</v>
      </c>
      <c r="G43" s="132">
        <v>20547.34</v>
      </c>
      <c r="H43" s="56"/>
      <c r="I43" s="13">
        <f>G43*F43/6</f>
        <v>49.313615999999996</v>
      </c>
      <c r="J43" s="24"/>
      <c r="L43" s="19"/>
      <c r="M43" s="20"/>
      <c r="N43" s="21"/>
    </row>
    <row r="44" spans="1:14" ht="15.75" customHeight="1">
      <c r="A44" s="162" t="s">
        <v>132</v>
      </c>
      <c r="B44" s="163"/>
      <c r="C44" s="163"/>
      <c r="D44" s="163"/>
      <c r="E44" s="163"/>
      <c r="F44" s="163"/>
      <c r="G44" s="163"/>
      <c r="H44" s="163"/>
      <c r="I44" s="164"/>
      <c r="J44" s="24"/>
      <c r="L44" s="19"/>
      <c r="M44" s="20"/>
      <c r="N44" s="21"/>
    </row>
    <row r="45" spans="1:14" ht="15.75" hidden="1" customHeight="1">
      <c r="A45" s="30">
        <v>11</v>
      </c>
      <c r="B45" s="62" t="s">
        <v>101</v>
      </c>
      <c r="C45" s="63" t="s">
        <v>83</v>
      </c>
      <c r="D45" s="62" t="s">
        <v>42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7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12</v>
      </c>
      <c r="B46" s="62" t="s">
        <v>35</v>
      </c>
      <c r="C46" s="63" t="s">
        <v>83</v>
      </c>
      <c r="D46" s="62" t="s">
        <v>42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7"/>
        <v>0.22640256000000003</v>
      </c>
      <c r="I46" s="13">
        <f t="shared" ref="I46:I53" si="8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13</v>
      </c>
      <c r="B47" s="62" t="s">
        <v>36</v>
      </c>
      <c r="C47" s="63" t="s">
        <v>83</v>
      </c>
      <c r="D47" s="62" t="s">
        <v>42</v>
      </c>
      <c r="E47" s="64">
        <v>772</v>
      </c>
      <c r="F47" s="65">
        <f>SUM(E47*2/1000)</f>
        <v>1.544</v>
      </c>
      <c r="G47" s="13">
        <v>1711.28</v>
      </c>
      <c r="H47" s="66">
        <f t="shared" si="7"/>
        <v>2.6422163200000002</v>
      </c>
      <c r="I47" s="13">
        <f t="shared" si="8"/>
        <v>1321.10816</v>
      </c>
      <c r="J47" s="24"/>
      <c r="L47" s="19"/>
      <c r="M47" s="20"/>
      <c r="N47" s="21"/>
    </row>
    <row r="48" spans="1:14" ht="15.75" hidden="1" customHeight="1">
      <c r="A48" s="30">
        <v>14</v>
      </c>
      <c r="B48" s="62" t="s">
        <v>37</v>
      </c>
      <c r="C48" s="63" t="s">
        <v>83</v>
      </c>
      <c r="D48" s="62" t="s">
        <v>42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7"/>
        <v>2.2636659240000001</v>
      </c>
      <c r="I48" s="13">
        <f t="shared" si="8"/>
        <v>1131.832962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33</v>
      </c>
      <c r="C49" s="63" t="s">
        <v>34</v>
      </c>
      <c r="D49" s="62" t="s">
        <v>42</v>
      </c>
      <c r="E49" s="64">
        <v>66.02</v>
      </c>
      <c r="F49" s="65">
        <f>SUM(E49*2/100)</f>
        <v>1.3204</v>
      </c>
      <c r="G49" s="13">
        <v>90.61</v>
      </c>
      <c r="H49" s="66">
        <f t="shared" si="7"/>
        <v>0.11964144400000001</v>
      </c>
      <c r="I49" s="13">
        <f t="shared" si="8"/>
        <v>59.820722000000004</v>
      </c>
      <c r="J49" s="24"/>
      <c r="L49" s="19"/>
      <c r="M49" s="20"/>
      <c r="N49" s="21"/>
    </row>
    <row r="50" spans="1:22" ht="15.75" customHeight="1">
      <c r="A50" s="30">
        <v>10</v>
      </c>
      <c r="B50" s="62" t="s">
        <v>55</v>
      </c>
      <c r="C50" s="63" t="s">
        <v>83</v>
      </c>
      <c r="D50" s="153" t="s">
        <v>191</v>
      </c>
      <c r="E50" s="154">
        <v>702.5</v>
      </c>
      <c r="F50" s="140">
        <f>SUM(E50*5/1000)</f>
        <v>3.5125000000000002</v>
      </c>
      <c r="G50" s="115">
        <v>1809.27</v>
      </c>
      <c r="H50" s="66">
        <f t="shared" ref="H50" si="9">SUM(F50*G50/1000)</f>
        <v>6.3550608750000004</v>
      </c>
      <c r="I50" s="13">
        <f>F50/5*G50</f>
        <v>1271.0121750000001</v>
      </c>
      <c r="J50" s="24"/>
      <c r="L50" s="19"/>
      <c r="M50" s="20"/>
      <c r="N50" s="21"/>
    </row>
    <row r="51" spans="1:22" ht="32.25" hidden="1" customHeight="1">
      <c r="A51" s="30"/>
      <c r="B51" s="62" t="s">
        <v>84</v>
      </c>
      <c r="C51" s="63" t="s">
        <v>83</v>
      </c>
      <c r="D51" s="62" t="s">
        <v>42</v>
      </c>
      <c r="E51" s="64">
        <v>1536.4</v>
      </c>
      <c r="F51" s="65">
        <f>SUM(E51*2/1000)</f>
        <v>3.0728</v>
      </c>
      <c r="G51" s="13">
        <v>1510.06</v>
      </c>
      <c r="H51" s="66">
        <f t="shared" si="7"/>
        <v>4.6401123680000005</v>
      </c>
      <c r="I51" s="13">
        <f t="shared" si="8"/>
        <v>2320.056184</v>
      </c>
      <c r="J51" s="24"/>
      <c r="L51" s="19"/>
      <c r="M51" s="20"/>
      <c r="N51" s="21"/>
    </row>
    <row r="52" spans="1:22" ht="32.25" hidden="1" customHeight="1">
      <c r="A52" s="30"/>
      <c r="B52" s="62" t="s">
        <v>85</v>
      </c>
      <c r="C52" s="63" t="s">
        <v>38</v>
      </c>
      <c r="D52" s="62" t="s">
        <v>42</v>
      </c>
      <c r="E52" s="64">
        <v>9</v>
      </c>
      <c r="F52" s="65">
        <f>SUM(E52*2/100)</f>
        <v>0.18</v>
      </c>
      <c r="G52" s="13">
        <v>3850.4</v>
      </c>
      <c r="H52" s="66">
        <f t="shared" si="7"/>
        <v>0.69307200000000002</v>
      </c>
      <c r="I52" s="13">
        <f t="shared" si="8"/>
        <v>346.536</v>
      </c>
      <c r="J52" s="24"/>
      <c r="L52" s="19"/>
      <c r="M52" s="20"/>
      <c r="N52" s="21"/>
    </row>
    <row r="53" spans="1:22" ht="15.75" hidden="1" customHeight="1">
      <c r="A53" s="30"/>
      <c r="B53" s="62" t="s">
        <v>39</v>
      </c>
      <c r="C53" s="63" t="s">
        <v>40</v>
      </c>
      <c r="D53" s="62" t="s">
        <v>42</v>
      </c>
      <c r="E53" s="64">
        <v>1</v>
      </c>
      <c r="F53" s="65">
        <v>0.02</v>
      </c>
      <c r="G53" s="13">
        <v>7033.13</v>
      </c>
      <c r="H53" s="66">
        <f t="shared" si="7"/>
        <v>0.1406626</v>
      </c>
      <c r="I53" s="13">
        <f t="shared" si="8"/>
        <v>70.331299999999999</v>
      </c>
      <c r="J53" s="24"/>
      <c r="L53" s="19"/>
      <c r="M53" s="20"/>
      <c r="N53" s="21"/>
    </row>
    <row r="54" spans="1:22" ht="15.75" hidden="1" customHeight="1">
      <c r="A54" s="30">
        <v>13</v>
      </c>
      <c r="B54" s="62" t="s">
        <v>41</v>
      </c>
      <c r="C54" s="63" t="s">
        <v>102</v>
      </c>
      <c r="D54" s="62" t="s">
        <v>68</v>
      </c>
      <c r="E54" s="64">
        <v>53</v>
      </c>
      <c r="F54" s="65">
        <f>53*3</f>
        <v>159</v>
      </c>
      <c r="G54" s="13">
        <v>81.73</v>
      </c>
      <c r="H54" s="66">
        <f t="shared" si="7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62" t="s">
        <v>133</v>
      </c>
      <c r="B55" s="163"/>
      <c r="C55" s="163"/>
      <c r="D55" s="163"/>
      <c r="E55" s="163"/>
      <c r="F55" s="163"/>
      <c r="G55" s="163"/>
      <c r="H55" s="163"/>
      <c r="I55" s="164"/>
    </row>
    <row r="56" spans="1:22" ht="15.75" hidden="1" customHeight="1">
      <c r="A56" s="30"/>
      <c r="B56" s="81" t="s">
        <v>43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14</v>
      </c>
      <c r="B57" s="62" t="s">
        <v>103</v>
      </c>
      <c r="C57" s="63" t="s">
        <v>80</v>
      </c>
      <c r="D57" s="62" t="s">
        <v>104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F57/6*G57</f>
        <v>265.26129999999995</v>
      </c>
    </row>
    <row r="58" spans="1:22" ht="15.75" hidden="1" customHeight="1">
      <c r="A58" s="30"/>
      <c r="B58" s="62" t="s">
        <v>120</v>
      </c>
      <c r="C58" s="63" t="s">
        <v>121</v>
      </c>
      <c r="D58" s="62" t="s">
        <v>65</v>
      </c>
      <c r="E58" s="64"/>
      <c r="F58" s="65">
        <v>2</v>
      </c>
      <c r="G58" s="84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1" t="s">
        <v>44</v>
      </c>
      <c r="C59" s="63"/>
      <c r="D59" s="62"/>
      <c r="E59" s="64"/>
      <c r="F59" s="65"/>
      <c r="G59" s="85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105</v>
      </c>
      <c r="C60" s="63" t="s">
        <v>80</v>
      </c>
      <c r="D60" s="62" t="s">
        <v>53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11</v>
      </c>
      <c r="B61" s="73" t="s">
        <v>129</v>
      </c>
      <c r="C61" s="72" t="s">
        <v>25</v>
      </c>
      <c r="D61" s="73" t="s">
        <v>156</v>
      </c>
      <c r="E61" s="74">
        <v>140.5</v>
      </c>
      <c r="F61" s="65">
        <v>1320</v>
      </c>
      <c r="G61" s="86">
        <v>1.4</v>
      </c>
      <c r="H61" s="71">
        <f>F61*G61/1000</f>
        <v>1.8479999999999999</v>
      </c>
      <c r="I61" s="13">
        <f>F61/12*G61</f>
        <v>154</v>
      </c>
      <c r="J61" s="5"/>
      <c r="K61" s="5"/>
      <c r="L61" s="5"/>
      <c r="M61" s="5"/>
      <c r="N61" s="5"/>
      <c r="O61" s="5"/>
      <c r="P61" s="5"/>
      <c r="Q61" s="5"/>
      <c r="R61" s="161"/>
      <c r="S61" s="161"/>
      <c r="T61" s="161"/>
      <c r="U61" s="161"/>
    </row>
    <row r="62" spans="1:22" ht="15.75" customHeight="1">
      <c r="A62" s="30"/>
      <c r="B62" s="82" t="s">
        <v>45</v>
      </c>
      <c r="C62" s="72"/>
      <c r="D62" s="73"/>
      <c r="E62" s="74"/>
      <c r="F62" s="75"/>
      <c r="G62" s="75"/>
      <c r="H62" s="76" t="s">
        <v>114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16</v>
      </c>
      <c r="B63" s="14" t="s">
        <v>46</v>
      </c>
      <c r="C63" s="16" t="s">
        <v>102</v>
      </c>
      <c r="D63" s="14" t="s">
        <v>65</v>
      </c>
      <c r="E63" s="18">
        <v>2</v>
      </c>
      <c r="F63" s="65">
        <f>E63</f>
        <v>2</v>
      </c>
      <c r="G63" s="13">
        <v>276.74</v>
      </c>
      <c r="H63" s="61">
        <f t="shared" ref="H63:H80" si="10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47</v>
      </c>
      <c r="C64" s="16" t="s">
        <v>102</v>
      </c>
      <c r="D64" s="14" t="s">
        <v>65</v>
      </c>
      <c r="E64" s="18">
        <v>1</v>
      </c>
      <c r="F64" s="65">
        <f>E64</f>
        <v>1</v>
      </c>
      <c r="G64" s="13">
        <v>94.89</v>
      </c>
      <c r="H64" s="61">
        <f t="shared" si="10"/>
        <v>9.4890000000000002E-2</v>
      </c>
      <c r="I64" s="13">
        <v>0</v>
      </c>
    </row>
    <row r="65" spans="1:9" ht="15.75" hidden="1" customHeight="1">
      <c r="A65" s="30"/>
      <c r="B65" s="14" t="s">
        <v>48</v>
      </c>
      <c r="C65" s="16" t="s">
        <v>106</v>
      </c>
      <c r="D65" s="14" t="s">
        <v>53</v>
      </c>
      <c r="E65" s="64">
        <v>6307</v>
      </c>
      <c r="F65" s="13">
        <f>SUM(E65/100)</f>
        <v>63.07</v>
      </c>
      <c r="G65" s="13">
        <v>263.99</v>
      </c>
      <c r="H65" s="61">
        <f t="shared" si="10"/>
        <v>16.649849300000003</v>
      </c>
      <c r="I65" s="13">
        <v>0</v>
      </c>
    </row>
    <row r="66" spans="1:9" ht="15.75" hidden="1" customHeight="1">
      <c r="A66" s="30"/>
      <c r="B66" s="14" t="s">
        <v>49</v>
      </c>
      <c r="C66" s="16" t="s">
        <v>107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10"/>
        <v>1.29652999</v>
      </c>
      <c r="I66" s="13">
        <v>0</v>
      </c>
    </row>
    <row r="67" spans="1:9" ht="15.75" hidden="1" customHeight="1">
      <c r="A67" s="30"/>
      <c r="B67" s="14" t="s">
        <v>50</v>
      </c>
      <c r="C67" s="16" t="s">
        <v>74</v>
      </c>
      <c r="D67" s="14" t="s">
        <v>53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10"/>
        <v>25.892745900000001</v>
      </c>
      <c r="I67" s="13">
        <v>0</v>
      </c>
    </row>
    <row r="68" spans="1:9" ht="15.75" hidden="1" customHeight="1">
      <c r="A68" s="30"/>
      <c r="B68" s="77" t="s">
        <v>108</v>
      </c>
      <c r="C68" s="16" t="s">
        <v>32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10"/>
        <v>0.31514999999999999</v>
      </c>
      <c r="I68" s="13">
        <v>0</v>
      </c>
    </row>
    <row r="69" spans="1:9" ht="15.75" hidden="1" customHeight="1">
      <c r="A69" s="30"/>
      <c r="B69" s="77" t="s">
        <v>109</v>
      </c>
      <c r="C69" s="16" t="s">
        <v>32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10"/>
        <v>0.292182</v>
      </c>
      <c r="I69" s="13">
        <v>0</v>
      </c>
    </row>
    <row r="70" spans="1:9" ht="15.75" hidden="1" customHeight="1">
      <c r="A70" s="30">
        <v>19</v>
      </c>
      <c r="B70" s="14" t="s">
        <v>56</v>
      </c>
      <c r="C70" s="16" t="s">
        <v>57</v>
      </c>
      <c r="D70" s="14" t="s">
        <v>53</v>
      </c>
      <c r="E70" s="18">
        <v>3</v>
      </c>
      <c r="F70" s="65">
        <v>3</v>
      </c>
      <c r="G70" s="13">
        <v>62.07</v>
      </c>
      <c r="H70" s="61">
        <f t="shared" si="10"/>
        <v>0.18621000000000001</v>
      </c>
      <c r="I70" s="13">
        <f>F70*G70</f>
        <v>186.21</v>
      </c>
    </row>
    <row r="71" spans="1:9" ht="15.75" customHeight="1">
      <c r="A71" s="30">
        <v>12</v>
      </c>
      <c r="B71" s="133" t="s">
        <v>122</v>
      </c>
      <c r="C71" s="126" t="s">
        <v>123</v>
      </c>
      <c r="D71" s="133" t="s">
        <v>156</v>
      </c>
      <c r="E71" s="17">
        <v>1536.4</v>
      </c>
      <c r="F71" s="134">
        <f>E71*12</f>
        <v>18436.800000000003</v>
      </c>
      <c r="G71" s="34">
        <v>2.6</v>
      </c>
      <c r="H71" s="61">
        <f t="shared" ref="H71" si="11">SUM(F71*G71/1000)</f>
        <v>47.935680000000005</v>
      </c>
      <c r="I71" s="13">
        <f>F71/12*G71</f>
        <v>3994.6400000000008</v>
      </c>
    </row>
    <row r="72" spans="1:9" ht="15.75" customHeight="1">
      <c r="A72" s="30"/>
      <c r="B72" s="92" t="s">
        <v>69</v>
      </c>
      <c r="C72" s="16"/>
      <c r="D72" s="14"/>
      <c r="E72" s="18"/>
      <c r="F72" s="13"/>
      <c r="G72" s="13"/>
      <c r="H72" s="61" t="s">
        <v>114</v>
      </c>
      <c r="I72" s="13"/>
    </row>
    <row r="73" spans="1:9" ht="15.75" hidden="1" customHeight="1">
      <c r="A73" s="30"/>
      <c r="B73" s="14" t="s">
        <v>124</v>
      </c>
      <c r="C73" s="16" t="s">
        <v>125</v>
      </c>
      <c r="D73" s="14" t="s">
        <v>65</v>
      </c>
      <c r="E73" s="18">
        <v>1</v>
      </c>
      <c r="F73" s="13">
        <f>E73</f>
        <v>1</v>
      </c>
      <c r="G73" s="13">
        <v>976.4</v>
      </c>
      <c r="H73" s="61">
        <f t="shared" ref="H73:H74" si="12">SUM(F73*G73/1000)</f>
        <v>0.97639999999999993</v>
      </c>
      <c r="I73" s="13">
        <v>0</v>
      </c>
    </row>
    <row r="74" spans="1:9" ht="15.75" hidden="1" customHeight="1">
      <c r="A74" s="30"/>
      <c r="B74" s="14" t="s">
        <v>126</v>
      </c>
      <c r="C74" s="16" t="s">
        <v>127</v>
      </c>
      <c r="D74" s="14"/>
      <c r="E74" s="18">
        <v>1</v>
      </c>
      <c r="F74" s="13">
        <v>1</v>
      </c>
      <c r="G74" s="13">
        <v>650</v>
      </c>
      <c r="H74" s="61">
        <f t="shared" si="12"/>
        <v>0.65</v>
      </c>
      <c r="I74" s="13">
        <v>0</v>
      </c>
    </row>
    <row r="75" spans="1:9" ht="15.75" hidden="1" customHeight="1">
      <c r="A75" s="30"/>
      <c r="B75" s="14" t="s">
        <v>70</v>
      </c>
      <c r="C75" s="16" t="s">
        <v>72</v>
      </c>
      <c r="D75" s="14"/>
      <c r="E75" s="18">
        <v>3</v>
      </c>
      <c r="F75" s="13">
        <v>0.3</v>
      </c>
      <c r="G75" s="13">
        <v>624.16999999999996</v>
      </c>
      <c r="H75" s="61">
        <f t="shared" si="10"/>
        <v>0.18725099999999997</v>
      </c>
      <c r="I75" s="13">
        <v>0</v>
      </c>
    </row>
    <row r="76" spans="1:9" ht="15.75" hidden="1" customHeight="1">
      <c r="A76" s="30"/>
      <c r="B76" s="14" t="s">
        <v>71</v>
      </c>
      <c r="C76" s="16" t="s">
        <v>30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13</v>
      </c>
      <c r="B77" s="46" t="s">
        <v>173</v>
      </c>
      <c r="C77" s="47" t="s">
        <v>102</v>
      </c>
      <c r="D77" s="133" t="s">
        <v>166</v>
      </c>
      <c r="E77" s="17">
        <v>2</v>
      </c>
      <c r="F77" s="34">
        <f>E77*12</f>
        <v>24</v>
      </c>
      <c r="G77" s="34">
        <v>420</v>
      </c>
      <c r="H77" s="61">
        <f>G77*F77/1000</f>
        <v>10.08</v>
      </c>
      <c r="I77" s="13">
        <f>G77*2</f>
        <v>840</v>
      </c>
    </row>
    <row r="78" spans="1:9" ht="30" customHeight="1">
      <c r="A78" s="30">
        <v>14</v>
      </c>
      <c r="B78" s="46" t="s">
        <v>174</v>
      </c>
      <c r="C78" s="47" t="s">
        <v>30</v>
      </c>
      <c r="D78" s="133" t="s">
        <v>166</v>
      </c>
      <c r="E78" s="17">
        <v>1</v>
      </c>
      <c r="F78" s="34">
        <f>E78*12</f>
        <v>12</v>
      </c>
      <c r="G78" s="34">
        <v>1829</v>
      </c>
      <c r="H78" s="61"/>
      <c r="I78" s="13">
        <f>G78*F78/12</f>
        <v>1829</v>
      </c>
    </row>
    <row r="79" spans="1:9" ht="15.75" hidden="1" customHeight="1">
      <c r="A79" s="30"/>
      <c r="B79" s="79" t="s">
        <v>73</v>
      </c>
      <c r="C79" s="16"/>
      <c r="D79" s="14"/>
      <c r="E79" s="18"/>
      <c r="F79" s="13"/>
      <c r="G79" s="13" t="s">
        <v>114</v>
      </c>
      <c r="H79" s="61" t="s">
        <v>114</v>
      </c>
      <c r="I79" s="13" t="str">
        <f>G79</f>
        <v xml:space="preserve"> </v>
      </c>
    </row>
    <row r="80" spans="1:9" ht="15.75" hidden="1" customHeight="1">
      <c r="A80" s="30"/>
      <c r="B80" s="43" t="s">
        <v>128</v>
      </c>
      <c r="C80" s="16" t="s">
        <v>74</v>
      </c>
      <c r="D80" s="14"/>
      <c r="E80" s="18"/>
      <c r="F80" s="13">
        <v>0.1</v>
      </c>
      <c r="G80" s="13">
        <v>3433.69</v>
      </c>
      <c r="H80" s="61">
        <f t="shared" si="10"/>
        <v>0.34336900000000004</v>
      </c>
      <c r="I80" s="13">
        <v>0</v>
      </c>
    </row>
    <row r="81" spans="1:9" ht="15.75" hidden="1" customHeight="1">
      <c r="A81" s="30"/>
      <c r="B81" s="55" t="s">
        <v>86</v>
      </c>
      <c r="C81" s="79"/>
      <c r="D81" s="31"/>
      <c r="E81" s="32"/>
      <c r="F81" s="68"/>
      <c r="G81" s="68"/>
      <c r="H81" s="80">
        <f>SUM(H57:H80)</f>
        <v>114.41822979000001</v>
      </c>
      <c r="I81" s="13"/>
    </row>
    <row r="82" spans="1:9" ht="15.75" hidden="1" customHeight="1">
      <c r="A82" s="30"/>
      <c r="B82" s="62" t="s">
        <v>110</v>
      </c>
      <c r="C82" s="16"/>
      <c r="D82" s="14"/>
      <c r="E82" s="57"/>
      <c r="F82" s="13">
        <v>1</v>
      </c>
      <c r="G82" s="35">
        <v>6105.8</v>
      </c>
      <c r="H82" s="61">
        <f>G82*F82/1000</f>
        <v>6.1058000000000003</v>
      </c>
      <c r="I82" s="13">
        <v>0</v>
      </c>
    </row>
    <row r="83" spans="1:9" ht="15.75" customHeight="1">
      <c r="A83" s="162" t="s">
        <v>134</v>
      </c>
      <c r="B83" s="163"/>
      <c r="C83" s="163"/>
      <c r="D83" s="163"/>
      <c r="E83" s="163"/>
      <c r="F83" s="163"/>
      <c r="G83" s="163"/>
      <c r="H83" s="163"/>
      <c r="I83" s="164"/>
    </row>
    <row r="84" spans="1:9" ht="15.75" customHeight="1">
      <c r="A84" s="30">
        <v>15</v>
      </c>
      <c r="B84" s="118" t="s">
        <v>111</v>
      </c>
      <c r="C84" s="125" t="s">
        <v>54</v>
      </c>
      <c r="D84" s="135"/>
      <c r="E84" s="34">
        <v>1536.4</v>
      </c>
      <c r="F84" s="34">
        <f>SUM(E84*12)</f>
        <v>18436.800000000003</v>
      </c>
      <c r="G84" s="34">
        <v>3.5</v>
      </c>
      <c r="H84" s="61">
        <f>SUM(F84*G84/1000)</f>
        <v>64.528800000000004</v>
      </c>
      <c r="I84" s="13">
        <f>F84/12*G84</f>
        <v>5377.4000000000015</v>
      </c>
    </row>
    <row r="85" spans="1:9" ht="31.5" customHeight="1">
      <c r="A85" s="30">
        <v>16</v>
      </c>
      <c r="B85" s="118" t="s">
        <v>175</v>
      </c>
      <c r="C85" s="125" t="s">
        <v>54</v>
      </c>
      <c r="D85" s="135"/>
      <c r="E85" s="34">
        <v>1536.4</v>
      </c>
      <c r="F85" s="34">
        <f>E85*12</f>
        <v>18436.800000000003</v>
      </c>
      <c r="G85" s="34">
        <v>3.2</v>
      </c>
      <c r="H85" s="61">
        <f>F85*G85/1000</f>
        <v>58.997760000000007</v>
      </c>
      <c r="I85" s="13">
        <f>F85/12*G85</f>
        <v>4916.4800000000014</v>
      </c>
    </row>
    <row r="86" spans="1:9" ht="15.75" customHeight="1">
      <c r="A86" s="30"/>
      <c r="B86" s="36" t="s">
        <v>76</v>
      </c>
      <c r="C86" s="79"/>
      <c r="D86" s="78"/>
      <c r="E86" s="68"/>
      <c r="F86" s="68"/>
      <c r="G86" s="68"/>
      <c r="H86" s="80">
        <f>H85</f>
        <v>58.997760000000007</v>
      </c>
      <c r="I86" s="68">
        <f>I85+I84+I78+I77+I71+I61+I50+I43+I40+I39+I38+I37+I27+I18+I17+I16</f>
        <v>27469.408388</v>
      </c>
    </row>
    <row r="87" spans="1:9" ht="15.75" customHeight="1">
      <c r="A87" s="174" t="s">
        <v>59</v>
      </c>
      <c r="B87" s="175"/>
      <c r="C87" s="175"/>
      <c r="D87" s="175"/>
      <c r="E87" s="175"/>
      <c r="F87" s="175"/>
      <c r="G87" s="175"/>
      <c r="H87" s="175"/>
      <c r="I87" s="176"/>
    </row>
    <row r="88" spans="1:9" ht="30.75" customHeight="1">
      <c r="A88" s="30">
        <v>17</v>
      </c>
      <c r="B88" s="109" t="s">
        <v>177</v>
      </c>
      <c r="C88" s="110" t="s">
        <v>38</v>
      </c>
      <c r="D88" s="100" t="s">
        <v>156</v>
      </c>
      <c r="E88" s="34"/>
      <c r="F88" s="34">
        <v>0.01</v>
      </c>
      <c r="G88" s="34">
        <v>4233.72</v>
      </c>
      <c r="H88" s="13"/>
      <c r="I88" s="13">
        <v>0</v>
      </c>
    </row>
    <row r="89" spans="1:9" ht="18" customHeight="1">
      <c r="A89" s="30">
        <v>18</v>
      </c>
      <c r="B89" s="109" t="s">
        <v>169</v>
      </c>
      <c r="C89" s="110" t="s">
        <v>77</v>
      </c>
      <c r="D89" s="100" t="s">
        <v>197</v>
      </c>
      <c r="E89" s="34"/>
      <c r="F89" s="34">
        <v>1</v>
      </c>
      <c r="G89" s="34">
        <v>231.54</v>
      </c>
      <c r="H89" s="13"/>
      <c r="I89" s="13">
        <v>0</v>
      </c>
    </row>
    <row r="90" spans="1:9" ht="15" customHeight="1">
      <c r="A90" s="30">
        <v>19</v>
      </c>
      <c r="B90" s="109" t="s">
        <v>196</v>
      </c>
      <c r="C90" s="110" t="s">
        <v>40</v>
      </c>
      <c r="D90" s="100" t="s">
        <v>156</v>
      </c>
      <c r="E90" s="34"/>
      <c r="F90" s="34">
        <v>0.01</v>
      </c>
      <c r="G90" s="34">
        <v>28224.75</v>
      </c>
      <c r="H90" s="13"/>
      <c r="I90" s="13">
        <v>0</v>
      </c>
    </row>
    <row r="91" spans="1:9" ht="15.75" customHeight="1">
      <c r="A91" s="30"/>
      <c r="B91" s="41" t="s">
        <v>51</v>
      </c>
      <c r="C91" s="37"/>
      <c r="D91" s="44"/>
      <c r="E91" s="37">
        <v>1</v>
      </c>
      <c r="F91" s="37"/>
      <c r="G91" s="37"/>
      <c r="H91" s="37"/>
      <c r="I91" s="32">
        <f>SUM(I88:I90)</f>
        <v>0</v>
      </c>
    </row>
    <row r="92" spans="1:9" ht="15.75" customHeight="1">
      <c r="A92" s="30"/>
      <c r="B92" s="43" t="s">
        <v>75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150</v>
      </c>
      <c r="C93" s="33"/>
      <c r="D93" s="33"/>
      <c r="E93" s="33"/>
      <c r="F93" s="33"/>
      <c r="G93" s="33"/>
      <c r="H93" s="33"/>
      <c r="I93" s="40">
        <f>I86+I91</f>
        <v>27469.408388</v>
      </c>
    </row>
    <row r="94" spans="1:9" ht="15.75">
      <c r="A94" s="182" t="s">
        <v>198</v>
      </c>
      <c r="B94" s="182"/>
      <c r="C94" s="182"/>
      <c r="D94" s="182"/>
      <c r="E94" s="182"/>
      <c r="F94" s="182"/>
      <c r="G94" s="182"/>
      <c r="H94" s="182"/>
      <c r="I94" s="182"/>
    </row>
    <row r="95" spans="1:9" ht="15.75" customHeight="1">
      <c r="A95" s="54"/>
      <c r="B95" s="183" t="s">
        <v>199</v>
      </c>
      <c r="C95" s="183"/>
      <c r="D95" s="183"/>
      <c r="E95" s="183"/>
      <c r="F95" s="183"/>
      <c r="G95" s="183"/>
      <c r="H95" s="60"/>
      <c r="I95" s="3"/>
    </row>
    <row r="96" spans="1:9">
      <c r="A96" s="90"/>
      <c r="B96" s="179" t="s">
        <v>6</v>
      </c>
      <c r="C96" s="179"/>
      <c r="D96" s="179"/>
      <c r="E96" s="179"/>
      <c r="F96" s="179"/>
      <c r="G96" s="179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171" t="s">
        <v>60</v>
      </c>
      <c r="B100" s="171"/>
      <c r="C100" s="171"/>
      <c r="D100" s="171"/>
      <c r="E100" s="171"/>
      <c r="F100" s="171"/>
      <c r="G100" s="171"/>
      <c r="H100" s="171"/>
      <c r="I100" s="171"/>
    </row>
    <row r="101" spans="1:9" ht="15.75">
      <c r="A101" s="11"/>
    </row>
    <row r="102" spans="1:9" ht="15.75">
      <c r="A102" s="177" t="s">
        <v>9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>
      <c r="A103" s="4"/>
    </row>
    <row r="104" spans="1:9" ht="15.75">
      <c r="B104" s="87" t="s">
        <v>10</v>
      </c>
      <c r="C104" s="178" t="s">
        <v>189</v>
      </c>
      <c r="D104" s="178"/>
      <c r="E104" s="178"/>
      <c r="F104" s="58"/>
      <c r="I104" s="89"/>
    </row>
    <row r="105" spans="1:9">
      <c r="A105" s="90"/>
      <c r="C105" s="179" t="s">
        <v>11</v>
      </c>
      <c r="D105" s="179"/>
      <c r="E105" s="179"/>
      <c r="F105" s="25"/>
      <c r="I105" s="88" t="s">
        <v>12</v>
      </c>
    </row>
    <row r="106" spans="1:9" ht="15.75">
      <c r="A106" s="26"/>
      <c r="C106" s="12"/>
      <c r="D106" s="12"/>
      <c r="G106" s="12"/>
      <c r="H106" s="12"/>
    </row>
    <row r="107" spans="1:9" ht="15.75" customHeight="1">
      <c r="B107" s="87" t="s">
        <v>13</v>
      </c>
      <c r="C107" s="180"/>
      <c r="D107" s="180"/>
      <c r="E107" s="180"/>
      <c r="F107" s="59"/>
      <c r="I107" s="89"/>
    </row>
    <row r="108" spans="1:9" ht="15.75" customHeight="1">
      <c r="A108" s="90"/>
      <c r="C108" s="161" t="s">
        <v>11</v>
      </c>
      <c r="D108" s="161"/>
      <c r="E108" s="161"/>
      <c r="F108" s="90"/>
      <c r="I108" s="88" t="s">
        <v>12</v>
      </c>
    </row>
    <row r="109" spans="1:9" ht="15.75" customHeight="1">
      <c r="A109" s="4" t="s">
        <v>14</v>
      </c>
    </row>
    <row r="110" spans="1:9">
      <c r="A110" s="181" t="s">
        <v>15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45" customHeight="1">
      <c r="A111" s="173" t="s">
        <v>16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30" customHeight="1">
      <c r="A112" s="173" t="s">
        <v>17</v>
      </c>
      <c r="B112" s="173"/>
      <c r="C112" s="173"/>
      <c r="D112" s="173"/>
      <c r="E112" s="173"/>
      <c r="F112" s="173"/>
      <c r="G112" s="173"/>
      <c r="H112" s="173"/>
      <c r="I112" s="173"/>
    </row>
    <row r="113" spans="1:9" ht="30" customHeight="1">
      <c r="A113" s="173" t="s">
        <v>21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15" customHeight="1">
      <c r="A114" s="173" t="s">
        <v>20</v>
      </c>
      <c r="B114" s="173"/>
      <c r="C114" s="173"/>
      <c r="D114" s="173"/>
      <c r="E114" s="173"/>
      <c r="F114" s="173"/>
      <c r="G114" s="173"/>
      <c r="H114" s="173"/>
      <c r="I114" s="173"/>
    </row>
  </sheetData>
  <autoFilter ref="I12:I56"/>
  <mergeCells count="29">
    <mergeCell ref="A111:I111"/>
    <mergeCell ref="A112:I112"/>
    <mergeCell ref="A113:I113"/>
    <mergeCell ref="A114:I114"/>
    <mergeCell ref="A87:I87"/>
    <mergeCell ref="A102:I102"/>
    <mergeCell ref="C104:E104"/>
    <mergeCell ref="C105:E105"/>
    <mergeCell ref="C107:E107"/>
    <mergeCell ref="C108:E108"/>
    <mergeCell ref="A110:I110"/>
    <mergeCell ref="A94:I94"/>
    <mergeCell ref="B95:G95"/>
    <mergeCell ref="B96:G96"/>
    <mergeCell ref="A98:I98"/>
    <mergeCell ref="A99:I99"/>
    <mergeCell ref="A100:I100"/>
    <mergeCell ref="A15:I15"/>
    <mergeCell ref="A28:I28"/>
    <mergeCell ref="A44:I44"/>
    <mergeCell ref="A55:I55"/>
    <mergeCell ref="R61:U61"/>
    <mergeCell ref="A83:I83"/>
    <mergeCell ref="A3:I3"/>
    <mergeCell ref="A4:I4"/>
    <mergeCell ref="A5:I5"/>
    <mergeCell ref="A8:I8"/>
    <mergeCell ref="A10:I10"/>
    <mergeCell ref="A14:I14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0"/>
  <sheetViews>
    <sheetView topLeftCell="A57" workbookViewId="0">
      <selection activeCell="B91" sqref="B91:G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145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257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49"/>
      <c r="C6" s="49"/>
      <c r="D6" s="49"/>
      <c r="E6" s="49"/>
      <c r="F6" s="49"/>
      <c r="G6" s="49"/>
      <c r="H6" s="49"/>
      <c r="I6" s="83">
        <v>44500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184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171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8" si="0">SUM(F16*G16/1000)</f>
        <v>22.391623799999998</v>
      </c>
      <c r="I16" s="34">
        <f>G16*F16/156*12</f>
        <v>1722.4325999999999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165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G17*F17/104*7</f>
        <v>2009.5047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180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90</v>
      </c>
      <c r="C20" s="63" t="s">
        <v>80</v>
      </c>
      <c r="D20" s="62" t="s">
        <v>156</v>
      </c>
      <c r="E20" s="64">
        <v>9.18</v>
      </c>
      <c r="F20" s="65">
        <f>SUM(E20*2/100)</f>
        <v>0.18359999999999999</v>
      </c>
      <c r="G20" s="140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156</v>
      </c>
      <c r="E21" s="64">
        <v>8.1</v>
      </c>
      <c r="F21" s="65">
        <f>SUM(E21*2/100)</f>
        <v>0.16200000000000001</v>
      </c>
      <c r="G21" s="140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118" t="s">
        <v>158</v>
      </c>
      <c r="C27" s="119" t="s">
        <v>25</v>
      </c>
      <c r="D27" s="118" t="s">
        <v>185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G27*F27/258*20</f>
        <v>629.14200000000005</v>
      </c>
      <c r="J27" s="23"/>
      <c r="K27" s="8"/>
    </row>
    <row r="28" spans="1:13" ht="15.75" customHeight="1">
      <c r="A28" s="162" t="s">
        <v>147</v>
      </c>
      <c r="B28" s="163"/>
      <c r="C28" s="163"/>
      <c r="D28" s="163"/>
      <c r="E28" s="163"/>
      <c r="F28" s="163"/>
      <c r="G28" s="163"/>
      <c r="H28" s="163"/>
      <c r="I28" s="164"/>
      <c r="J28" s="24"/>
    </row>
    <row r="29" spans="1:13" ht="15.7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4</v>
      </c>
      <c r="B30" s="118" t="s">
        <v>100</v>
      </c>
      <c r="C30" s="119" t="s">
        <v>83</v>
      </c>
      <c r="D30" s="118" t="s">
        <v>167</v>
      </c>
      <c r="E30" s="113">
        <v>61.5</v>
      </c>
      <c r="F30" s="113">
        <f>SUM(E30*24/1000)</f>
        <v>1.476</v>
      </c>
      <c r="G30" s="113">
        <v>232.4</v>
      </c>
      <c r="H30" s="66">
        <f t="shared" ref="H30:H33" si="3">SUM(F30*G30/1000)</f>
        <v>0.34302240000000001</v>
      </c>
      <c r="I30" s="13">
        <f>G30*F30/24*3</f>
        <v>42.877800000000001</v>
      </c>
      <c r="J30" s="23"/>
      <c r="K30" s="8"/>
      <c r="L30" s="8"/>
      <c r="M30" s="8"/>
    </row>
    <row r="31" spans="1:13" ht="31.5" customHeight="1">
      <c r="A31" s="30">
        <v>5</v>
      </c>
      <c r="B31" s="118" t="s">
        <v>99</v>
      </c>
      <c r="C31" s="119" t="s">
        <v>83</v>
      </c>
      <c r="D31" s="118" t="s">
        <v>186</v>
      </c>
      <c r="E31" s="113">
        <v>35.299999999999997</v>
      </c>
      <c r="F31" s="113">
        <f>SUM(E31*72/1000)</f>
        <v>2.5415999999999999</v>
      </c>
      <c r="G31" s="113">
        <v>385.6</v>
      </c>
      <c r="H31" s="66">
        <f t="shared" si="3"/>
        <v>0.98004096000000007</v>
      </c>
      <c r="I31" s="13">
        <f>G31*F31/72*11</f>
        <v>149.72847999999999</v>
      </c>
      <c r="J31" s="23"/>
      <c r="K31" s="8"/>
      <c r="L31" s="8"/>
      <c r="M31" s="8"/>
    </row>
    <row r="32" spans="1:13" ht="15.75" hidden="1" customHeight="1">
      <c r="A32" s="30"/>
      <c r="B32" s="118" t="s">
        <v>27</v>
      </c>
      <c r="C32" s="119" t="s">
        <v>83</v>
      </c>
      <c r="D32" s="118" t="s">
        <v>156</v>
      </c>
      <c r="E32" s="113">
        <v>61.5</v>
      </c>
      <c r="F32" s="113">
        <f>SUM(E32/1000)</f>
        <v>6.1499999999999999E-2</v>
      </c>
      <c r="G32" s="113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>
        <v>6</v>
      </c>
      <c r="B33" s="116" t="s">
        <v>178</v>
      </c>
      <c r="C33" s="110" t="s">
        <v>179</v>
      </c>
      <c r="D33" s="118" t="s">
        <v>186</v>
      </c>
      <c r="E33" s="113">
        <v>4</v>
      </c>
      <c r="F33" s="113">
        <f>E33*72/100</f>
        <v>2.88</v>
      </c>
      <c r="G33" s="113">
        <v>1941.17</v>
      </c>
      <c r="H33" s="66">
        <f t="shared" si="3"/>
        <v>5.5905696000000002</v>
      </c>
      <c r="I33" s="13">
        <f>G33*F33/72*11</f>
        <v>854.11479999999995</v>
      </c>
      <c r="J33" s="24"/>
    </row>
    <row r="34" spans="1:14" ht="15.75" hidden="1" customHeight="1">
      <c r="A34" s="30"/>
      <c r="B34" s="62" t="s">
        <v>64</v>
      </c>
      <c r="C34" s="63" t="s">
        <v>31</v>
      </c>
      <c r="D34" s="62" t="s">
        <v>65</v>
      </c>
      <c r="E34" s="64"/>
      <c r="F34" s="65">
        <v>1</v>
      </c>
      <c r="G34" s="65">
        <v>1413.96</v>
      </c>
      <c r="H34" s="66">
        <f t="shared" ref="H34" si="4">SUM(F34*G34/1000)</f>
        <v>1.4139600000000001</v>
      </c>
      <c r="I34" s="13">
        <v>0</v>
      </c>
      <c r="J34" s="24"/>
    </row>
    <row r="35" spans="1:14" ht="15.75" hidden="1" customHeight="1">
      <c r="A35" s="30"/>
      <c r="B35" s="81" t="s">
        <v>5</v>
      </c>
      <c r="C35" s="63"/>
      <c r="D35" s="62"/>
      <c r="E35" s="64"/>
      <c r="F35" s="65"/>
      <c r="G35" s="65"/>
      <c r="H35" s="66" t="s">
        <v>114</v>
      </c>
      <c r="I35" s="13"/>
      <c r="J35" s="24"/>
      <c r="L35" s="19"/>
      <c r="M35" s="20"/>
      <c r="N35" s="21"/>
    </row>
    <row r="36" spans="1:14" ht="15.75" hidden="1" customHeight="1">
      <c r="A36" s="30"/>
      <c r="B36" s="62" t="s">
        <v>26</v>
      </c>
      <c r="C36" s="63" t="s">
        <v>31</v>
      </c>
      <c r="D36" s="62"/>
      <c r="E36" s="64"/>
      <c r="F36" s="65">
        <v>3</v>
      </c>
      <c r="G36" s="65">
        <v>1900.37</v>
      </c>
      <c r="H36" s="66">
        <f t="shared" ref="H36:H41" si="5">SUM(F36*G36/1000)</f>
        <v>5.7011099999999999</v>
      </c>
      <c r="I36" s="13">
        <f t="shared" ref="I36:I41" si="6">F36/6*G36</f>
        <v>950.18499999999995</v>
      </c>
      <c r="J36" s="24"/>
      <c r="L36" s="19"/>
      <c r="M36" s="20"/>
      <c r="N36" s="21"/>
    </row>
    <row r="37" spans="1:14" ht="31.5" hidden="1" customHeight="1">
      <c r="A37" s="30"/>
      <c r="B37" s="62" t="s">
        <v>115</v>
      </c>
      <c r="C37" s="63" t="s">
        <v>29</v>
      </c>
      <c r="D37" s="62" t="s">
        <v>81</v>
      </c>
      <c r="E37" s="64">
        <v>35.299999999999997</v>
      </c>
      <c r="F37" s="65">
        <f>E37*30/1000</f>
        <v>1.0589999999999999</v>
      </c>
      <c r="G37" s="65">
        <v>2616.4899999999998</v>
      </c>
      <c r="H37" s="66">
        <f t="shared" si="5"/>
        <v>2.77086291</v>
      </c>
      <c r="I37" s="13">
        <f t="shared" si="6"/>
        <v>461.81048499999991</v>
      </c>
      <c r="J37" s="24"/>
      <c r="L37" s="19"/>
      <c r="M37" s="20"/>
      <c r="N37" s="21"/>
    </row>
    <row r="38" spans="1:14" ht="15.75" hidden="1" customHeight="1">
      <c r="A38" s="30"/>
      <c r="B38" s="62" t="s">
        <v>116</v>
      </c>
      <c r="C38" s="63" t="s">
        <v>29</v>
      </c>
      <c r="D38" s="62" t="s">
        <v>82</v>
      </c>
      <c r="E38" s="64">
        <v>35.299999999999997</v>
      </c>
      <c r="F38" s="65">
        <f>SUM(E38*155/1000)</f>
        <v>5.4714999999999998</v>
      </c>
      <c r="G38" s="65">
        <v>436.45</v>
      </c>
      <c r="H38" s="66">
        <f t="shared" si="5"/>
        <v>2.3880361749999999</v>
      </c>
      <c r="I38" s="13">
        <f t="shared" si="6"/>
        <v>398.00602916666662</v>
      </c>
      <c r="J38" s="24"/>
      <c r="L38" s="19"/>
      <c r="M38" s="20"/>
      <c r="N38" s="21"/>
    </row>
    <row r="39" spans="1:14" ht="47.25" hidden="1" customHeight="1">
      <c r="A39" s="30"/>
      <c r="B39" s="62" t="s">
        <v>117</v>
      </c>
      <c r="C39" s="63" t="s">
        <v>83</v>
      </c>
      <c r="D39" s="62" t="s">
        <v>118</v>
      </c>
      <c r="E39" s="64">
        <v>35.299999999999997</v>
      </c>
      <c r="F39" s="65">
        <f>SUM(E39*24/1000)</f>
        <v>0.84719999999999995</v>
      </c>
      <c r="G39" s="65">
        <v>7221.21</v>
      </c>
      <c r="H39" s="66">
        <f t="shared" si="5"/>
        <v>6.1178091119999998</v>
      </c>
      <c r="I39" s="13">
        <f t="shared" si="6"/>
        <v>1019.6348519999999</v>
      </c>
      <c r="J39" s="24"/>
      <c r="L39" s="19"/>
      <c r="M39" s="20"/>
      <c r="N39" s="21"/>
    </row>
    <row r="40" spans="1:14" ht="15.75" hidden="1" customHeight="1">
      <c r="A40" s="30"/>
      <c r="B40" s="62" t="s">
        <v>119</v>
      </c>
      <c r="C40" s="63" t="s">
        <v>83</v>
      </c>
      <c r="D40" s="62" t="s">
        <v>66</v>
      </c>
      <c r="E40" s="64">
        <v>35.299999999999997</v>
      </c>
      <c r="F40" s="65">
        <f>SUM(E40*45/1000)</f>
        <v>1.5884999999999998</v>
      </c>
      <c r="G40" s="65">
        <v>533.45000000000005</v>
      </c>
      <c r="H40" s="66">
        <f t="shared" si="5"/>
        <v>0.84738532499999997</v>
      </c>
      <c r="I40" s="13">
        <f t="shared" si="6"/>
        <v>141.23088749999999</v>
      </c>
      <c r="J40" s="24"/>
      <c r="L40" s="19"/>
      <c r="M40" s="20"/>
      <c r="N40" s="21"/>
    </row>
    <row r="41" spans="1:14" ht="15.75" hidden="1" customHeight="1">
      <c r="A41" s="30"/>
      <c r="B41" s="62" t="s">
        <v>67</v>
      </c>
      <c r="C41" s="63" t="s">
        <v>32</v>
      </c>
      <c r="D41" s="62"/>
      <c r="E41" s="64"/>
      <c r="F41" s="65">
        <v>0.3</v>
      </c>
      <c r="G41" s="65">
        <v>992.97</v>
      </c>
      <c r="H41" s="66">
        <f t="shared" si="5"/>
        <v>0.29789100000000002</v>
      </c>
      <c r="I41" s="13">
        <f t="shared" si="6"/>
        <v>49.648499999999999</v>
      </c>
      <c r="J41" s="24"/>
      <c r="L41" s="19"/>
      <c r="M41" s="20"/>
      <c r="N41" s="21"/>
    </row>
    <row r="42" spans="1:14" ht="23.25" hidden="1" customHeight="1">
      <c r="A42" s="162" t="s">
        <v>132</v>
      </c>
      <c r="B42" s="163"/>
      <c r="C42" s="163"/>
      <c r="D42" s="163"/>
      <c r="E42" s="163"/>
      <c r="F42" s="163"/>
      <c r="G42" s="163"/>
      <c r="H42" s="163"/>
      <c r="I42" s="164"/>
      <c r="J42" s="24"/>
      <c r="L42" s="19"/>
      <c r="M42" s="20"/>
      <c r="N42" s="21"/>
    </row>
    <row r="43" spans="1:14" ht="30" hidden="1" customHeight="1">
      <c r="A43" s="30">
        <v>11</v>
      </c>
      <c r="B43" s="62" t="s">
        <v>101</v>
      </c>
      <c r="C43" s="63" t="s">
        <v>83</v>
      </c>
      <c r="D43" s="62" t="s">
        <v>42</v>
      </c>
      <c r="E43" s="64">
        <v>907.4</v>
      </c>
      <c r="F43" s="65">
        <f>SUM(E43*2/1000)</f>
        <v>1.8148</v>
      </c>
      <c r="G43" s="13">
        <v>1283.46</v>
      </c>
      <c r="H43" s="66">
        <f t="shared" ref="H43:H52" si="7">SUM(F43*G43/1000)</f>
        <v>2.3292232079999997</v>
      </c>
      <c r="I43" s="13">
        <f>F43/2*G43</f>
        <v>1164.6116039999999</v>
      </c>
      <c r="J43" s="24"/>
      <c r="L43" s="19"/>
      <c r="M43" s="20"/>
      <c r="N43" s="21"/>
    </row>
    <row r="44" spans="1:14" ht="31.5" hidden="1" customHeight="1">
      <c r="A44" s="30">
        <v>12</v>
      </c>
      <c r="B44" s="62" t="s">
        <v>35</v>
      </c>
      <c r="C44" s="63" t="s">
        <v>83</v>
      </c>
      <c r="D44" s="62" t="s">
        <v>42</v>
      </c>
      <c r="E44" s="64">
        <v>27</v>
      </c>
      <c r="F44" s="65">
        <f>SUM(E44*2/1000)</f>
        <v>5.3999999999999999E-2</v>
      </c>
      <c r="G44" s="13">
        <v>4192.6400000000003</v>
      </c>
      <c r="H44" s="66">
        <f t="shared" si="7"/>
        <v>0.22640256000000003</v>
      </c>
      <c r="I44" s="13">
        <f t="shared" ref="I44:I51" si="8">F44/2*G44</f>
        <v>113.20128000000001</v>
      </c>
      <c r="J44" s="24"/>
      <c r="L44" s="19"/>
      <c r="M44" s="20"/>
      <c r="N44" s="21"/>
    </row>
    <row r="45" spans="1:14" ht="36.75" hidden="1" customHeight="1">
      <c r="A45" s="30">
        <v>13</v>
      </c>
      <c r="B45" s="62" t="s">
        <v>36</v>
      </c>
      <c r="C45" s="63" t="s">
        <v>83</v>
      </c>
      <c r="D45" s="62" t="s">
        <v>42</v>
      </c>
      <c r="E45" s="64">
        <v>772</v>
      </c>
      <c r="F45" s="65">
        <f>SUM(E45*2/1000)</f>
        <v>1.544</v>
      </c>
      <c r="G45" s="13">
        <v>1711.28</v>
      </c>
      <c r="H45" s="66">
        <f t="shared" si="7"/>
        <v>2.6422163200000002</v>
      </c>
      <c r="I45" s="13">
        <f t="shared" si="8"/>
        <v>1321.10816</v>
      </c>
      <c r="J45" s="24"/>
      <c r="L45" s="19"/>
      <c r="M45" s="20"/>
      <c r="N45" s="21"/>
    </row>
    <row r="46" spans="1:14" ht="29.25" hidden="1" customHeight="1">
      <c r="A46" s="30">
        <v>14</v>
      </c>
      <c r="B46" s="62" t="s">
        <v>37</v>
      </c>
      <c r="C46" s="63" t="s">
        <v>83</v>
      </c>
      <c r="D46" s="62" t="s">
        <v>42</v>
      </c>
      <c r="E46" s="64">
        <v>959.4</v>
      </c>
      <c r="F46" s="65">
        <f>SUM(E46*2/1000)</f>
        <v>1.9188000000000001</v>
      </c>
      <c r="G46" s="13">
        <v>1179.73</v>
      </c>
      <c r="H46" s="66">
        <f t="shared" si="7"/>
        <v>2.2636659240000001</v>
      </c>
      <c r="I46" s="13">
        <f t="shared" si="8"/>
        <v>1131.832962</v>
      </c>
      <c r="J46" s="24"/>
      <c r="L46" s="19"/>
      <c r="M46" s="20"/>
      <c r="N46" s="21"/>
    </row>
    <row r="47" spans="1:14" ht="27.75" hidden="1" customHeight="1">
      <c r="A47" s="30">
        <v>15</v>
      </c>
      <c r="B47" s="62" t="s">
        <v>33</v>
      </c>
      <c r="C47" s="63" t="s">
        <v>34</v>
      </c>
      <c r="D47" s="62" t="s">
        <v>42</v>
      </c>
      <c r="E47" s="64">
        <v>66.02</v>
      </c>
      <c r="F47" s="65">
        <f>SUM(E47*2/100)</f>
        <v>1.3204</v>
      </c>
      <c r="G47" s="13">
        <v>90.61</v>
      </c>
      <c r="H47" s="66">
        <f t="shared" si="7"/>
        <v>0.11964144400000001</v>
      </c>
      <c r="I47" s="13">
        <f t="shared" si="8"/>
        <v>59.820722000000004</v>
      </c>
      <c r="J47" s="24"/>
      <c r="L47" s="19"/>
      <c r="M47" s="20"/>
      <c r="N47" s="21"/>
    </row>
    <row r="48" spans="1:14" ht="27" hidden="1" customHeight="1">
      <c r="A48" s="30">
        <v>16</v>
      </c>
      <c r="B48" s="62" t="s">
        <v>55</v>
      </c>
      <c r="C48" s="63" t="s">
        <v>83</v>
      </c>
      <c r="D48" s="62" t="s">
        <v>131</v>
      </c>
      <c r="E48" s="64">
        <v>1536.4</v>
      </c>
      <c r="F48" s="65">
        <f>SUM(E48*5/1000)</f>
        <v>7.6820000000000004</v>
      </c>
      <c r="G48" s="13">
        <v>1711.28</v>
      </c>
      <c r="H48" s="66">
        <f t="shared" si="7"/>
        <v>13.14605296</v>
      </c>
      <c r="I48" s="13">
        <f>F48/5*G48</f>
        <v>2629.2105919999999</v>
      </c>
      <c r="J48" s="24"/>
      <c r="L48" s="19"/>
      <c r="M48" s="20"/>
      <c r="N48" s="21"/>
    </row>
    <row r="49" spans="1:22" ht="36.75" hidden="1" customHeight="1">
      <c r="A49" s="30">
        <v>9</v>
      </c>
      <c r="B49" s="62" t="s">
        <v>84</v>
      </c>
      <c r="C49" s="63" t="s">
        <v>83</v>
      </c>
      <c r="D49" s="62" t="s">
        <v>42</v>
      </c>
      <c r="E49" s="64">
        <v>1536.4</v>
      </c>
      <c r="F49" s="65">
        <f>SUM(E49*2/1000)</f>
        <v>3.0728</v>
      </c>
      <c r="G49" s="13">
        <v>1510.06</v>
      </c>
      <c r="H49" s="66">
        <f t="shared" si="7"/>
        <v>4.6401123680000005</v>
      </c>
      <c r="I49" s="13">
        <f t="shared" si="8"/>
        <v>2320.056184</v>
      </c>
      <c r="J49" s="24"/>
      <c r="L49" s="19"/>
      <c r="M49" s="20"/>
      <c r="N49" s="21"/>
    </row>
    <row r="50" spans="1:22" ht="29.25" hidden="1" customHeight="1">
      <c r="A50" s="30">
        <v>10</v>
      </c>
      <c r="B50" s="62" t="s">
        <v>85</v>
      </c>
      <c r="C50" s="63" t="s">
        <v>38</v>
      </c>
      <c r="D50" s="62" t="s">
        <v>42</v>
      </c>
      <c r="E50" s="64">
        <v>9</v>
      </c>
      <c r="F50" s="65">
        <f>SUM(E50*2/100)</f>
        <v>0.18</v>
      </c>
      <c r="G50" s="13">
        <v>3850.4</v>
      </c>
      <c r="H50" s="66">
        <f t="shared" si="7"/>
        <v>0.69307200000000002</v>
      </c>
      <c r="I50" s="13">
        <f t="shared" si="8"/>
        <v>346.536</v>
      </c>
      <c r="J50" s="24"/>
      <c r="L50" s="19"/>
      <c r="M50" s="20"/>
      <c r="N50" s="21"/>
    </row>
    <row r="51" spans="1:22" ht="16.5" hidden="1" customHeight="1">
      <c r="A51" s="30">
        <v>11</v>
      </c>
      <c r="B51" s="62" t="s">
        <v>39</v>
      </c>
      <c r="C51" s="63" t="s">
        <v>40</v>
      </c>
      <c r="D51" s="62" t="s">
        <v>42</v>
      </c>
      <c r="E51" s="64">
        <v>1</v>
      </c>
      <c r="F51" s="65">
        <v>0.02</v>
      </c>
      <c r="G51" s="13">
        <v>7033.13</v>
      </c>
      <c r="H51" s="66">
        <f t="shared" si="7"/>
        <v>0.1406626</v>
      </c>
      <c r="I51" s="13">
        <f t="shared" si="8"/>
        <v>70.331299999999999</v>
      </c>
      <c r="J51" s="24"/>
      <c r="L51" s="19"/>
      <c r="M51" s="20"/>
      <c r="N51" s="21"/>
    </row>
    <row r="52" spans="1:22" ht="18" hidden="1" customHeight="1">
      <c r="A52" s="30"/>
      <c r="B52" s="62" t="s">
        <v>41</v>
      </c>
      <c r="C52" s="63" t="s">
        <v>102</v>
      </c>
      <c r="D52" s="62" t="s">
        <v>53</v>
      </c>
      <c r="E52" s="64">
        <v>53</v>
      </c>
      <c r="F52" s="65">
        <v>53</v>
      </c>
      <c r="G52" s="13">
        <v>81.73</v>
      </c>
      <c r="H52" s="66">
        <f t="shared" si="7"/>
        <v>4.3316900000000009</v>
      </c>
      <c r="I52" s="13">
        <f>F52/3*G52</f>
        <v>1443.8966666666668</v>
      </c>
      <c r="J52" s="24"/>
      <c r="L52" s="19"/>
    </row>
    <row r="53" spans="1:22" ht="15.75" customHeight="1">
      <c r="A53" s="162" t="s">
        <v>138</v>
      </c>
      <c r="B53" s="163"/>
      <c r="C53" s="163"/>
      <c r="D53" s="163"/>
      <c r="E53" s="163"/>
      <c r="F53" s="163"/>
      <c r="G53" s="163"/>
      <c r="H53" s="163"/>
      <c r="I53" s="164"/>
    </row>
    <row r="54" spans="1:22" ht="15.75" hidden="1" customHeight="1">
      <c r="A54" s="30"/>
      <c r="B54" s="81" t="s">
        <v>43</v>
      </c>
      <c r="C54" s="63"/>
      <c r="D54" s="62"/>
      <c r="E54" s="64"/>
      <c r="F54" s="65"/>
      <c r="G54" s="65"/>
      <c r="H54" s="66"/>
      <c r="I54" s="13"/>
    </row>
    <row r="55" spans="1:22" ht="31.5" hidden="1" customHeight="1">
      <c r="A55" s="30"/>
      <c r="B55" s="62" t="s">
        <v>103</v>
      </c>
      <c r="C55" s="63" t="s">
        <v>80</v>
      </c>
      <c r="D55" s="62" t="s">
        <v>104</v>
      </c>
      <c r="E55" s="64">
        <v>11.5</v>
      </c>
      <c r="F55" s="65">
        <f>SUM(E55*6/100)</f>
        <v>0.69</v>
      </c>
      <c r="G55" s="13">
        <v>2306.62</v>
      </c>
      <c r="H55" s="66">
        <f>SUM(F55*G55/1000)</f>
        <v>1.5915677999999998</v>
      </c>
      <c r="I55" s="13">
        <v>0</v>
      </c>
    </row>
    <row r="56" spans="1:22" ht="15.75" hidden="1" customHeight="1">
      <c r="A56" s="30">
        <v>9</v>
      </c>
      <c r="B56" s="62" t="s">
        <v>120</v>
      </c>
      <c r="C56" s="63" t="s">
        <v>121</v>
      </c>
      <c r="D56" s="62" t="s">
        <v>65</v>
      </c>
      <c r="E56" s="64"/>
      <c r="F56" s="65">
        <v>2</v>
      </c>
      <c r="G56" s="84">
        <v>1501</v>
      </c>
      <c r="H56" s="66">
        <f>SUM(F56*G56/1000)</f>
        <v>3.0019999999999998</v>
      </c>
      <c r="I56" s="13">
        <f>G56*(4+1)</f>
        <v>7505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customHeight="1">
      <c r="A57" s="30"/>
      <c r="B57" s="81" t="s">
        <v>44</v>
      </c>
      <c r="C57" s="63"/>
      <c r="D57" s="62"/>
      <c r="E57" s="64"/>
      <c r="F57" s="65"/>
      <c r="G57" s="85"/>
      <c r="H57" s="66"/>
      <c r="I57" s="13"/>
      <c r="J57" s="26"/>
      <c r="K57" s="26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30"/>
      <c r="B58" s="62" t="s">
        <v>105</v>
      </c>
      <c r="C58" s="63" t="s">
        <v>80</v>
      </c>
      <c r="D58" s="62" t="s">
        <v>53</v>
      </c>
      <c r="E58" s="64">
        <v>148</v>
      </c>
      <c r="F58" s="66">
        <f>E58/100</f>
        <v>1.48</v>
      </c>
      <c r="G58" s="13">
        <v>987.51</v>
      </c>
      <c r="H58" s="71">
        <f>F58*G58/1000</f>
        <v>1.4615148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customHeight="1">
      <c r="A59" s="30">
        <v>7</v>
      </c>
      <c r="B59" s="73" t="s">
        <v>129</v>
      </c>
      <c r="C59" s="72" t="s">
        <v>25</v>
      </c>
      <c r="D59" s="73" t="s">
        <v>156</v>
      </c>
      <c r="E59" s="74">
        <v>140.5</v>
      </c>
      <c r="F59" s="65">
        <v>1320</v>
      </c>
      <c r="G59" s="86">
        <v>1.4</v>
      </c>
      <c r="H59" s="71">
        <f>F59*G59/1000</f>
        <v>1.8479999999999999</v>
      </c>
      <c r="I59" s="13">
        <f>F59/12*G59</f>
        <v>154</v>
      </c>
      <c r="J59" s="5"/>
      <c r="K59" s="5"/>
      <c r="L59" s="5"/>
      <c r="M59" s="5"/>
      <c r="N59" s="5"/>
      <c r="O59" s="5"/>
      <c r="P59" s="5"/>
      <c r="Q59" s="5"/>
      <c r="R59" s="161"/>
      <c r="S59" s="161"/>
      <c r="T59" s="161"/>
      <c r="U59" s="161"/>
    </row>
    <row r="60" spans="1:22" ht="15.75" customHeight="1">
      <c r="A60" s="30"/>
      <c r="B60" s="82" t="s">
        <v>45</v>
      </c>
      <c r="C60" s="72"/>
      <c r="D60" s="73"/>
      <c r="E60" s="74"/>
      <c r="F60" s="75"/>
      <c r="G60" s="75"/>
      <c r="H60" s="76" t="s">
        <v>114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5.75" hidden="1" customHeight="1">
      <c r="A61" s="30">
        <v>9</v>
      </c>
      <c r="B61" s="14" t="s">
        <v>46</v>
      </c>
      <c r="C61" s="16" t="s">
        <v>102</v>
      </c>
      <c r="D61" s="14" t="s">
        <v>163</v>
      </c>
      <c r="E61" s="18">
        <v>2</v>
      </c>
      <c r="F61" s="65">
        <f>E61</f>
        <v>2</v>
      </c>
      <c r="G61" s="115">
        <v>331.57</v>
      </c>
      <c r="H61" s="61">
        <f t="shared" ref="H61:H78" si="9">SUM(F61*G61/1000)</f>
        <v>0.66313999999999995</v>
      </c>
      <c r="I61" s="13">
        <f>G61*5</f>
        <v>1657.85</v>
      </c>
    </row>
    <row r="62" spans="1:22" ht="15.75" hidden="1" customHeight="1">
      <c r="A62" s="30"/>
      <c r="B62" s="14" t="s">
        <v>47</v>
      </c>
      <c r="C62" s="16" t="s">
        <v>102</v>
      </c>
      <c r="D62" s="14" t="s">
        <v>65</v>
      </c>
      <c r="E62" s="18">
        <v>1</v>
      </c>
      <c r="F62" s="65">
        <f>E62</f>
        <v>1</v>
      </c>
      <c r="G62" s="13">
        <v>94.89</v>
      </c>
      <c r="H62" s="61">
        <f t="shared" si="9"/>
        <v>9.4890000000000002E-2</v>
      </c>
      <c r="I62" s="13">
        <v>0</v>
      </c>
    </row>
    <row r="63" spans="1:22" ht="15.75" hidden="1" customHeight="1">
      <c r="A63" s="30"/>
      <c r="B63" s="14" t="s">
        <v>48</v>
      </c>
      <c r="C63" s="16" t="s">
        <v>106</v>
      </c>
      <c r="D63" s="14" t="s">
        <v>53</v>
      </c>
      <c r="E63" s="64">
        <v>6307</v>
      </c>
      <c r="F63" s="13">
        <f>SUM(E63/100)</f>
        <v>63.07</v>
      </c>
      <c r="G63" s="13">
        <v>263.99</v>
      </c>
      <c r="H63" s="61">
        <f t="shared" si="9"/>
        <v>16.649849300000003</v>
      </c>
      <c r="I63" s="13">
        <v>0</v>
      </c>
    </row>
    <row r="64" spans="1:22" ht="15.75" hidden="1" customHeight="1">
      <c r="A64" s="30"/>
      <c r="B64" s="14" t="s">
        <v>49</v>
      </c>
      <c r="C64" s="16" t="s">
        <v>107</v>
      </c>
      <c r="D64" s="14"/>
      <c r="E64" s="64">
        <v>6307</v>
      </c>
      <c r="F64" s="13">
        <f>SUM(E64/1000)</f>
        <v>6.3070000000000004</v>
      </c>
      <c r="G64" s="13">
        <v>205.57</v>
      </c>
      <c r="H64" s="61">
        <f t="shared" si="9"/>
        <v>1.29652999</v>
      </c>
      <c r="I64" s="13">
        <v>0</v>
      </c>
    </row>
    <row r="65" spans="1:9" ht="15.75" hidden="1" customHeight="1">
      <c r="A65" s="30"/>
      <c r="B65" s="14" t="s">
        <v>50</v>
      </c>
      <c r="C65" s="16" t="s">
        <v>74</v>
      </c>
      <c r="D65" s="14" t="s">
        <v>53</v>
      </c>
      <c r="E65" s="64">
        <v>1003</v>
      </c>
      <c r="F65" s="13">
        <f>SUM(E65/100)</f>
        <v>10.029999999999999</v>
      </c>
      <c r="G65" s="13">
        <v>2581.5300000000002</v>
      </c>
      <c r="H65" s="61">
        <f t="shared" si="9"/>
        <v>25.892745900000001</v>
      </c>
      <c r="I65" s="13">
        <v>0</v>
      </c>
    </row>
    <row r="66" spans="1:9" ht="15.75" hidden="1" customHeight="1">
      <c r="A66" s="30"/>
      <c r="B66" s="77" t="s">
        <v>108</v>
      </c>
      <c r="C66" s="16" t="s">
        <v>32</v>
      </c>
      <c r="D66" s="14"/>
      <c r="E66" s="64">
        <v>6.6</v>
      </c>
      <c r="F66" s="13">
        <f>SUM(E66)</f>
        <v>6.6</v>
      </c>
      <c r="G66" s="13">
        <v>47.75</v>
      </c>
      <c r="H66" s="61">
        <f t="shared" si="9"/>
        <v>0.31514999999999999</v>
      </c>
      <c r="I66" s="13">
        <v>0</v>
      </c>
    </row>
    <row r="67" spans="1:9" ht="15.75" hidden="1" customHeight="1">
      <c r="A67" s="30"/>
      <c r="B67" s="77" t="s">
        <v>109</v>
      </c>
      <c r="C67" s="16" t="s">
        <v>32</v>
      </c>
      <c r="D67" s="14"/>
      <c r="E67" s="64">
        <v>6.6</v>
      </c>
      <c r="F67" s="13">
        <f>SUM(E67)</f>
        <v>6.6</v>
      </c>
      <c r="G67" s="13">
        <v>44.27</v>
      </c>
      <c r="H67" s="61">
        <f t="shared" si="9"/>
        <v>0.292182</v>
      </c>
      <c r="I67" s="13">
        <v>0</v>
      </c>
    </row>
    <row r="68" spans="1:9" ht="15.75" hidden="1" customHeight="1">
      <c r="A68" s="30">
        <v>19</v>
      </c>
      <c r="B68" s="14" t="s">
        <v>56</v>
      </c>
      <c r="C68" s="16" t="s">
        <v>57</v>
      </c>
      <c r="D68" s="14" t="s">
        <v>53</v>
      </c>
      <c r="E68" s="18">
        <v>3</v>
      </c>
      <c r="F68" s="65">
        <v>3</v>
      </c>
      <c r="G68" s="13">
        <v>62.07</v>
      </c>
      <c r="H68" s="61">
        <f t="shared" si="9"/>
        <v>0.18621000000000001</v>
      </c>
      <c r="I68" s="13">
        <f>F68*G68</f>
        <v>186.21</v>
      </c>
    </row>
    <row r="69" spans="1:9" ht="15.75" customHeight="1">
      <c r="A69" s="30">
        <v>8</v>
      </c>
      <c r="B69" s="133" t="s">
        <v>122</v>
      </c>
      <c r="C69" s="126" t="s">
        <v>123</v>
      </c>
      <c r="D69" s="133" t="s">
        <v>156</v>
      </c>
      <c r="E69" s="17">
        <v>1536.4</v>
      </c>
      <c r="F69" s="134">
        <f>E69*12</f>
        <v>18436.800000000003</v>
      </c>
      <c r="G69" s="34">
        <v>2.6</v>
      </c>
      <c r="H69" s="61">
        <f t="shared" si="9"/>
        <v>47.935680000000005</v>
      </c>
      <c r="I69" s="13">
        <f>F69/12*G69</f>
        <v>3994.6400000000008</v>
      </c>
    </row>
    <row r="70" spans="1:9" ht="15.75" customHeight="1">
      <c r="A70" s="30"/>
      <c r="B70" s="48" t="s">
        <v>69</v>
      </c>
      <c r="C70" s="16"/>
      <c r="D70" s="14"/>
      <c r="E70" s="18"/>
      <c r="F70" s="13"/>
      <c r="G70" s="13"/>
      <c r="H70" s="61" t="s">
        <v>114</v>
      </c>
      <c r="I70" s="13"/>
    </row>
    <row r="71" spans="1:9" ht="15.75" hidden="1" customHeight="1">
      <c r="A71" s="30"/>
      <c r="B71" s="14" t="s">
        <v>124</v>
      </c>
      <c r="C71" s="16" t="s">
        <v>125</v>
      </c>
      <c r="D71" s="14" t="s">
        <v>65</v>
      </c>
      <c r="E71" s="18">
        <v>1</v>
      </c>
      <c r="F71" s="13">
        <f>E71</f>
        <v>1</v>
      </c>
      <c r="G71" s="13">
        <v>976.4</v>
      </c>
      <c r="H71" s="61">
        <f t="shared" ref="H71:H72" si="10">SUM(F71*G71/1000)</f>
        <v>0.97639999999999993</v>
      </c>
      <c r="I71" s="13">
        <v>0</v>
      </c>
    </row>
    <row r="72" spans="1:9" ht="15.75" hidden="1" customHeight="1">
      <c r="A72" s="30"/>
      <c r="B72" s="14" t="s">
        <v>126</v>
      </c>
      <c r="C72" s="16" t="s">
        <v>127</v>
      </c>
      <c r="D72" s="14"/>
      <c r="E72" s="18">
        <v>1</v>
      </c>
      <c r="F72" s="13">
        <v>1</v>
      </c>
      <c r="G72" s="13">
        <v>650</v>
      </c>
      <c r="H72" s="61">
        <f t="shared" si="10"/>
        <v>0.65</v>
      </c>
      <c r="I72" s="13">
        <v>0</v>
      </c>
    </row>
    <row r="73" spans="1:9" ht="15.75" hidden="1" customHeight="1">
      <c r="A73" s="30">
        <v>13</v>
      </c>
      <c r="B73" s="14" t="s">
        <v>70</v>
      </c>
      <c r="C73" s="16" t="s">
        <v>72</v>
      </c>
      <c r="D73" s="14"/>
      <c r="E73" s="18">
        <v>3</v>
      </c>
      <c r="F73" s="13">
        <v>0.3</v>
      </c>
      <c r="G73" s="13">
        <v>624.16999999999996</v>
      </c>
      <c r="H73" s="61">
        <f t="shared" si="9"/>
        <v>0.18725099999999997</v>
      </c>
      <c r="I73" s="13">
        <f>G73*0.1</f>
        <v>62.417000000000002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56">
        <v>1</v>
      </c>
      <c r="G74" s="13">
        <v>1061.4100000000001</v>
      </c>
      <c r="H74" s="61">
        <f>F74*G74/1000</f>
        <v>1.0614100000000002</v>
      </c>
      <c r="I74" s="13">
        <v>0</v>
      </c>
    </row>
    <row r="75" spans="1:9" ht="15.75" customHeight="1">
      <c r="A75" s="30">
        <v>9</v>
      </c>
      <c r="B75" s="46" t="s">
        <v>173</v>
      </c>
      <c r="C75" s="47" t="s">
        <v>102</v>
      </c>
      <c r="D75" s="133" t="s">
        <v>166</v>
      </c>
      <c r="E75" s="17">
        <v>2</v>
      </c>
      <c r="F75" s="34">
        <f>E75*12</f>
        <v>24</v>
      </c>
      <c r="G75" s="34">
        <v>420</v>
      </c>
      <c r="H75" s="61">
        <f>G75*F75/1000</f>
        <v>10.08</v>
      </c>
      <c r="I75" s="13">
        <f>G75*2</f>
        <v>840</v>
      </c>
    </row>
    <row r="76" spans="1:9" ht="15.75" customHeight="1">
      <c r="A76" s="30">
        <v>10</v>
      </c>
      <c r="B76" s="46" t="s">
        <v>174</v>
      </c>
      <c r="C76" s="47" t="s">
        <v>30</v>
      </c>
      <c r="D76" s="133" t="s">
        <v>166</v>
      </c>
      <c r="E76" s="17">
        <v>1</v>
      </c>
      <c r="F76" s="34">
        <f>E76*12</f>
        <v>12</v>
      </c>
      <c r="G76" s="34">
        <v>1829</v>
      </c>
      <c r="H76" s="61"/>
      <c r="I76" s="13">
        <f>G76*F76/12</f>
        <v>1829</v>
      </c>
    </row>
    <row r="77" spans="1:9" ht="15.75" hidden="1" customHeight="1">
      <c r="A77" s="30"/>
      <c r="B77" s="79" t="s">
        <v>73</v>
      </c>
      <c r="C77" s="16"/>
      <c r="D77" s="14"/>
      <c r="E77" s="18"/>
      <c r="F77" s="13"/>
      <c r="G77" s="13" t="s">
        <v>114</v>
      </c>
      <c r="H77" s="61" t="s">
        <v>114</v>
      </c>
      <c r="I77" s="13" t="str">
        <f>G77</f>
        <v xml:space="preserve"> </v>
      </c>
    </row>
    <row r="78" spans="1:9" ht="15.75" hidden="1" customHeight="1">
      <c r="A78" s="30"/>
      <c r="B78" s="43" t="s">
        <v>128</v>
      </c>
      <c r="C78" s="16" t="s">
        <v>74</v>
      </c>
      <c r="D78" s="14"/>
      <c r="E78" s="18"/>
      <c r="F78" s="13">
        <v>0.1</v>
      </c>
      <c r="G78" s="13">
        <v>3433.69</v>
      </c>
      <c r="H78" s="61">
        <f t="shared" si="9"/>
        <v>0.34336900000000004</v>
      </c>
      <c r="I78" s="13">
        <v>0</v>
      </c>
    </row>
    <row r="79" spans="1:9" ht="15.75" hidden="1" customHeight="1">
      <c r="A79" s="30"/>
      <c r="B79" s="55" t="s">
        <v>86</v>
      </c>
      <c r="C79" s="79"/>
      <c r="D79" s="31"/>
      <c r="E79" s="32"/>
      <c r="F79" s="68"/>
      <c r="G79" s="68"/>
      <c r="H79" s="80">
        <f>SUM(H55:H78)</f>
        <v>114.52788979</v>
      </c>
      <c r="I79" s="13"/>
    </row>
    <row r="80" spans="1:9" ht="15.75" hidden="1" customHeight="1">
      <c r="A80" s="30">
        <v>13</v>
      </c>
      <c r="B80" s="62" t="s">
        <v>110</v>
      </c>
      <c r="C80" s="16"/>
      <c r="D80" s="14"/>
      <c r="E80" s="57"/>
      <c r="F80" s="13">
        <v>1</v>
      </c>
      <c r="G80" s="13">
        <v>4194.6000000000004</v>
      </c>
      <c r="H80" s="61">
        <f>G80*F80/1000</f>
        <v>4.1946000000000003</v>
      </c>
      <c r="I80" s="13">
        <f>G80</f>
        <v>4194.6000000000004</v>
      </c>
    </row>
    <row r="81" spans="1:9" ht="15.75" customHeight="1">
      <c r="A81" s="162" t="s">
        <v>139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0">
        <v>11</v>
      </c>
      <c r="B82" s="118" t="s">
        <v>111</v>
      </c>
      <c r="C82" s="125" t="s">
        <v>54</v>
      </c>
      <c r="D82" s="135"/>
      <c r="E82" s="34">
        <v>1536.4</v>
      </c>
      <c r="F82" s="34">
        <f>SUM(E82*12)</f>
        <v>18436.800000000003</v>
      </c>
      <c r="G82" s="34">
        <v>3.5</v>
      </c>
      <c r="H82" s="61">
        <f>SUM(F82*G82/1000)</f>
        <v>64.528800000000004</v>
      </c>
      <c r="I82" s="13">
        <f>F82/12*G82</f>
        <v>5377.4000000000015</v>
      </c>
    </row>
    <row r="83" spans="1:9" ht="31.5" customHeight="1">
      <c r="A83" s="30">
        <v>12</v>
      </c>
      <c r="B83" s="118" t="s">
        <v>175</v>
      </c>
      <c r="C83" s="125" t="s">
        <v>54</v>
      </c>
      <c r="D83" s="135"/>
      <c r="E83" s="34">
        <v>1536.4</v>
      </c>
      <c r="F83" s="34">
        <f>E83*12</f>
        <v>18436.800000000003</v>
      </c>
      <c r="G83" s="34">
        <v>3.2</v>
      </c>
      <c r="H83" s="61">
        <f>F83*G83/1000</f>
        <v>58.997760000000007</v>
      </c>
      <c r="I83" s="13">
        <f>F83/12*G83</f>
        <v>4916.4800000000014</v>
      </c>
    </row>
    <row r="84" spans="1:9" ht="15.75" customHeight="1">
      <c r="A84" s="30"/>
      <c r="B84" s="36" t="s">
        <v>76</v>
      </c>
      <c r="C84" s="79"/>
      <c r="D84" s="78"/>
      <c r="E84" s="68"/>
      <c r="F84" s="68"/>
      <c r="G84" s="68"/>
      <c r="H84" s="80">
        <f>H83</f>
        <v>58.997760000000007</v>
      </c>
      <c r="I84" s="68">
        <f>I83+I82+I76+I75+I69+I59+I33+I31+I30+I18+I17+I16</f>
        <v>24367.793420000005</v>
      </c>
    </row>
    <row r="85" spans="1:9" ht="15.75" customHeight="1">
      <c r="A85" s="174" t="s">
        <v>59</v>
      </c>
      <c r="B85" s="175"/>
      <c r="C85" s="175"/>
      <c r="D85" s="175"/>
      <c r="E85" s="175"/>
      <c r="F85" s="175"/>
      <c r="G85" s="175"/>
      <c r="H85" s="175"/>
      <c r="I85" s="176"/>
    </row>
    <row r="86" spans="1:9" ht="15.75" customHeight="1">
      <c r="A86" s="30">
        <v>13</v>
      </c>
      <c r="B86" s="109" t="s">
        <v>196</v>
      </c>
      <c r="C86" s="110" t="s">
        <v>40</v>
      </c>
      <c r="D86" s="100" t="s">
        <v>156</v>
      </c>
      <c r="E86" s="34"/>
      <c r="F86" s="34">
        <v>0.02</v>
      </c>
      <c r="G86" s="34">
        <v>28224.75</v>
      </c>
      <c r="H86" s="13"/>
      <c r="I86" s="13">
        <v>0</v>
      </c>
    </row>
    <row r="87" spans="1:9" ht="15.75" customHeight="1">
      <c r="A87" s="30"/>
      <c r="B87" s="41" t="s">
        <v>51</v>
      </c>
      <c r="C87" s="37"/>
      <c r="D87" s="44"/>
      <c r="E87" s="37">
        <v>1</v>
      </c>
      <c r="F87" s="37"/>
      <c r="G87" s="37"/>
      <c r="H87" s="37"/>
      <c r="I87" s="32">
        <f>SUM(I86:I86)</f>
        <v>0</v>
      </c>
    </row>
    <row r="88" spans="1:9" ht="15.75" customHeight="1">
      <c r="A88" s="30"/>
      <c r="B88" s="43" t="s">
        <v>75</v>
      </c>
      <c r="C88" s="15"/>
      <c r="D88" s="15"/>
      <c r="E88" s="38"/>
      <c r="F88" s="38"/>
      <c r="G88" s="39"/>
      <c r="H88" s="39"/>
      <c r="I88" s="17">
        <v>0</v>
      </c>
    </row>
    <row r="89" spans="1:9">
      <c r="A89" s="45"/>
      <c r="B89" s="42" t="s">
        <v>150</v>
      </c>
      <c r="C89" s="33"/>
      <c r="D89" s="33"/>
      <c r="E89" s="33"/>
      <c r="F89" s="33"/>
      <c r="G89" s="33"/>
      <c r="H89" s="33"/>
      <c r="I89" s="40">
        <f>I84+I87</f>
        <v>24367.793420000005</v>
      </c>
    </row>
    <row r="90" spans="1:9" ht="15.75">
      <c r="A90" s="182" t="s">
        <v>258</v>
      </c>
      <c r="B90" s="182"/>
      <c r="C90" s="182"/>
      <c r="D90" s="182"/>
      <c r="E90" s="182"/>
      <c r="F90" s="182"/>
      <c r="G90" s="182"/>
      <c r="H90" s="182"/>
      <c r="I90" s="182"/>
    </row>
    <row r="91" spans="1:9" ht="15.75" customHeight="1">
      <c r="A91" s="54"/>
      <c r="B91" s="183" t="s">
        <v>259</v>
      </c>
      <c r="C91" s="183"/>
      <c r="D91" s="183"/>
      <c r="E91" s="183"/>
      <c r="F91" s="183"/>
      <c r="G91" s="183"/>
      <c r="H91" s="60"/>
      <c r="I91" s="3"/>
    </row>
    <row r="92" spans="1:9">
      <c r="A92" s="53"/>
      <c r="B92" s="179" t="s">
        <v>6</v>
      </c>
      <c r="C92" s="179"/>
      <c r="D92" s="179"/>
      <c r="E92" s="179"/>
      <c r="F92" s="179"/>
      <c r="G92" s="179"/>
      <c r="H92" s="25"/>
      <c r="I92" s="5"/>
    </row>
    <row r="93" spans="1:9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84" t="s">
        <v>7</v>
      </c>
      <c r="B94" s="184"/>
      <c r="C94" s="184"/>
      <c r="D94" s="184"/>
      <c r="E94" s="184"/>
      <c r="F94" s="184"/>
      <c r="G94" s="184"/>
      <c r="H94" s="184"/>
      <c r="I94" s="184"/>
    </row>
    <row r="95" spans="1:9" ht="15.75" customHeight="1">
      <c r="A95" s="184" t="s">
        <v>8</v>
      </c>
      <c r="B95" s="184"/>
      <c r="C95" s="184"/>
      <c r="D95" s="184"/>
      <c r="E95" s="184"/>
      <c r="F95" s="184"/>
      <c r="G95" s="184"/>
      <c r="H95" s="184"/>
      <c r="I95" s="184"/>
    </row>
    <row r="96" spans="1:9" ht="15.75">
      <c r="A96" s="171" t="s">
        <v>60</v>
      </c>
      <c r="B96" s="171"/>
      <c r="C96" s="171"/>
      <c r="D96" s="171"/>
      <c r="E96" s="171"/>
      <c r="F96" s="171"/>
      <c r="G96" s="171"/>
      <c r="H96" s="171"/>
      <c r="I96" s="171"/>
    </row>
    <row r="97" spans="1:9" ht="15.75">
      <c r="A97" s="11"/>
    </row>
    <row r="98" spans="1:9" ht="15.75">
      <c r="A98" s="177" t="s">
        <v>9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>
      <c r="A99" s="4"/>
    </row>
    <row r="100" spans="1:9" ht="15.75">
      <c r="B100" s="50" t="s">
        <v>10</v>
      </c>
      <c r="C100" s="178" t="s">
        <v>189</v>
      </c>
      <c r="D100" s="178"/>
      <c r="E100" s="178"/>
      <c r="F100" s="58"/>
      <c r="I100" s="52"/>
    </row>
    <row r="101" spans="1:9">
      <c r="A101" s="53"/>
      <c r="C101" s="179" t="s">
        <v>11</v>
      </c>
      <c r="D101" s="179"/>
      <c r="E101" s="179"/>
      <c r="F101" s="25"/>
      <c r="I101" s="51" t="s">
        <v>12</v>
      </c>
    </row>
    <row r="102" spans="1:9" ht="15.75">
      <c r="A102" s="26"/>
      <c r="C102" s="12"/>
      <c r="D102" s="12"/>
      <c r="G102" s="12"/>
      <c r="H102" s="12"/>
    </row>
    <row r="103" spans="1:9" ht="15.75" customHeight="1">
      <c r="B103" s="50" t="s">
        <v>13</v>
      </c>
      <c r="C103" s="180"/>
      <c r="D103" s="180"/>
      <c r="E103" s="180"/>
      <c r="F103" s="59"/>
      <c r="I103" s="52"/>
    </row>
    <row r="104" spans="1:9" ht="15.75" customHeight="1">
      <c r="A104" s="53"/>
      <c r="C104" s="161" t="s">
        <v>11</v>
      </c>
      <c r="D104" s="161"/>
      <c r="E104" s="161"/>
      <c r="F104" s="53"/>
      <c r="I104" s="51" t="s">
        <v>12</v>
      </c>
    </row>
    <row r="105" spans="1:9" ht="15.75" customHeight="1">
      <c r="A105" s="4" t="s">
        <v>14</v>
      </c>
    </row>
    <row r="106" spans="1:9">
      <c r="A106" s="181" t="s">
        <v>15</v>
      </c>
      <c r="B106" s="181"/>
      <c r="C106" s="181"/>
      <c r="D106" s="181"/>
      <c r="E106" s="181"/>
      <c r="F106" s="181"/>
      <c r="G106" s="181"/>
      <c r="H106" s="181"/>
      <c r="I106" s="181"/>
    </row>
    <row r="107" spans="1:9" ht="45" customHeight="1">
      <c r="A107" s="173" t="s">
        <v>16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17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21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15" customHeight="1">
      <c r="A110" s="173" t="s">
        <v>20</v>
      </c>
      <c r="B110" s="173"/>
      <c r="C110" s="173"/>
      <c r="D110" s="173"/>
      <c r="E110" s="173"/>
      <c r="F110" s="173"/>
      <c r="G110" s="173"/>
      <c r="H110" s="173"/>
      <c r="I110" s="173"/>
    </row>
  </sheetData>
  <autoFilter ref="I12:I54"/>
  <mergeCells count="29"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  <mergeCell ref="A96:I96"/>
    <mergeCell ref="A15:I15"/>
    <mergeCell ref="A28:I28"/>
    <mergeCell ref="A42:I42"/>
    <mergeCell ref="A53:I53"/>
    <mergeCell ref="A90:I90"/>
    <mergeCell ref="B91:G91"/>
    <mergeCell ref="B92:G92"/>
    <mergeCell ref="A94:I94"/>
    <mergeCell ref="A95:I95"/>
    <mergeCell ref="A85:I85"/>
    <mergeCell ref="R59:U59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topLeftCell="A87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3.5703125" customWidth="1"/>
    <col min="5" max="5" width="18.85546875" hidden="1" customWidth="1"/>
    <col min="6" max="6" width="2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153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260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107"/>
      <c r="C6" s="107"/>
      <c r="D6" s="107"/>
      <c r="E6" s="107"/>
      <c r="F6" s="107"/>
      <c r="G6" s="107"/>
      <c r="H6" s="107"/>
      <c r="I6" s="83">
        <v>44530</v>
      </c>
      <c r="J6" s="2"/>
      <c r="K6" s="2"/>
      <c r="L6" s="2"/>
      <c r="M6" s="2"/>
    </row>
    <row r="7" spans="1:13" ht="15.75">
      <c r="B7" s="106"/>
      <c r="C7" s="106"/>
      <c r="D7" s="10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190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7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156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ref="H18" si="1">SUM(F18*G18/1000)</f>
        <v>22.298535359999999</v>
      </c>
      <c r="I18" s="34">
        <f>F18/18*G18</f>
        <v>1238.8075200000001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ref="H19:H26" si="2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90</v>
      </c>
      <c r="C20" s="63" t="s">
        <v>80</v>
      </c>
      <c r="D20" s="62" t="s">
        <v>156</v>
      </c>
      <c r="E20" s="64">
        <v>9.18</v>
      </c>
      <c r="F20" s="65">
        <f>SUM(E20*2/100)</f>
        <v>0.18359999999999999</v>
      </c>
      <c r="G20" s="140">
        <v>324.83999999999997</v>
      </c>
      <c r="H20" s="66">
        <f t="shared" si="2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156</v>
      </c>
      <c r="E21" s="64">
        <v>8.1</v>
      </c>
      <c r="F21" s="65">
        <f>SUM(E21*2/100)</f>
        <v>0.16200000000000001</v>
      </c>
      <c r="G21" s="140">
        <v>322.20999999999998</v>
      </c>
      <c r="H21" s="66">
        <f t="shared" si="2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2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2"/>
        <v>9.7196399999999999E-3</v>
      </c>
      <c r="I23" s="13">
        <f t="shared" ref="I23:I26" si="3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2"/>
        <v>3.4915680000000004E-2</v>
      </c>
      <c r="I24" s="13">
        <f t="shared" si="3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2"/>
        <v>2.5412939999999998E-2</v>
      </c>
      <c r="I25" s="13">
        <f t="shared" si="3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2"/>
        <v>7.387740000000001E-2</v>
      </c>
      <c r="I26" s="13">
        <f t="shared" si="3"/>
        <v>73.877400000000009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62" t="s">
        <v>147</v>
      </c>
      <c r="B29" s="163"/>
      <c r="C29" s="163"/>
      <c r="D29" s="163"/>
      <c r="E29" s="163"/>
      <c r="F29" s="163"/>
      <c r="G29" s="163"/>
      <c r="H29" s="163"/>
      <c r="I29" s="164"/>
      <c r="J29" s="24"/>
    </row>
    <row r="30" spans="1:13" ht="15.75" hidden="1" customHeight="1">
      <c r="A30" s="30"/>
      <c r="B30" s="81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6</v>
      </c>
      <c r="B31" s="62" t="s">
        <v>100</v>
      </c>
      <c r="C31" s="63" t="s">
        <v>83</v>
      </c>
      <c r="D31" s="62" t="s">
        <v>148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4">SUM(F31*G31/1000)</f>
        <v>0.62031605999999995</v>
      </c>
      <c r="I31" s="13">
        <f t="shared" ref="I31:I32" si="5">F31/6*G31</f>
        <v>103.38601</v>
      </c>
      <c r="J31" s="23"/>
      <c r="K31" s="8"/>
      <c r="L31" s="8"/>
      <c r="M31" s="8"/>
    </row>
    <row r="32" spans="1:13" ht="31.5" hidden="1" customHeight="1">
      <c r="A32" s="30">
        <v>7</v>
      </c>
      <c r="B32" s="62" t="s">
        <v>99</v>
      </c>
      <c r="C32" s="63" t="s">
        <v>83</v>
      </c>
      <c r="D32" s="62" t="s">
        <v>149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4"/>
        <v>0.88609918799999987</v>
      </c>
      <c r="I32" s="13">
        <f t="shared" si="5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83</v>
      </c>
      <c r="D33" s="62" t="s">
        <v>53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4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8</v>
      </c>
      <c r="B34" s="62" t="s">
        <v>98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4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63</v>
      </c>
      <c r="C35" s="63" t="s">
        <v>32</v>
      </c>
      <c r="D35" s="62" t="s">
        <v>65</v>
      </c>
      <c r="E35" s="64"/>
      <c r="F35" s="65">
        <v>1</v>
      </c>
      <c r="G35" s="65">
        <v>238.07</v>
      </c>
      <c r="H35" s="66">
        <f t="shared" si="4"/>
        <v>0.23807</v>
      </c>
      <c r="I35" s="13">
        <v>0</v>
      </c>
      <c r="J35" s="24"/>
    </row>
    <row r="36" spans="1:14" ht="15.75" hidden="1" customHeight="1">
      <c r="A36" s="30"/>
      <c r="B36" s="62" t="s">
        <v>64</v>
      </c>
      <c r="C36" s="63" t="s">
        <v>31</v>
      </c>
      <c r="D36" s="62" t="s">
        <v>65</v>
      </c>
      <c r="E36" s="64"/>
      <c r="F36" s="65">
        <v>1</v>
      </c>
      <c r="G36" s="65">
        <v>1413.96</v>
      </c>
      <c r="H36" s="66">
        <f t="shared" si="4"/>
        <v>1.4139600000000001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114</v>
      </c>
      <c r="I37" s="13"/>
      <c r="J37" s="24"/>
      <c r="L37" s="19"/>
      <c r="M37" s="20"/>
      <c r="N37" s="21"/>
    </row>
    <row r="38" spans="1:14" ht="22.5" customHeight="1">
      <c r="A38" s="30">
        <v>4</v>
      </c>
      <c r="B38" s="130" t="s">
        <v>26</v>
      </c>
      <c r="C38" s="119" t="s">
        <v>31</v>
      </c>
      <c r="D38" s="118" t="s">
        <v>266</v>
      </c>
      <c r="E38" s="123"/>
      <c r="F38" s="113">
        <v>3</v>
      </c>
      <c r="G38" s="113">
        <v>1930</v>
      </c>
      <c r="H38" s="66">
        <f t="shared" ref="H38:H43" si="6">SUM(F38*G38/1000)</f>
        <v>5.79</v>
      </c>
      <c r="I38" s="13">
        <f>G38*1</f>
        <v>1930</v>
      </c>
      <c r="J38" s="24"/>
      <c r="L38" s="19"/>
      <c r="M38" s="20"/>
      <c r="N38" s="21"/>
    </row>
    <row r="39" spans="1:14" ht="31.5" customHeight="1">
      <c r="A39" s="30">
        <v>5</v>
      </c>
      <c r="B39" s="130" t="s">
        <v>115</v>
      </c>
      <c r="C39" s="131" t="s">
        <v>29</v>
      </c>
      <c r="D39" s="118" t="s">
        <v>163</v>
      </c>
      <c r="E39" s="123">
        <v>35.299999999999997</v>
      </c>
      <c r="F39" s="132">
        <f>E39*30/1000</f>
        <v>1.0589999999999999</v>
      </c>
      <c r="G39" s="113">
        <v>3134.93</v>
      </c>
      <c r="H39" s="66">
        <f t="shared" si="6"/>
        <v>3.3198908699999996</v>
      </c>
      <c r="I39" s="13">
        <f t="shared" ref="I39:I41" si="7">F39/6*G39</f>
        <v>553.31514499999992</v>
      </c>
      <c r="J39" s="24"/>
      <c r="L39" s="19"/>
      <c r="M39" s="20"/>
      <c r="N39" s="21"/>
    </row>
    <row r="40" spans="1:14" ht="15.75" customHeight="1">
      <c r="A40" s="30">
        <v>6</v>
      </c>
      <c r="B40" s="118" t="s">
        <v>116</v>
      </c>
      <c r="C40" s="119" t="s">
        <v>29</v>
      </c>
      <c r="D40" s="118" t="s">
        <v>171</v>
      </c>
      <c r="E40" s="123">
        <v>35.299999999999997</v>
      </c>
      <c r="F40" s="132">
        <f>SUM(E40*72/1000)</f>
        <v>2.5415999999999999</v>
      </c>
      <c r="G40" s="113">
        <v>522.92999999999995</v>
      </c>
      <c r="H40" s="66">
        <f t="shared" si="6"/>
        <v>1.3290788879999997</v>
      </c>
      <c r="I40" s="13">
        <f t="shared" si="7"/>
        <v>221.51314799999997</v>
      </c>
      <c r="J40" s="24"/>
      <c r="L40" s="19"/>
      <c r="M40" s="20"/>
      <c r="N40" s="21"/>
    </row>
    <row r="41" spans="1:14" ht="47.25" customHeight="1">
      <c r="A41" s="30">
        <v>7</v>
      </c>
      <c r="B41" s="118" t="s">
        <v>117</v>
      </c>
      <c r="C41" s="119" t="s">
        <v>83</v>
      </c>
      <c r="D41" s="118" t="s">
        <v>164</v>
      </c>
      <c r="E41" s="123">
        <v>35.299999999999997</v>
      </c>
      <c r="F41" s="132">
        <f>SUM(E41*24/1000)</f>
        <v>0.84719999999999995</v>
      </c>
      <c r="G41" s="113">
        <v>8652.07</v>
      </c>
      <c r="H41" s="66">
        <f t="shared" si="6"/>
        <v>7.3300337039999999</v>
      </c>
      <c r="I41" s="13">
        <f t="shared" si="7"/>
        <v>1221.672284</v>
      </c>
      <c r="J41" s="24"/>
      <c r="L41" s="19"/>
      <c r="M41" s="20"/>
      <c r="N41" s="21"/>
    </row>
    <row r="42" spans="1:14" ht="15.75" hidden="1" customHeight="1">
      <c r="A42" s="30">
        <v>9</v>
      </c>
      <c r="B42" s="118" t="s">
        <v>119</v>
      </c>
      <c r="C42" s="119" t="s">
        <v>83</v>
      </c>
      <c r="D42" s="118" t="s">
        <v>81</v>
      </c>
      <c r="E42" s="123">
        <v>35.299999999999997</v>
      </c>
      <c r="F42" s="132">
        <f>SUM(E42*30/1000)</f>
        <v>1.0589999999999999</v>
      </c>
      <c r="G42" s="113">
        <v>639.14</v>
      </c>
      <c r="H42" s="66">
        <f t="shared" si="6"/>
        <v>0.67684926000000001</v>
      </c>
      <c r="I42" s="13">
        <f>(F42/7.5*1.5)*G42</f>
        <v>135.36985199999998</v>
      </c>
      <c r="J42" s="24"/>
      <c r="L42" s="19"/>
      <c r="M42" s="20"/>
      <c r="N42" s="21"/>
    </row>
    <row r="43" spans="1:14" ht="15.75" hidden="1" customHeight="1">
      <c r="A43" s="30">
        <v>10</v>
      </c>
      <c r="B43" s="130" t="s">
        <v>67</v>
      </c>
      <c r="C43" s="131" t="s">
        <v>32</v>
      </c>
      <c r="D43" s="130"/>
      <c r="E43" s="120"/>
      <c r="F43" s="132">
        <v>0.3</v>
      </c>
      <c r="G43" s="132">
        <v>900</v>
      </c>
      <c r="H43" s="66">
        <f t="shared" si="6"/>
        <v>0.27</v>
      </c>
      <c r="I43" s="13">
        <f>(F43/7.5*1.5)*G43</f>
        <v>54</v>
      </c>
      <c r="J43" s="24"/>
      <c r="L43" s="19"/>
      <c r="M43" s="20"/>
      <c r="N43" s="21"/>
    </row>
    <row r="44" spans="1:14" ht="33.75" customHeight="1">
      <c r="A44" s="30">
        <v>8</v>
      </c>
      <c r="B44" s="136" t="s">
        <v>170</v>
      </c>
      <c r="C44" s="131" t="s">
        <v>29</v>
      </c>
      <c r="D44" s="130" t="s">
        <v>172</v>
      </c>
      <c r="E44" s="120">
        <v>1.2</v>
      </c>
      <c r="F44" s="132">
        <f>E44*12/1000</f>
        <v>1.4399999999999998E-2</v>
      </c>
      <c r="G44" s="132">
        <v>20547.34</v>
      </c>
      <c r="H44" s="56"/>
      <c r="I44" s="13">
        <f>G44*F44/6</f>
        <v>49.313615999999996</v>
      </c>
      <c r="J44" s="24"/>
      <c r="L44" s="19"/>
      <c r="M44" s="20"/>
      <c r="N44" s="21"/>
    </row>
    <row r="45" spans="1:14" ht="15.75" hidden="1" customHeight="1">
      <c r="A45" s="162" t="s">
        <v>132</v>
      </c>
      <c r="B45" s="163"/>
      <c r="C45" s="163"/>
      <c r="D45" s="163"/>
      <c r="E45" s="163"/>
      <c r="F45" s="163"/>
      <c r="G45" s="163"/>
      <c r="H45" s="163"/>
      <c r="I45" s="164"/>
      <c r="J45" s="24"/>
      <c r="L45" s="19"/>
      <c r="M45" s="20"/>
      <c r="N45" s="21"/>
    </row>
    <row r="46" spans="1:14" ht="15.75" hidden="1" customHeight="1">
      <c r="A46" s="30">
        <v>11</v>
      </c>
      <c r="B46" s="62" t="s">
        <v>101</v>
      </c>
      <c r="C46" s="63" t="s">
        <v>83</v>
      </c>
      <c r="D46" s="62" t="s">
        <v>42</v>
      </c>
      <c r="E46" s="64">
        <v>907.4</v>
      </c>
      <c r="F46" s="65">
        <f>SUM(E46*2/1000)</f>
        <v>1.8148</v>
      </c>
      <c r="G46" s="13">
        <v>1283.46</v>
      </c>
      <c r="H46" s="66">
        <f t="shared" ref="H46:H55" si="8">SUM(F46*G46/1000)</f>
        <v>2.3292232079999997</v>
      </c>
      <c r="I46" s="13">
        <f>F46/2*G46</f>
        <v>1164.6116039999999</v>
      </c>
      <c r="J46" s="24"/>
      <c r="L46" s="19"/>
      <c r="M46" s="20"/>
      <c r="N46" s="21"/>
    </row>
    <row r="47" spans="1:14" ht="15.75" hidden="1" customHeight="1">
      <c r="A47" s="30">
        <v>12</v>
      </c>
      <c r="B47" s="62" t="s">
        <v>35</v>
      </c>
      <c r="C47" s="63" t="s">
        <v>83</v>
      </c>
      <c r="D47" s="62" t="s">
        <v>42</v>
      </c>
      <c r="E47" s="64">
        <v>27</v>
      </c>
      <c r="F47" s="65">
        <f>SUM(E47*2/1000)</f>
        <v>5.3999999999999999E-2</v>
      </c>
      <c r="G47" s="13">
        <v>4192.6400000000003</v>
      </c>
      <c r="H47" s="66">
        <f t="shared" si="8"/>
        <v>0.22640256000000003</v>
      </c>
      <c r="I47" s="13">
        <f t="shared" ref="I47:I54" si="9">F47/2*G47</f>
        <v>113.20128000000001</v>
      </c>
      <c r="J47" s="24"/>
      <c r="L47" s="19"/>
      <c r="M47" s="20"/>
      <c r="N47" s="21"/>
    </row>
    <row r="48" spans="1:14" ht="15.75" hidden="1" customHeight="1">
      <c r="A48" s="30">
        <v>13</v>
      </c>
      <c r="B48" s="62" t="s">
        <v>36</v>
      </c>
      <c r="C48" s="63" t="s">
        <v>83</v>
      </c>
      <c r="D48" s="62" t="s">
        <v>42</v>
      </c>
      <c r="E48" s="64">
        <v>772</v>
      </c>
      <c r="F48" s="65">
        <f>SUM(E48*2/1000)</f>
        <v>1.544</v>
      </c>
      <c r="G48" s="13">
        <v>1711.28</v>
      </c>
      <c r="H48" s="66">
        <f t="shared" si="8"/>
        <v>2.6422163200000002</v>
      </c>
      <c r="I48" s="13">
        <f t="shared" si="9"/>
        <v>1321.10816</v>
      </c>
      <c r="J48" s="24"/>
      <c r="L48" s="19"/>
      <c r="M48" s="20"/>
      <c r="N48" s="21"/>
    </row>
    <row r="49" spans="1:22" ht="15.75" hidden="1" customHeight="1">
      <c r="A49" s="30">
        <v>14</v>
      </c>
      <c r="B49" s="62" t="s">
        <v>37</v>
      </c>
      <c r="C49" s="63" t="s">
        <v>83</v>
      </c>
      <c r="D49" s="62" t="s">
        <v>42</v>
      </c>
      <c r="E49" s="64">
        <v>959.4</v>
      </c>
      <c r="F49" s="65">
        <f>SUM(E49*2/1000)</f>
        <v>1.9188000000000001</v>
      </c>
      <c r="G49" s="13">
        <v>1179.73</v>
      </c>
      <c r="H49" s="66">
        <f t="shared" si="8"/>
        <v>2.2636659240000001</v>
      </c>
      <c r="I49" s="13">
        <f t="shared" si="9"/>
        <v>1131.832962</v>
      </c>
      <c r="J49" s="24"/>
      <c r="L49" s="19"/>
      <c r="M49" s="20"/>
      <c r="N49" s="21"/>
    </row>
    <row r="50" spans="1:22" ht="15.75" hidden="1" customHeight="1">
      <c r="A50" s="30">
        <v>15</v>
      </c>
      <c r="B50" s="62" t="s">
        <v>33</v>
      </c>
      <c r="C50" s="63" t="s">
        <v>34</v>
      </c>
      <c r="D50" s="62" t="s">
        <v>42</v>
      </c>
      <c r="E50" s="64">
        <v>66.02</v>
      </c>
      <c r="F50" s="65">
        <f>SUM(E50*2/100)</f>
        <v>1.3204</v>
      </c>
      <c r="G50" s="13">
        <v>90.61</v>
      </c>
      <c r="H50" s="66">
        <f t="shared" si="8"/>
        <v>0.11964144400000001</v>
      </c>
      <c r="I50" s="13">
        <f t="shared" si="9"/>
        <v>59.820722000000004</v>
      </c>
      <c r="J50" s="24"/>
      <c r="L50" s="19"/>
      <c r="M50" s="20"/>
      <c r="N50" s="21"/>
    </row>
    <row r="51" spans="1:22" ht="15.75" hidden="1" customHeight="1">
      <c r="A51" s="30">
        <v>16</v>
      </c>
      <c r="B51" s="62" t="s">
        <v>55</v>
      </c>
      <c r="C51" s="63" t="s">
        <v>83</v>
      </c>
      <c r="D51" s="62" t="s">
        <v>131</v>
      </c>
      <c r="E51" s="64">
        <v>1536.4</v>
      </c>
      <c r="F51" s="65">
        <f>SUM(E51*5/1000)</f>
        <v>7.6820000000000004</v>
      </c>
      <c r="G51" s="13">
        <v>1711.28</v>
      </c>
      <c r="H51" s="66">
        <f t="shared" si="8"/>
        <v>13.14605296</v>
      </c>
      <c r="I51" s="13">
        <f>F51/5*G51</f>
        <v>2629.2105919999999</v>
      </c>
      <c r="J51" s="24"/>
      <c r="L51" s="19"/>
      <c r="M51" s="20"/>
      <c r="N51" s="21"/>
    </row>
    <row r="52" spans="1:22" ht="32.25" hidden="1" customHeight="1">
      <c r="A52" s="30">
        <v>12</v>
      </c>
      <c r="B52" s="62" t="s">
        <v>84</v>
      </c>
      <c r="C52" s="63" t="s">
        <v>83</v>
      </c>
      <c r="D52" s="62" t="s">
        <v>42</v>
      </c>
      <c r="E52" s="64">
        <v>1536.4</v>
      </c>
      <c r="F52" s="65">
        <f>SUM(E52*2/1000)</f>
        <v>3.0728</v>
      </c>
      <c r="G52" s="13">
        <v>1510.06</v>
      </c>
      <c r="H52" s="66">
        <f t="shared" si="8"/>
        <v>4.6401123680000005</v>
      </c>
      <c r="I52" s="13">
        <f t="shared" si="9"/>
        <v>2320.056184</v>
      </c>
      <c r="J52" s="24"/>
      <c r="L52" s="19"/>
      <c r="M52" s="20"/>
      <c r="N52" s="21"/>
    </row>
    <row r="53" spans="1:22" ht="32.25" hidden="1" customHeight="1">
      <c r="A53" s="30">
        <v>13</v>
      </c>
      <c r="B53" s="62" t="s">
        <v>85</v>
      </c>
      <c r="C53" s="63" t="s">
        <v>38</v>
      </c>
      <c r="D53" s="62" t="s">
        <v>42</v>
      </c>
      <c r="E53" s="64">
        <v>9</v>
      </c>
      <c r="F53" s="65">
        <f>SUM(E53*2/100)</f>
        <v>0.18</v>
      </c>
      <c r="G53" s="13">
        <v>3850.4</v>
      </c>
      <c r="H53" s="66">
        <f t="shared" si="8"/>
        <v>0.69307200000000002</v>
      </c>
      <c r="I53" s="13">
        <f t="shared" si="9"/>
        <v>346.536</v>
      </c>
      <c r="J53" s="24"/>
      <c r="L53" s="19"/>
      <c r="M53" s="20"/>
      <c r="N53" s="21"/>
    </row>
    <row r="54" spans="1:22" ht="15.75" hidden="1" customHeight="1">
      <c r="A54" s="30">
        <v>14</v>
      </c>
      <c r="B54" s="62" t="s">
        <v>39</v>
      </c>
      <c r="C54" s="63" t="s">
        <v>40</v>
      </c>
      <c r="D54" s="62" t="s">
        <v>42</v>
      </c>
      <c r="E54" s="64">
        <v>1</v>
      </c>
      <c r="F54" s="65">
        <v>0.02</v>
      </c>
      <c r="G54" s="13">
        <v>7033.13</v>
      </c>
      <c r="H54" s="66">
        <f t="shared" si="8"/>
        <v>0.1406626</v>
      </c>
      <c r="I54" s="13">
        <f t="shared" si="9"/>
        <v>70.331299999999999</v>
      </c>
      <c r="J54" s="24"/>
      <c r="L54" s="19"/>
      <c r="M54" s="20"/>
      <c r="N54" s="21"/>
    </row>
    <row r="55" spans="1:22" ht="15.75" hidden="1" customHeight="1">
      <c r="A55" s="30"/>
      <c r="B55" s="62" t="s">
        <v>41</v>
      </c>
      <c r="C55" s="63" t="s">
        <v>102</v>
      </c>
      <c r="D55" s="62" t="s">
        <v>53</v>
      </c>
      <c r="E55" s="64">
        <v>53</v>
      </c>
      <c r="F55" s="65">
        <v>53</v>
      </c>
      <c r="G55" s="13">
        <v>81.73</v>
      </c>
      <c r="H55" s="66">
        <f t="shared" si="8"/>
        <v>4.3316900000000009</v>
      </c>
      <c r="I55" s="13">
        <f>F55/3*G55</f>
        <v>1443.8966666666668</v>
      </c>
      <c r="J55" s="24"/>
      <c r="L55" s="19"/>
    </row>
    <row r="56" spans="1:22" ht="15.75" customHeight="1">
      <c r="A56" s="162" t="s">
        <v>138</v>
      </c>
      <c r="B56" s="163"/>
      <c r="C56" s="163"/>
      <c r="D56" s="163"/>
      <c r="E56" s="163"/>
      <c r="F56" s="163"/>
      <c r="G56" s="163"/>
      <c r="H56" s="163"/>
      <c r="I56" s="164"/>
    </row>
    <row r="57" spans="1:22" ht="15.75" customHeight="1">
      <c r="A57" s="30"/>
      <c r="B57" s="81" t="s">
        <v>43</v>
      </c>
      <c r="C57" s="63"/>
      <c r="D57" s="62"/>
      <c r="E57" s="64"/>
      <c r="F57" s="65"/>
      <c r="G57" s="65"/>
      <c r="H57" s="66"/>
      <c r="I57" s="13"/>
    </row>
    <row r="58" spans="1:22" ht="31.5" customHeight="1">
      <c r="A58" s="30">
        <v>9</v>
      </c>
      <c r="B58" s="62" t="s">
        <v>103</v>
      </c>
      <c r="C58" s="63" t="s">
        <v>80</v>
      </c>
      <c r="D58" s="62"/>
      <c r="E58" s="64">
        <v>11.5</v>
      </c>
      <c r="F58" s="65">
        <f>SUM(E58*6/100)</f>
        <v>0.69</v>
      </c>
      <c r="G58" s="13">
        <v>2306.62</v>
      </c>
      <c r="H58" s="66">
        <f>SUM(F58*G58/1000)</f>
        <v>1.5915677999999998</v>
      </c>
      <c r="I58" s="13">
        <f>G58*0.115</f>
        <v>265.26130000000001</v>
      </c>
    </row>
    <row r="59" spans="1:22" ht="15.75" hidden="1" customHeight="1">
      <c r="A59" s="30">
        <v>16</v>
      </c>
      <c r="B59" s="62" t="s">
        <v>120</v>
      </c>
      <c r="C59" s="63" t="s">
        <v>121</v>
      </c>
      <c r="D59" s="62" t="s">
        <v>65</v>
      </c>
      <c r="E59" s="64"/>
      <c r="F59" s="65">
        <v>2</v>
      </c>
      <c r="G59" s="84">
        <v>1501</v>
      </c>
      <c r="H59" s="66">
        <f>SUM(F59*G59/1000)</f>
        <v>3.0019999999999998</v>
      </c>
      <c r="I59" s="13">
        <f>G59*(4+1)</f>
        <v>7505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/>
      <c r="B60" s="81" t="s">
        <v>44</v>
      </c>
      <c r="C60" s="63"/>
      <c r="D60" s="62"/>
      <c r="E60" s="64"/>
      <c r="F60" s="65"/>
      <c r="G60" s="85"/>
      <c r="H60" s="66"/>
      <c r="I60" s="13"/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105</v>
      </c>
      <c r="C61" s="63" t="s">
        <v>80</v>
      </c>
      <c r="D61" s="62" t="s">
        <v>53</v>
      </c>
      <c r="E61" s="64">
        <v>148</v>
      </c>
      <c r="F61" s="66">
        <f>E61/100</f>
        <v>1.48</v>
      </c>
      <c r="G61" s="13">
        <v>987.51</v>
      </c>
      <c r="H61" s="71">
        <f>F61*G61/1000</f>
        <v>1.4615148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10</v>
      </c>
      <c r="B62" s="73" t="s">
        <v>129</v>
      </c>
      <c r="C62" s="72" t="s">
        <v>25</v>
      </c>
      <c r="D62" s="73" t="s">
        <v>156</v>
      </c>
      <c r="E62" s="74">
        <v>140.5</v>
      </c>
      <c r="F62" s="65">
        <v>1320</v>
      </c>
      <c r="G62" s="86">
        <v>1.4</v>
      </c>
      <c r="H62" s="71">
        <f>F62*G62/1000</f>
        <v>1.8479999999999999</v>
      </c>
      <c r="I62" s="13">
        <f>F62/12*G62</f>
        <v>154</v>
      </c>
      <c r="J62" s="5"/>
      <c r="K62" s="5"/>
      <c r="L62" s="5"/>
      <c r="M62" s="5"/>
      <c r="N62" s="5"/>
      <c r="O62" s="5"/>
      <c r="P62" s="5"/>
      <c r="Q62" s="5"/>
      <c r="R62" s="161"/>
      <c r="S62" s="161"/>
      <c r="T62" s="161"/>
      <c r="U62" s="161"/>
    </row>
    <row r="63" spans="1:22" ht="15.75" customHeight="1">
      <c r="A63" s="30"/>
      <c r="B63" s="82" t="s">
        <v>45</v>
      </c>
      <c r="C63" s="72"/>
      <c r="D63" s="73"/>
      <c r="E63" s="74"/>
      <c r="F63" s="75"/>
      <c r="G63" s="75"/>
      <c r="H63" s="76" t="s">
        <v>114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11</v>
      </c>
      <c r="B64" s="14" t="s">
        <v>46</v>
      </c>
      <c r="C64" s="16" t="s">
        <v>102</v>
      </c>
      <c r="D64" s="14" t="s">
        <v>65</v>
      </c>
      <c r="E64" s="18">
        <v>2</v>
      </c>
      <c r="F64" s="65">
        <f>E64</f>
        <v>2</v>
      </c>
      <c r="G64" s="13">
        <v>276.74</v>
      </c>
      <c r="H64" s="61">
        <f t="shared" ref="H64:H81" si="10">SUM(F64*G64/1000)</f>
        <v>0.55347999999999997</v>
      </c>
      <c r="I64" s="13">
        <f>G64</f>
        <v>276.74</v>
      </c>
    </row>
    <row r="65" spans="1:9" ht="15.75" hidden="1" customHeight="1">
      <c r="A65" s="30"/>
      <c r="B65" s="14" t="s">
        <v>47</v>
      </c>
      <c r="C65" s="16" t="s">
        <v>102</v>
      </c>
      <c r="D65" s="14" t="s">
        <v>65</v>
      </c>
      <c r="E65" s="18">
        <v>1</v>
      </c>
      <c r="F65" s="65">
        <f>E65</f>
        <v>1</v>
      </c>
      <c r="G65" s="13">
        <v>94.89</v>
      </c>
      <c r="H65" s="61">
        <f t="shared" si="10"/>
        <v>9.4890000000000002E-2</v>
      </c>
      <c r="I65" s="13">
        <v>0</v>
      </c>
    </row>
    <row r="66" spans="1:9" ht="15.75" hidden="1" customHeight="1">
      <c r="A66" s="30"/>
      <c r="B66" s="14" t="s">
        <v>48</v>
      </c>
      <c r="C66" s="16" t="s">
        <v>106</v>
      </c>
      <c r="D66" s="14" t="s">
        <v>53</v>
      </c>
      <c r="E66" s="64">
        <v>6307</v>
      </c>
      <c r="F66" s="13">
        <f>SUM(E66/100)</f>
        <v>63.07</v>
      </c>
      <c r="G66" s="13">
        <v>263.99</v>
      </c>
      <c r="H66" s="61">
        <f t="shared" si="10"/>
        <v>16.649849300000003</v>
      </c>
      <c r="I66" s="13">
        <v>0</v>
      </c>
    </row>
    <row r="67" spans="1:9" ht="15.75" hidden="1" customHeight="1">
      <c r="A67" s="30"/>
      <c r="B67" s="14" t="s">
        <v>49</v>
      </c>
      <c r="C67" s="16" t="s">
        <v>107</v>
      </c>
      <c r="D67" s="14"/>
      <c r="E67" s="64">
        <v>6307</v>
      </c>
      <c r="F67" s="13">
        <f>SUM(E67/1000)</f>
        <v>6.3070000000000004</v>
      </c>
      <c r="G67" s="13">
        <v>205.57</v>
      </c>
      <c r="H67" s="61">
        <f t="shared" si="10"/>
        <v>1.29652999</v>
      </c>
      <c r="I67" s="13">
        <v>0</v>
      </c>
    </row>
    <row r="68" spans="1:9" ht="15.75" hidden="1" customHeight="1">
      <c r="A68" s="30"/>
      <c r="B68" s="14" t="s">
        <v>50</v>
      </c>
      <c r="C68" s="16" t="s">
        <v>74</v>
      </c>
      <c r="D68" s="14" t="s">
        <v>53</v>
      </c>
      <c r="E68" s="64">
        <v>1003</v>
      </c>
      <c r="F68" s="13">
        <f>SUM(E68/100)</f>
        <v>10.029999999999999</v>
      </c>
      <c r="G68" s="13">
        <v>2581.5300000000002</v>
      </c>
      <c r="H68" s="61">
        <f t="shared" si="10"/>
        <v>25.892745900000001</v>
      </c>
      <c r="I68" s="13">
        <v>0</v>
      </c>
    </row>
    <row r="69" spans="1:9" ht="15.75" hidden="1" customHeight="1">
      <c r="A69" s="30"/>
      <c r="B69" s="77" t="s">
        <v>108</v>
      </c>
      <c r="C69" s="16" t="s">
        <v>32</v>
      </c>
      <c r="D69" s="14"/>
      <c r="E69" s="64">
        <v>6.6</v>
      </c>
      <c r="F69" s="13">
        <f>SUM(E69)</f>
        <v>6.6</v>
      </c>
      <c r="G69" s="13">
        <v>47.75</v>
      </c>
      <c r="H69" s="61">
        <f t="shared" si="10"/>
        <v>0.31514999999999999</v>
      </c>
      <c r="I69" s="13">
        <v>0</v>
      </c>
    </row>
    <row r="70" spans="1:9" ht="15.75" hidden="1" customHeight="1">
      <c r="A70" s="30"/>
      <c r="B70" s="77" t="s">
        <v>109</v>
      </c>
      <c r="C70" s="16" t="s">
        <v>32</v>
      </c>
      <c r="D70" s="14"/>
      <c r="E70" s="64">
        <v>6.6</v>
      </c>
      <c r="F70" s="13">
        <f>SUM(E70)</f>
        <v>6.6</v>
      </c>
      <c r="G70" s="13">
        <v>44.27</v>
      </c>
      <c r="H70" s="61">
        <f t="shared" si="10"/>
        <v>0.292182</v>
      </c>
      <c r="I70" s="13">
        <v>0</v>
      </c>
    </row>
    <row r="71" spans="1:9" ht="15.75" hidden="1" customHeight="1">
      <c r="A71" s="30">
        <v>19</v>
      </c>
      <c r="B71" s="14" t="s">
        <v>56</v>
      </c>
      <c r="C71" s="16" t="s">
        <v>57</v>
      </c>
      <c r="D71" s="14" t="s">
        <v>53</v>
      </c>
      <c r="E71" s="18">
        <v>3</v>
      </c>
      <c r="F71" s="65">
        <v>3</v>
      </c>
      <c r="G71" s="13">
        <v>62.07</v>
      </c>
      <c r="H71" s="61">
        <f t="shared" si="10"/>
        <v>0.18621000000000001</v>
      </c>
      <c r="I71" s="13">
        <f>F71*G71</f>
        <v>186.21</v>
      </c>
    </row>
    <row r="72" spans="1:9" ht="15.75" customHeight="1">
      <c r="A72" s="30">
        <v>11</v>
      </c>
      <c r="B72" s="133" t="s">
        <v>122</v>
      </c>
      <c r="C72" s="126" t="s">
        <v>123</v>
      </c>
      <c r="D72" s="133" t="s">
        <v>156</v>
      </c>
      <c r="E72" s="17">
        <v>1536.4</v>
      </c>
      <c r="F72" s="134">
        <f>E72*12</f>
        <v>18436.800000000003</v>
      </c>
      <c r="G72" s="34">
        <v>2.6</v>
      </c>
      <c r="H72" s="61">
        <f t="shared" ref="H72" si="11">SUM(F72*G72/1000)</f>
        <v>47.935680000000005</v>
      </c>
      <c r="I72" s="13">
        <f>F72/12*G72</f>
        <v>3994.6400000000008</v>
      </c>
    </row>
    <row r="73" spans="1:9" ht="15.75" customHeight="1">
      <c r="A73" s="30"/>
      <c r="B73" s="108" t="s">
        <v>69</v>
      </c>
      <c r="C73" s="16"/>
      <c r="D73" s="14"/>
      <c r="E73" s="18"/>
      <c r="F73" s="13"/>
      <c r="G73" s="13"/>
      <c r="H73" s="61" t="s">
        <v>114</v>
      </c>
      <c r="I73" s="13"/>
    </row>
    <row r="74" spans="1:9" ht="15.75" hidden="1" customHeight="1">
      <c r="A74" s="30"/>
      <c r="B74" s="14" t="s">
        <v>124</v>
      </c>
      <c r="C74" s="16" t="s">
        <v>125</v>
      </c>
      <c r="D74" s="14" t="s">
        <v>65</v>
      </c>
      <c r="E74" s="18">
        <v>1</v>
      </c>
      <c r="F74" s="13">
        <f>E74</f>
        <v>1</v>
      </c>
      <c r="G74" s="13">
        <v>976.4</v>
      </c>
      <c r="H74" s="61">
        <f t="shared" ref="H74:H75" si="12">SUM(F74*G74/1000)</f>
        <v>0.97639999999999993</v>
      </c>
      <c r="I74" s="13">
        <v>0</v>
      </c>
    </row>
    <row r="75" spans="1:9" ht="15.75" hidden="1" customHeight="1">
      <c r="A75" s="30"/>
      <c r="B75" s="14" t="s">
        <v>126</v>
      </c>
      <c r="C75" s="16" t="s">
        <v>127</v>
      </c>
      <c r="D75" s="14"/>
      <c r="E75" s="18">
        <v>1</v>
      </c>
      <c r="F75" s="13">
        <v>1</v>
      </c>
      <c r="G75" s="13">
        <v>650</v>
      </c>
      <c r="H75" s="61">
        <f t="shared" si="12"/>
        <v>0.65</v>
      </c>
      <c r="I75" s="13">
        <v>0</v>
      </c>
    </row>
    <row r="76" spans="1:9" ht="15.75" hidden="1" customHeight="1">
      <c r="A76" s="30">
        <v>13</v>
      </c>
      <c r="B76" s="14" t="s">
        <v>70</v>
      </c>
      <c r="C76" s="16" t="s">
        <v>72</v>
      </c>
      <c r="D76" s="14"/>
      <c r="E76" s="18">
        <v>3</v>
      </c>
      <c r="F76" s="13">
        <v>0.3</v>
      </c>
      <c r="G76" s="13">
        <v>624.16999999999996</v>
      </c>
      <c r="H76" s="61">
        <f t="shared" si="10"/>
        <v>0.18725099999999997</v>
      </c>
      <c r="I76" s="13">
        <f>G76*0.1</f>
        <v>62.417000000000002</v>
      </c>
    </row>
    <row r="77" spans="1:9" ht="15.75" hidden="1" customHeight="1">
      <c r="A77" s="30"/>
      <c r="B77" s="14" t="s">
        <v>71</v>
      </c>
      <c r="C77" s="16" t="s">
        <v>30</v>
      </c>
      <c r="D77" s="14"/>
      <c r="E77" s="18">
        <v>1</v>
      </c>
      <c r="F77" s="56">
        <v>1</v>
      </c>
      <c r="G77" s="13">
        <v>1061.4100000000001</v>
      </c>
      <c r="H77" s="61">
        <f>F77*G77/1000</f>
        <v>1.0614100000000002</v>
      </c>
      <c r="I77" s="13">
        <v>0</v>
      </c>
    </row>
    <row r="78" spans="1:9" ht="28.5" customHeight="1">
      <c r="A78" s="30">
        <v>12</v>
      </c>
      <c r="B78" s="46" t="s">
        <v>173</v>
      </c>
      <c r="C78" s="47" t="s">
        <v>102</v>
      </c>
      <c r="D78" s="133" t="s">
        <v>166</v>
      </c>
      <c r="E78" s="17">
        <v>2</v>
      </c>
      <c r="F78" s="34">
        <f>E78*12</f>
        <v>24</v>
      </c>
      <c r="G78" s="34">
        <v>420</v>
      </c>
      <c r="H78" s="61">
        <f>G78*F78/1000</f>
        <v>10.08</v>
      </c>
      <c r="I78" s="13">
        <f>G78*2</f>
        <v>840</v>
      </c>
    </row>
    <row r="79" spans="1:9" ht="29.25" customHeight="1">
      <c r="A79" s="30">
        <v>13</v>
      </c>
      <c r="B79" s="46" t="s">
        <v>174</v>
      </c>
      <c r="C79" s="47" t="s">
        <v>30</v>
      </c>
      <c r="D79" s="133" t="s">
        <v>166</v>
      </c>
      <c r="E79" s="17">
        <v>1</v>
      </c>
      <c r="F79" s="34">
        <f>E79*12</f>
        <v>12</v>
      </c>
      <c r="G79" s="34">
        <v>1829</v>
      </c>
      <c r="H79" s="61"/>
      <c r="I79" s="13">
        <f>G79*F79/12</f>
        <v>1829</v>
      </c>
    </row>
    <row r="80" spans="1:9" ht="15.75" hidden="1" customHeight="1">
      <c r="A80" s="30"/>
      <c r="B80" s="79" t="s">
        <v>73</v>
      </c>
      <c r="C80" s="16"/>
      <c r="D80" s="14"/>
      <c r="E80" s="18"/>
      <c r="F80" s="13"/>
      <c r="G80" s="13" t="s">
        <v>114</v>
      </c>
      <c r="H80" s="61" t="s">
        <v>114</v>
      </c>
      <c r="I80" s="13" t="str">
        <f>G80</f>
        <v xml:space="preserve"> </v>
      </c>
    </row>
    <row r="81" spans="1:9" ht="15.75" hidden="1" customHeight="1">
      <c r="A81" s="30"/>
      <c r="B81" s="43" t="s">
        <v>128</v>
      </c>
      <c r="C81" s="16" t="s">
        <v>74</v>
      </c>
      <c r="D81" s="14"/>
      <c r="E81" s="18"/>
      <c r="F81" s="13">
        <v>0.1</v>
      </c>
      <c r="G81" s="13">
        <v>3433.69</v>
      </c>
      <c r="H81" s="61">
        <f t="shared" si="10"/>
        <v>0.34336900000000004</v>
      </c>
      <c r="I81" s="13">
        <v>0</v>
      </c>
    </row>
    <row r="82" spans="1:9" ht="15.75" hidden="1" customHeight="1">
      <c r="A82" s="30"/>
      <c r="B82" s="55" t="s">
        <v>86</v>
      </c>
      <c r="C82" s="79"/>
      <c r="D82" s="31"/>
      <c r="E82" s="32"/>
      <c r="F82" s="68"/>
      <c r="G82" s="68"/>
      <c r="H82" s="80">
        <f>SUM(H58:H81)</f>
        <v>114.41822979000001</v>
      </c>
      <c r="I82" s="13"/>
    </row>
    <row r="83" spans="1:9" ht="15.75" hidden="1" customHeight="1">
      <c r="A83" s="30">
        <v>13</v>
      </c>
      <c r="B83" s="62" t="s">
        <v>110</v>
      </c>
      <c r="C83" s="16"/>
      <c r="D83" s="14"/>
      <c r="E83" s="57"/>
      <c r="F83" s="13">
        <v>1</v>
      </c>
      <c r="G83" s="13">
        <v>4194.6000000000004</v>
      </c>
      <c r="H83" s="61">
        <f>G83*F83/1000</f>
        <v>4.1946000000000003</v>
      </c>
      <c r="I83" s="13">
        <f>G83</f>
        <v>4194.6000000000004</v>
      </c>
    </row>
    <row r="84" spans="1:9" ht="15.75" customHeight="1">
      <c r="A84" s="162" t="s">
        <v>139</v>
      </c>
      <c r="B84" s="163"/>
      <c r="C84" s="163"/>
      <c r="D84" s="163"/>
      <c r="E84" s="163"/>
      <c r="F84" s="163"/>
      <c r="G84" s="163"/>
      <c r="H84" s="163"/>
      <c r="I84" s="164"/>
    </row>
    <row r="85" spans="1:9" ht="15.75" customHeight="1">
      <c r="A85" s="30">
        <v>14</v>
      </c>
      <c r="B85" s="118" t="s">
        <v>111</v>
      </c>
      <c r="C85" s="125" t="s">
        <v>54</v>
      </c>
      <c r="D85" s="135"/>
      <c r="E85" s="34">
        <v>1536.4</v>
      </c>
      <c r="F85" s="34">
        <f>SUM(E85*12)</f>
        <v>18436.800000000003</v>
      </c>
      <c r="G85" s="34">
        <v>3.5</v>
      </c>
      <c r="H85" s="61">
        <f>SUM(F85*G85/1000)</f>
        <v>64.528800000000004</v>
      </c>
      <c r="I85" s="13">
        <f>F85/12*G85</f>
        <v>5377.4000000000015</v>
      </c>
    </row>
    <row r="86" spans="1:9" ht="31.5" customHeight="1">
      <c r="A86" s="30">
        <v>15</v>
      </c>
      <c r="B86" s="118" t="s">
        <v>175</v>
      </c>
      <c r="C86" s="125" t="s">
        <v>54</v>
      </c>
      <c r="D86" s="135"/>
      <c r="E86" s="34">
        <v>1536.4</v>
      </c>
      <c r="F86" s="34">
        <f>E86*12</f>
        <v>18436.800000000003</v>
      </c>
      <c r="G86" s="34">
        <v>3.2</v>
      </c>
      <c r="H86" s="61">
        <f>F86*G86/1000</f>
        <v>58.997760000000007</v>
      </c>
      <c r="I86" s="13">
        <f>F86/12*G86</f>
        <v>4916.4800000000014</v>
      </c>
    </row>
    <row r="87" spans="1:9" ht="15.75" customHeight="1">
      <c r="A87" s="30"/>
      <c r="B87" s="36" t="s">
        <v>76</v>
      </c>
      <c r="C87" s="79"/>
      <c r="D87" s="78"/>
      <c r="E87" s="68"/>
      <c r="F87" s="68"/>
      <c r="G87" s="68"/>
      <c r="H87" s="80">
        <f>H86</f>
        <v>58.997760000000007</v>
      </c>
      <c r="I87" s="68">
        <f>I86+I85+I79+I78+I72+I62+I58+I44+I41+I40+I39+I38+I18+I17+I16</f>
        <v>26945.329862999999</v>
      </c>
    </row>
    <row r="88" spans="1:9" ht="15.75" customHeight="1">
      <c r="A88" s="174" t="s">
        <v>59</v>
      </c>
      <c r="B88" s="175"/>
      <c r="C88" s="175"/>
      <c r="D88" s="175"/>
      <c r="E88" s="175"/>
      <c r="F88" s="175"/>
      <c r="G88" s="175"/>
      <c r="H88" s="175"/>
      <c r="I88" s="176"/>
    </row>
    <row r="89" spans="1:9" ht="35.25" customHeight="1">
      <c r="A89" s="30">
        <v>16</v>
      </c>
      <c r="B89" s="109" t="s">
        <v>261</v>
      </c>
      <c r="C89" s="110" t="s">
        <v>262</v>
      </c>
      <c r="D89" s="100" t="s">
        <v>265</v>
      </c>
      <c r="E89" s="34"/>
      <c r="F89" s="34">
        <v>1</v>
      </c>
      <c r="G89" s="34">
        <v>784.27</v>
      </c>
      <c r="H89" s="13"/>
      <c r="I89" s="13">
        <f>G89*1</f>
        <v>784.27</v>
      </c>
    </row>
    <row r="90" spans="1:9" ht="18.75" customHeight="1">
      <c r="A90" s="30">
        <v>17</v>
      </c>
      <c r="B90" s="109" t="s">
        <v>263</v>
      </c>
      <c r="C90" s="110" t="s">
        <v>264</v>
      </c>
      <c r="D90" s="100"/>
      <c r="E90" s="34"/>
      <c r="F90" s="34">
        <v>25</v>
      </c>
      <c r="G90" s="34">
        <v>45</v>
      </c>
      <c r="H90" s="13"/>
      <c r="I90" s="13">
        <f>G90*25</f>
        <v>1125</v>
      </c>
    </row>
    <row r="91" spans="1:9" ht="15.75" customHeight="1">
      <c r="A91" s="30"/>
      <c r="B91" s="41" t="s">
        <v>51</v>
      </c>
      <c r="C91" s="37"/>
      <c r="D91" s="44"/>
      <c r="E91" s="37">
        <v>1</v>
      </c>
      <c r="F91" s="37"/>
      <c r="G91" s="37"/>
      <c r="H91" s="37"/>
      <c r="I91" s="32">
        <f>SUM(I89:I90)</f>
        <v>1909.27</v>
      </c>
    </row>
    <row r="92" spans="1:9" ht="15.75" customHeight="1">
      <c r="A92" s="30"/>
      <c r="B92" s="43" t="s">
        <v>75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150</v>
      </c>
      <c r="C93" s="33"/>
      <c r="D93" s="33"/>
      <c r="E93" s="33"/>
      <c r="F93" s="33"/>
      <c r="G93" s="33"/>
      <c r="H93" s="33"/>
      <c r="I93" s="40">
        <f>I87+I91</f>
        <v>28854.599862999999</v>
      </c>
    </row>
    <row r="94" spans="1:9" ht="15.75">
      <c r="A94" s="182" t="s">
        <v>267</v>
      </c>
      <c r="B94" s="182"/>
      <c r="C94" s="182"/>
      <c r="D94" s="182"/>
      <c r="E94" s="182"/>
      <c r="F94" s="182"/>
      <c r="G94" s="182"/>
      <c r="H94" s="182"/>
      <c r="I94" s="182"/>
    </row>
    <row r="95" spans="1:9" ht="15.75" customHeight="1">
      <c r="A95" s="54"/>
      <c r="B95" s="183" t="s">
        <v>268</v>
      </c>
      <c r="C95" s="183"/>
      <c r="D95" s="183"/>
      <c r="E95" s="183"/>
      <c r="F95" s="183"/>
      <c r="G95" s="183"/>
      <c r="H95" s="60"/>
      <c r="I95" s="3"/>
    </row>
    <row r="96" spans="1:9">
      <c r="A96" s="105"/>
      <c r="B96" s="179" t="s">
        <v>6</v>
      </c>
      <c r="C96" s="179"/>
      <c r="D96" s="179"/>
      <c r="E96" s="179"/>
      <c r="F96" s="179"/>
      <c r="G96" s="179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171" t="s">
        <v>60</v>
      </c>
      <c r="B100" s="171"/>
      <c r="C100" s="171"/>
      <c r="D100" s="171"/>
      <c r="E100" s="171"/>
      <c r="F100" s="171"/>
      <c r="G100" s="171"/>
      <c r="H100" s="171"/>
      <c r="I100" s="171"/>
    </row>
    <row r="101" spans="1:9" ht="15.75">
      <c r="A101" s="11"/>
    </row>
    <row r="102" spans="1:9" ht="15.75">
      <c r="A102" s="177" t="s">
        <v>9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>
      <c r="A103" s="4"/>
    </row>
    <row r="104" spans="1:9" ht="15.75">
      <c r="B104" s="106" t="s">
        <v>10</v>
      </c>
      <c r="C104" s="178" t="s">
        <v>192</v>
      </c>
      <c r="D104" s="178"/>
      <c r="E104" s="178"/>
      <c r="F104" s="58"/>
      <c r="I104" s="104"/>
    </row>
    <row r="105" spans="1:9">
      <c r="A105" s="105"/>
      <c r="C105" s="179" t="s">
        <v>11</v>
      </c>
      <c r="D105" s="179"/>
      <c r="E105" s="179"/>
      <c r="F105" s="25"/>
      <c r="I105" s="103" t="s">
        <v>12</v>
      </c>
    </row>
    <row r="106" spans="1:9" ht="15.75">
      <c r="A106" s="26"/>
      <c r="C106" s="12"/>
      <c r="D106" s="12"/>
      <c r="G106" s="12"/>
      <c r="H106" s="12"/>
    </row>
    <row r="107" spans="1:9" ht="15.75" customHeight="1">
      <c r="B107" s="106" t="s">
        <v>13</v>
      </c>
      <c r="C107" s="180"/>
      <c r="D107" s="180"/>
      <c r="E107" s="180"/>
      <c r="F107" s="59"/>
      <c r="I107" s="104"/>
    </row>
    <row r="108" spans="1:9" ht="15.75" customHeight="1">
      <c r="A108" s="105"/>
      <c r="C108" s="161" t="s">
        <v>11</v>
      </c>
      <c r="D108" s="161"/>
      <c r="E108" s="161"/>
      <c r="F108" s="105"/>
      <c r="I108" s="103" t="s">
        <v>12</v>
      </c>
    </row>
    <row r="109" spans="1:9" ht="15.75" customHeight="1">
      <c r="A109" s="4" t="s">
        <v>14</v>
      </c>
    </row>
    <row r="110" spans="1:9">
      <c r="A110" s="181" t="s">
        <v>15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45" customHeight="1">
      <c r="A111" s="173" t="s">
        <v>16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30" customHeight="1">
      <c r="A112" s="173" t="s">
        <v>17</v>
      </c>
      <c r="B112" s="173"/>
      <c r="C112" s="173"/>
      <c r="D112" s="173"/>
      <c r="E112" s="173"/>
      <c r="F112" s="173"/>
      <c r="G112" s="173"/>
      <c r="H112" s="173"/>
      <c r="I112" s="173"/>
    </row>
    <row r="113" spans="1:9" ht="30" customHeight="1">
      <c r="A113" s="173" t="s">
        <v>21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15" customHeight="1">
      <c r="A114" s="173" t="s">
        <v>20</v>
      </c>
      <c r="B114" s="173"/>
      <c r="C114" s="173"/>
      <c r="D114" s="173"/>
      <c r="E114" s="173"/>
      <c r="F114" s="173"/>
      <c r="G114" s="173"/>
      <c r="H114" s="173"/>
      <c r="I114" s="173"/>
    </row>
  </sheetData>
  <autoFilter ref="I12:I57"/>
  <mergeCells count="29">
    <mergeCell ref="A110:I110"/>
    <mergeCell ref="A111:I111"/>
    <mergeCell ref="A112:I112"/>
    <mergeCell ref="A113:I113"/>
    <mergeCell ref="A114:I114"/>
    <mergeCell ref="R62:U62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9"/>
  <sheetViews>
    <sheetView tabSelected="1" topLeftCell="A84" workbookViewId="0">
      <selection activeCell="K104" sqref="K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154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269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107"/>
      <c r="C6" s="107"/>
      <c r="D6" s="107"/>
      <c r="E6" s="107"/>
      <c r="F6" s="107"/>
      <c r="G6" s="107"/>
      <c r="H6" s="107"/>
      <c r="I6" s="83">
        <v>44561</v>
      </c>
      <c r="J6" s="2"/>
      <c r="K6" s="2"/>
      <c r="L6" s="2"/>
      <c r="M6" s="2"/>
    </row>
    <row r="7" spans="1:13" ht="15.75">
      <c r="B7" s="106"/>
      <c r="C7" s="106"/>
      <c r="D7" s="10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184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7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156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ref="H18:H26" si="1">SUM(F18*G18/1000)</f>
        <v>22.298535359999999</v>
      </c>
      <c r="I18" s="34">
        <f>F18/18*G18</f>
        <v>1238.8075200000001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si="1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90</v>
      </c>
      <c r="C20" s="63" t="s">
        <v>80</v>
      </c>
      <c r="D20" s="62" t="s">
        <v>156</v>
      </c>
      <c r="E20" s="64">
        <v>9.18</v>
      </c>
      <c r="F20" s="65">
        <f>SUM(E20*2/100)</f>
        <v>0.18359999999999999</v>
      </c>
      <c r="G20" s="140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156</v>
      </c>
      <c r="E21" s="64">
        <v>8.1</v>
      </c>
      <c r="F21" s="65">
        <f>SUM(E21*2/100)</f>
        <v>0.16200000000000001</v>
      </c>
      <c r="G21" s="140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62" t="s">
        <v>147</v>
      </c>
      <c r="B29" s="163"/>
      <c r="C29" s="163"/>
      <c r="D29" s="163"/>
      <c r="E29" s="163"/>
      <c r="F29" s="163"/>
      <c r="G29" s="163"/>
      <c r="H29" s="163"/>
      <c r="I29" s="164"/>
      <c r="J29" s="24"/>
    </row>
    <row r="30" spans="1:13" ht="15.75" hidden="1" customHeight="1">
      <c r="A30" s="30"/>
      <c r="B30" s="81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6</v>
      </c>
      <c r="B31" s="62" t="s">
        <v>100</v>
      </c>
      <c r="C31" s="63" t="s">
        <v>83</v>
      </c>
      <c r="D31" s="62" t="s">
        <v>148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3">SUM(F31*G31/1000)</f>
        <v>0.62031605999999995</v>
      </c>
      <c r="I31" s="13">
        <f t="shared" ref="I31:I32" si="4">F31/6*G31</f>
        <v>103.38601</v>
      </c>
      <c r="J31" s="23"/>
      <c r="K31" s="8"/>
      <c r="L31" s="8"/>
      <c r="M31" s="8"/>
    </row>
    <row r="32" spans="1:13" ht="31.5" hidden="1" customHeight="1">
      <c r="A32" s="30">
        <v>7</v>
      </c>
      <c r="B32" s="62" t="s">
        <v>99</v>
      </c>
      <c r="C32" s="63" t="s">
        <v>83</v>
      </c>
      <c r="D32" s="62" t="s">
        <v>149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3"/>
        <v>0.88609918799999987</v>
      </c>
      <c r="I32" s="13">
        <f t="shared" si="4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83</v>
      </c>
      <c r="D33" s="62" t="s">
        <v>53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3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8</v>
      </c>
      <c r="B34" s="62" t="s">
        <v>98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3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63</v>
      </c>
      <c r="C35" s="63" t="s">
        <v>32</v>
      </c>
      <c r="D35" s="62" t="s">
        <v>65</v>
      </c>
      <c r="E35" s="64"/>
      <c r="F35" s="65">
        <v>1</v>
      </c>
      <c r="G35" s="65">
        <v>238.07</v>
      </c>
      <c r="H35" s="66">
        <f t="shared" si="3"/>
        <v>0.23807</v>
      </c>
      <c r="I35" s="13">
        <v>0</v>
      </c>
      <c r="J35" s="24"/>
    </row>
    <row r="36" spans="1:14" ht="15.75" hidden="1" customHeight="1">
      <c r="A36" s="30"/>
      <c r="B36" s="62" t="s">
        <v>64</v>
      </c>
      <c r="C36" s="63" t="s">
        <v>31</v>
      </c>
      <c r="D36" s="62" t="s">
        <v>65</v>
      </c>
      <c r="E36" s="64"/>
      <c r="F36" s="65">
        <v>1</v>
      </c>
      <c r="G36" s="65">
        <v>1413.96</v>
      </c>
      <c r="H36" s="66">
        <f t="shared" si="3"/>
        <v>1.4139600000000001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114</v>
      </c>
      <c r="I37" s="13"/>
      <c r="J37" s="24"/>
      <c r="L37" s="19"/>
      <c r="M37" s="20"/>
      <c r="N37" s="21"/>
    </row>
    <row r="38" spans="1:14" ht="15.75" customHeight="1">
      <c r="A38" s="30">
        <v>4</v>
      </c>
      <c r="B38" s="62" t="s">
        <v>26</v>
      </c>
      <c r="C38" s="63" t="s">
        <v>31</v>
      </c>
      <c r="D38" s="62" t="s">
        <v>270</v>
      </c>
      <c r="E38" s="64"/>
      <c r="F38" s="65">
        <v>3</v>
      </c>
      <c r="G38" s="140">
        <v>1930</v>
      </c>
      <c r="H38" s="66">
        <f t="shared" ref="H38:H43" si="5">SUM(F38*G38/1000)</f>
        <v>5.79</v>
      </c>
      <c r="I38" s="13">
        <f>G38*1</f>
        <v>1930</v>
      </c>
      <c r="J38" s="24"/>
      <c r="L38" s="19"/>
      <c r="M38" s="20"/>
      <c r="N38" s="21"/>
    </row>
    <row r="39" spans="1:14" ht="31.5" customHeight="1">
      <c r="A39" s="30">
        <v>5</v>
      </c>
      <c r="B39" s="130" t="s">
        <v>115</v>
      </c>
      <c r="C39" s="131" t="s">
        <v>29</v>
      </c>
      <c r="D39" s="118" t="s">
        <v>163</v>
      </c>
      <c r="E39" s="123">
        <v>35.299999999999997</v>
      </c>
      <c r="F39" s="132">
        <f>E39*30/1000</f>
        <v>1.0589999999999999</v>
      </c>
      <c r="G39" s="113">
        <v>3134.93</v>
      </c>
      <c r="H39" s="66">
        <f t="shared" si="5"/>
        <v>3.3198908699999996</v>
      </c>
      <c r="I39" s="13">
        <f t="shared" ref="I39:I41" si="6">F39/6*G39</f>
        <v>553.31514499999992</v>
      </c>
      <c r="J39" s="24"/>
      <c r="L39" s="19"/>
      <c r="M39" s="20"/>
      <c r="N39" s="21"/>
    </row>
    <row r="40" spans="1:14" ht="15.75" customHeight="1">
      <c r="A40" s="30">
        <v>6</v>
      </c>
      <c r="B40" s="118" t="s">
        <v>116</v>
      </c>
      <c r="C40" s="119" t="s">
        <v>29</v>
      </c>
      <c r="D40" s="118" t="s">
        <v>171</v>
      </c>
      <c r="E40" s="123">
        <v>35.299999999999997</v>
      </c>
      <c r="F40" s="132">
        <f>SUM(E40*72/1000)</f>
        <v>2.5415999999999999</v>
      </c>
      <c r="G40" s="113">
        <v>522.92999999999995</v>
      </c>
      <c r="H40" s="66">
        <f t="shared" si="5"/>
        <v>1.3290788879999997</v>
      </c>
      <c r="I40" s="13">
        <f t="shared" si="6"/>
        <v>221.51314799999997</v>
      </c>
      <c r="J40" s="24"/>
      <c r="L40" s="19"/>
      <c r="M40" s="20"/>
      <c r="N40" s="21"/>
    </row>
    <row r="41" spans="1:14" ht="47.25" customHeight="1">
      <c r="A41" s="30">
        <v>7</v>
      </c>
      <c r="B41" s="118" t="s">
        <v>117</v>
      </c>
      <c r="C41" s="119" t="s">
        <v>83</v>
      </c>
      <c r="D41" s="118" t="s">
        <v>164</v>
      </c>
      <c r="E41" s="123">
        <v>35.299999999999997</v>
      </c>
      <c r="F41" s="132">
        <f>SUM(E41*24/1000)</f>
        <v>0.84719999999999995</v>
      </c>
      <c r="G41" s="113">
        <v>8652.07</v>
      </c>
      <c r="H41" s="66">
        <f t="shared" si="5"/>
        <v>7.3300337039999999</v>
      </c>
      <c r="I41" s="13">
        <f t="shared" si="6"/>
        <v>1221.672284</v>
      </c>
      <c r="J41" s="24"/>
      <c r="L41" s="19"/>
      <c r="M41" s="20"/>
      <c r="N41" s="21"/>
    </row>
    <row r="42" spans="1:14" ht="15.75" hidden="1" customHeight="1">
      <c r="A42" s="30">
        <v>9</v>
      </c>
      <c r="B42" s="118" t="s">
        <v>119</v>
      </c>
      <c r="C42" s="119" t="s">
        <v>83</v>
      </c>
      <c r="D42" s="118" t="s">
        <v>81</v>
      </c>
      <c r="E42" s="123">
        <v>35.299999999999997</v>
      </c>
      <c r="F42" s="132">
        <f>SUM(E42*30/1000)</f>
        <v>1.0589999999999999</v>
      </c>
      <c r="G42" s="113">
        <v>639.14</v>
      </c>
      <c r="H42" s="66">
        <f t="shared" si="5"/>
        <v>0.67684926000000001</v>
      </c>
      <c r="I42" s="13">
        <f>(F42/7.5*1.5)*G42</f>
        <v>135.36985199999998</v>
      </c>
      <c r="J42" s="24"/>
      <c r="L42" s="19"/>
      <c r="M42" s="20"/>
      <c r="N42" s="21"/>
    </row>
    <row r="43" spans="1:14" ht="15.75" hidden="1" customHeight="1">
      <c r="A43" s="30">
        <v>10</v>
      </c>
      <c r="B43" s="130" t="s">
        <v>67</v>
      </c>
      <c r="C43" s="131" t="s">
        <v>32</v>
      </c>
      <c r="D43" s="130"/>
      <c r="E43" s="120"/>
      <c r="F43" s="132">
        <v>0.3</v>
      </c>
      <c r="G43" s="132">
        <v>900</v>
      </c>
      <c r="H43" s="66">
        <f t="shared" si="5"/>
        <v>0.27</v>
      </c>
      <c r="I43" s="13">
        <f>(F43/7.5*1.5)*G43</f>
        <v>54</v>
      </c>
      <c r="J43" s="24"/>
      <c r="L43" s="19"/>
      <c r="M43" s="20"/>
      <c r="N43" s="21"/>
    </row>
    <row r="44" spans="1:14" ht="34.5" customHeight="1">
      <c r="A44" s="30">
        <v>8</v>
      </c>
      <c r="B44" s="136" t="s">
        <v>170</v>
      </c>
      <c r="C44" s="131" t="s">
        <v>29</v>
      </c>
      <c r="D44" s="130" t="s">
        <v>172</v>
      </c>
      <c r="E44" s="120">
        <v>1.2</v>
      </c>
      <c r="F44" s="132">
        <f>E44*12/1000</f>
        <v>1.4399999999999998E-2</v>
      </c>
      <c r="G44" s="132">
        <v>20547.34</v>
      </c>
      <c r="H44" s="56"/>
      <c r="I44" s="13">
        <f>G44*F44/6</f>
        <v>49.313615999999996</v>
      </c>
      <c r="J44" s="24"/>
      <c r="L44" s="19"/>
      <c r="M44" s="20"/>
      <c r="N44" s="21"/>
    </row>
    <row r="45" spans="1:14" ht="15.75" customHeight="1">
      <c r="A45" s="162" t="s">
        <v>132</v>
      </c>
      <c r="B45" s="163"/>
      <c r="C45" s="163"/>
      <c r="D45" s="163"/>
      <c r="E45" s="163"/>
      <c r="F45" s="163"/>
      <c r="G45" s="163"/>
      <c r="H45" s="163"/>
      <c r="I45" s="164"/>
      <c r="J45" s="24"/>
      <c r="L45" s="19"/>
      <c r="M45" s="20"/>
      <c r="N45" s="21"/>
    </row>
    <row r="46" spans="1:14" ht="15.75" hidden="1" customHeight="1">
      <c r="A46" s="30">
        <v>11</v>
      </c>
      <c r="B46" s="62" t="s">
        <v>101</v>
      </c>
      <c r="C46" s="63" t="s">
        <v>83</v>
      </c>
      <c r="D46" s="62" t="s">
        <v>42</v>
      </c>
      <c r="E46" s="64">
        <v>907.4</v>
      </c>
      <c r="F46" s="65">
        <f>SUM(E46*2/1000)</f>
        <v>1.8148</v>
      </c>
      <c r="G46" s="13">
        <v>1283.46</v>
      </c>
      <c r="H46" s="66">
        <f t="shared" ref="H46:H55" si="7">SUM(F46*G46/1000)</f>
        <v>2.3292232079999997</v>
      </c>
      <c r="I46" s="13">
        <f>F46/2*G46</f>
        <v>1164.6116039999999</v>
      </c>
      <c r="J46" s="24"/>
      <c r="L46" s="19"/>
      <c r="M46" s="20"/>
      <c r="N46" s="21"/>
    </row>
    <row r="47" spans="1:14" ht="15.75" hidden="1" customHeight="1">
      <c r="A47" s="30">
        <v>12</v>
      </c>
      <c r="B47" s="62" t="s">
        <v>35</v>
      </c>
      <c r="C47" s="63" t="s">
        <v>83</v>
      </c>
      <c r="D47" s="62" t="s">
        <v>42</v>
      </c>
      <c r="E47" s="64">
        <v>27</v>
      </c>
      <c r="F47" s="65">
        <f>SUM(E47*2/1000)</f>
        <v>5.3999999999999999E-2</v>
      </c>
      <c r="G47" s="13">
        <v>4192.6400000000003</v>
      </c>
      <c r="H47" s="66">
        <f t="shared" si="7"/>
        <v>0.22640256000000003</v>
      </c>
      <c r="I47" s="13">
        <f t="shared" ref="I47:I54" si="8">F47/2*G47</f>
        <v>113.20128000000001</v>
      </c>
      <c r="J47" s="24"/>
      <c r="L47" s="19"/>
      <c r="M47" s="20"/>
      <c r="N47" s="21"/>
    </row>
    <row r="48" spans="1:14" ht="15.75" hidden="1" customHeight="1">
      <c r="A48" s="30">
        <v>13</v>
      </c>
      <c r="B48" s="62" t="s">
        <v>36</v>
      </c>
      <c r="C48" s="63" t="s">
        <v>83</v>
      </c>
      <c r="D48" s="62" t="s">
        <v>42</v>
      </c>
      <c r="E48" s="64">
        <v>772</v>
      </c>
      <c r="F48" s="65">
        <f>SUM(E48*2/1000)</f>
        <v>1.544</v>
      </c>
      <c r="G48" s="13">
        <v>1711.28</v>
      </c>
      <c r="H48" s="66">
        <f t="shared" si="7"/>
        <v>2.6422163200000002</v>
      </c>
      <c r="I48" s="13">
        <f t="shared" si="8"/>
        <v>1321.10816</v>
      </c>
      <c r="J48" s="24"/>
      <c r="L48" s="19"/>
      <c r="M48" s="20"/>
      <c r="N48" s="21"/>
    </row>
    <row r="49" spans="1:22" ht="15.75" hidden="1" customHeight="1">
      <c r="A49" s="30">
        <v>14</v>
      </c>
      <c r="B49" s="62" t="s">
        <v>37</v>
      </c>
      <c r="C49" s="63" t="s">
        <v>83</v>
      </c>
      <c r="D49" s="62" t="s">
        <v>42</v>
      </c>
      <c r="E49" s="64">
        <v>959.4</v>
      </c>
      <c r="F49" s="65">
        <f>SUM(E49*2/1000)</f>
        <v>1.9188000000000001</v>
      </c>
      <c r="G49" s="13">
        <v>1179.73</v>
      </c>
      <c r="H49" s="66">
        <f t="shared" si="7"/>
        <v>2.2636659240000001</v>
      </c>
      <c r="I49" s="13">
        <f t="shared" si="8"/>
        <v>1131.832962</v>
      </c>
      <c r="J49" s="24"/>
      <c r="L49" s="19"/>
      <c r="M49" s="20"/>
      <c r="N49" s="21"/>
    </row>
    <row r="50" spans="1:22" ht="15.75" hidden="1" customHeight="1">
      <c r="A50" s="30">
        <v>15</v>
      </c>
      <c r="B50" s="62" t="s">
        <v>33</v>
      </c>
      <c r="C50" s="63" t="s">
        <v>34</v>
      </c>
      <c r="D50" s="62" t="s">
        <v>42</v>
      </c>
      <c r="E50" s="64">
        <v>66.02</v>
      </c>
      <c r="F50" s="65">
        <f>SUM(E50*2/100)</f>
        <v>1.3204</v>
      </c>
      <c r="G50" s="13">
        <v>90.61</v>
      </c>
      <c r="H50" s="66">
        <f t="shared" si="7"/>
        <v>0.11964144400000001</v>
      </c>
      <c r="I50" s="13">
        <f t="shared" si="8"/>
        <v>59.820722000000004</v>
      </c>
      <c r="J50" s="24"/>
      <c r="L50" s="19"/>
      <c r="M50" s="20"/>
      <c r="N50" s="21"/>
    </row>
    <row r="51" spans="1:22" ht="15.75" customHeight="1">
      <c r="A51" s="30">
        <v>9</v>
      </c>
      <c r="B51" s="62" t="s">
        <v>55</v>
      </c>
      <c r="C51" s="63" t="s">
        <v>83</v>
      </c>
      <c r="D51" s="153" t="s">
        <v>191</v>
      </c>
      <c r="E51" s="154">
        <v>702.5</v>
      </c>
      <c r="F51" s="140">
        <f>SUM(E51*5/1000)</f>
        <v>3.5125000000000002</v>
      </c>
      <c r="G51" s="115">
        <v>1809.27</v>
      </c>
      <c r="H51" s="66">
        <f t="shared" si="7"/>
        <v>6.3550608750000004</v>
      </c>
      <c r="I51" s="13">
        <f>F51/5*G51</f>
        <v>1271.0121750000001</v>
      </c>
      <c r="J51" s="24"/>
      <c r="L51" s="19"/>
      <c r="M51" s="20"/>
      <c r="N51" s="21"/>
    </row>
    <row r="52" spans="1:22" ht="32.25" hidden="1" customHeight="1">
      <c r="A52" s="30">
        <v>12</v>
      </c>
      <c r="B52" s="62" t="s">
        <v>84</v>
      </c>
      <c r="C52" s="63" t="s">
        <v>83</v>
      </c>
      <c r="D52" s="62" t="s">
        <v>42</v>
      </c>
      <c r="E52" s="64">
        <v>1536.4</v>
      </c>
      <c r="F52" s="65">
        <f>SUM(E52*2/1000)</f>
        <v>3.0728</v>
      </c>
      <c r="G52" s="13">
        <v>1510.06</v>
      </c>
      <c r="H52" s="66">
        <f t="shared" si="7"/>
        <v>4.6401123680000005</v>
      </c>
      <c r="I52" s="13">
        <f t="shared" si="8"/>
        <v>2320.056184</v>
      </c>
      <c r="J52" s="24"/>
      <c r="L52" s="19"/>
      <c r="M52" s="20"/>
      <c r="N52" s="21"/>
    </row>
    <row r="53" spans="1:22" ht="32.25" hidden="1" customHeight="1">
      <c r="A53" s="30">
        <v>13</v>
      </c>
      <c r="B53" s="62" t="s">
        <v>85</v>
      </c>
      <c r="C53" s="63" t="s">
        <v>38</v>
      </c>
      <c r="D53" s="62" t="s">
        <v>42</v>
      </c>
      <c r="E53" s="64">
        <v>9</v>
      </c>
      <c r="F53" s="65">
        <f>SUM(E53*2/100)</f>
        <v>0.18</v>
      </c>
      <c r="G53" s="13">
        <v>3850.4</v>
      </c>
      <c r="H53" s="66">
        <f t="shared" si="7"/>
        <v>0.69307200000000002</v>
      </c>
      <c r="I53" s="13">
        <f t="shared" si="8"/>
        <v>346.536</v>
      </c>
      <c r="J53" s="24"/>
      <c r="L53" s="19"/>
      <c r="M53" s="20"/>
      <c r="N53" s="21"/>
    </row>
    <row r="54" spans="1:22" ht="15.75" hidden="1" customHeight="1">
      <c r="A54" s="30">
        <v>14</v>
      </c>
      <c r="B54" s="62" t="s">
        <v>39</v>
      </c>
      <c r="C54" s="63" t="s">
        <v>40</v>
      </c>
      <c r="D54" s="62" t="s">
        <v>42</v>
      </c>
      <c r="E54" s="64">
        <v>1</v>
      </c>
      <c r="F54" s="65">
        <v>0.02</v>
      </c>
      <c r="G54" s="13">
        <v>7033.13</v>
      </c>
      <c r="H54" s="66">
        <f t="shared" si="7"/>
        <v>0.1406626</v>
      </c>
      <c r="I54" s="13">
        <f t="shared" si="8"/>
        <v>70.331299999999999</v>
      </c>
      <c r="J54" s="24"/>
      <c r="L54" s="19"/>
      <c r="M54" s="20"/>
      <c r="N54" s="21"/>
    </row>
    <row r="55" spans="1:22" ht="15.75" hidden="1" customHeight="1">
      <c r="A55" s="30">
        <v>11</v>
      </c>
      <c r="B55" s="62" t="s">
        <v>41</v>
      </c>
      <c r="C55" s="63" t="s">
        <v>102</v>
      </c>
      <c r="D55" s="62" t="s">
        <v>53</v>
      </c>
      <c r="E55" s="64">
        <v>53</v>
      </c>
      <c r="F55" s="65">
        <v>53</v>
      </c>
      <c r="G55" s="151">
        <v>97.93</v>
      </c>
      <c r="H55" s="66">
        <f t="shared" si="7"/>
        <v>5.1902900000000001</v>
      </c>
      <c r="I55" s="13">
        <f>F55/3*G55</f>
        <v>1730.0966666666668</v>
      </c>
      <c r="J55" s="24"/>
      <c r="L55" s="19"/>
    </row>
    <row r="56" spans="1:22" ht="15.75" customHeight="1">
      <c r="A56" s="162" t="s">
        <v>133</v>
      </c>
      <c r="B56" s="163"/>
      <c r="C56" s="163"/>
      <c r="D56" s="163"/>
      <c r="E56" s="163"/>
      <c r="F56" s="163"/>
      <c r="G56" s="163"/>
      <c r="H56" s="163"/>
      <c r="I56" s="164"/>
    </row>
    <row r="57" spans="1:22" ht="15.75" hidden="1" customHeight="1">
      <c r="A57" s="30"/>
      <c r="B57" s="81" t="s">
        <v>43</v>
      </c>
      <c r="C57" s="63"/>
      <c r="D57" s="62"/>
      <c r="E57" s="64"/>
      <c r="F57" s="65"/>
      <c r="G57" s="65"/>
      <c r="H57" s="66"/>
      <c r="I57" s="13"/>
    </row>
    <row r="58" spans="1:22" ht="31.5" hidden="1" customHeight="1">
      <c r="A58" s="30">
        <v>13</v>
      </c>
      <c r="B58" s="62" t="s">
        <v>103</v>
      </c>
      <c r="C58" s="63" t="s">
        <v>80</v>
      </c>
      <c r="D58" s="62" t="s">
        <v>104</v>
      </c>
      <c r="E58" s="64">
        <v>11.5</v>
      </c>
      <c r="F58" s="65">
        <f>SUM(E58*6/100)</f>
        <v>0.69</v>
      </c>
      <c r="G58" s="13">
        <v>2306.62</v>
      </c>
      <c r="H58" s="66">
        <f>SUM(F58*G58/1000)</f>
        <v>1.5915677999999998</v>
      </c>
      <c r="I58" s="13">
        <f t="shared" ref="I58" si="9">F58/6*G58</f>
        <v>265.26129999999995</v>
      </c>
    </row>
    <row r="59" spans="1:22" ht="15.75" hidden="1" customHeight="1">
      <c r="A59" s="30">
        <v>16</v>
      </c>
      <c r="B59" s="62" t="s">
        <v>120</v>
      </c>
      <c r="C59" s="63" t="s">
        <v>121</v>
      </c>
      <c r="D59" s="62" t="s">
        <v>65</v>
      </c>
      <c r="E59" s="64"/>
      <c r="F59" s="65">
        <v>2</v>
      </c>
      <c r="G59" s="84">
        <v>1501</v>
      </c>
      <c r="H59" s="66">
        <f>SUM(F59*G59/1000)</f>
        <v>3.0019999999999998</v>
      </c>
      <c r="I59" s="13">
        <f>G59*(4+1)</f>
        <v>7505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/>
      <c r="B60" s="81" t="s">
        <v>44</v>
      </c>
      <c r="C60" s="63"/>
      <c r="D60" s="62"/>
      <c r="E60" s="64"/>
      <c r="F60" s="65"/>
      <c r="G60" s="85"/>
      <c r="H60" s="66"/>
      <c r="I60" s="13"/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105</v>
      </c>
      <c r="C61" s="63" t="s">
        <v>80</v>
      </c>
      <c r="D61" s="62" t="s">
        <v>53</v>
      </c>
      <c r="E61" s="64">
        <v>148</v>
      </c>
      <c r="F61" s="66">
        <f>E61/100</f>
        <v>1.48</v>
      </c>
      <c r="G61" s="13">
        <v>987.51</v>
      </c>
      <c r="H61" s="71">
        <f>F61*G61/1000</f>
        <v>1.4615148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10</v>
      </c>
      <c r="B62" s="73" t="s">
        <v>129</v>
      </c>
      <c r="C62" s="72" t="s">
        <v>25</v>
      </c>
      <c r="D62" s="73" t="s">
        <v>156</v>
      </c>
      <c r="E62" s="74">
        <v>140.5</v>
      </c>
      <c r="F62" s="65">
        <v>1320</v>
      </c>
      <c r="G62" s="86">
        <v>1.4</v>
      </c>
      <c r="H62" s="71">
        <f>F62*G62/1000</f>
        <v>1.8479999999999999</v>
      </c>
      <c r="I62" s="13">
        <f>F62/12*G62</f>
        <v>154</v>
      </c>
      <c r="J62" s="5"/>
      <c r="K62" s="5"/>
      <c r="L62" s="5"/>
      <c r="M62" s="5"/>
      <c r="N62" s="5"/>
      <c r="O62" s="5"/>
      <c r="P62" s="5"/>
      <c r="Q62" s="5"/>
      <c r="R62" s="161"/>
      <c r="S62" s="161"/>
      <c r="T62" s="161"/>
      <c r="U62" s="161"/>
    </row>
    <row r="63" spans="1:22" ht="15.75" customHeight="1">
      <c r="A63" s="30"/>
      <c r="B63" s="82" t="s">
        <v>45</v>
      </c>
      <c r="C63" s="72"/>
      <c r="D63" s="73"/>
      <c r="E63" s="74"/>
      <c r="F63" s="75"/>
      <c r="G63" s="75"/>
      <c r="H63" s="76" t="s">
        <v>114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13</v>
      </c>
      <c r="B64" s="14" t="s">
        <v>46</v>
      </c>
      <c r="C64" s="16" t="s">
        <v>102</v>
      </c>
      <c r="D64" s="14" t="s">
        <v>156</v>
      </c>
      <c r="E64" s="18">
        <v>2</v>
      </c>
      <c r="F64" s="65">
        <f>E64</f>
        <v>2</v>
      </c>
      <c r="G64" s="115">
        <v>331.57</v>
      </c>
      <c r="H64" s="61">
        <f t="shared" ref="H64:H81" si="10">SUM(F64*G64/1000)</f>
        <v>0.66313999999999995</v>
      </c>
      <c r="I64" s="13">
        <f>G64</f>
        <v>331.57</v>
      </c>
    </row>
    <row r="65" spans="1:9" ht="15.75" hidden="1" customHeight="1">
      <c r="A65" s="30"/>
      <c r="B65" s="14" t="s">
        <v>47</v>
      </c>
      <c r="C65" s="16" t="s">
        <v>102</v>
      </c>
      <c r="D65" s="14" t="s">
        <v>65</v>
      </c>
      <c r="E65" s="18">
        <v>1</v>
      </c>
      <c r="F65" s="65">
        <f>E65</f>
        <v>1</v>
      </c>
      <c r="G65" s="13">
        <v>94.89</v>
      </c>
      <c r="H65" s="61">
        <f t="shared" si="10"/>
        <v>9.4890000000000002E-2</v>
      </c>
      <c r="I65" s="13">
        <v>0</v>
      </c>
    </row>
    <row r="66" spans="1:9" ht="15.75" hidden="1" customHeight="1">
      <c r="A66" s="30"/>
      <c r="B66" s="14" t="s">
        <v>48</v>
      </c>
      <c r="C66" s="16" t="s">
        <v>106</v>
      </c>
      <c r="D66" s="14" t="s">
        <v>53</v>
      </c>
      <c r="E66" s="64">
        <v>6307</v>
      </c>
      <c r="F66" s="13">
        <f>SUM(E66/100)</f>
        <v>63.07</v>
      </c>
      <c r="G66" s="13">
        <v>263.99</v>
      </c>
      <c r="H66" s="61">
        <f t="shared" si="10"/>
        <v>16.649849300000003</v>
      </c>
      <c r="I66" s="13">
        <v>0</v>
      </c>
    </row>
    <row r="67" spans="1:9" ht="15.75" hidden="1" customHeight="1">
      <c r="A67" s="30"/>
      <c r="B67" s="14" t="s">
        <v>49</v>
      </c>
      <c r="C67" s="16" t="s">
        <v>107</v>
      </c>
      <c r="D67" s="14"/>
      <c r="E67" s="64">
        <v>6307</v>
      </c>
      <c r="F67" s="13">
        <f>SUM(E67/1000)</f>
        <v>6.3070000000000004</v>
      </c>
      <c r="G67" s="13">
        <v>205.57</v>
      </c>
      <c r="H67" s="61">
        <f t="shared" si="10"/>
        <v>1.29652999</v>
      </c>
      <c r="I67" s="13">
        <v>0</v>
      </c>
    </row>
    <row r="68" spans="1:9" ht="15.75" hidden="1" customHeight="1">
      <c r="A68" s="30"/>
      <c r="B68" s="14" t="s">
        <v>50</v>
      </c>
      <c r="C68" s="16" t="s">
        <v>74</v>
      </c>
      <c r="D68" s="14" t="s">
        <v>53</v>
      </c>
      <c r="E68" s="64">
        <v>1003</v>
      </c>
      <c r="F68" s="13">
        <f>SUM(E68/100)</f>
        <v>10.029999999999999</v>
      </c>
      <c r="G68" s="13">
        <v>2581.5300000000002</v>
      </c>
      <c r="H68" s="61">
        <f t="shared" si="10"/>
        <v>25.892745900000001</v>
      </c>
      <c r="I68" s="13">
        <v>0</v>
      </c>
    </row>
    <row r="69" spans="1:9" ht="15.75" hidden="1" customHeight="1">
      <c r="A69" s="30"/>
      <c r="B69" s="77" t="s">
        <v>108</v>
      </c>
      <c r="C69" s="16" t="s">
        <v>32</v>
      </c>
      <c r="D69" s="14"/>
      <c r="E69" s="64">
        <v>6.6</v>
      </c>
      <c r="F69" s="13">
        <f>SUM(E69)</f>
        <v>6.6</v>
      </c>
      <c r="G69" s="13">
        <v>47.75</v>
      </c>
      <c r="H69" s="61">
        <f t="shared" si="10"/>
        <v>0.31514999999999999</v>
      </c>
      <c r="I69" s="13">
        <v>0</v>
      </c>
    </row>
    <row r="70" spans="1:9" ht="15.75" hidden="1" customHeight="1">
      <c r="A70" s="30"/>
      <c r="B70" s="77" t="s">
        <v>109</v>
      </c>
      <c r="C70" s="16" t="s">
        <v>32</v>
      </c>
      <c r="D70" s="14"/>
      <c r="E70" s="64">
        <v>6.6</v>
      </c>
      <c r="F70" s="13">
        <f>SUM(E70)</f>
        <v>6.6</v>
      </c>
      <c r="G70" s="13">
        <v>44.27</v>
      </c>
      <c r="H70" s="61">
        <f t="shared" si="10"/>
        <v>0.292182</v>
      </c>
      <c r="I70" s="13">
        <v>0</v>
      </c>
    </row>
    <row r="71" spans="1:9" ht="15.75" hidden="1" customHeight="1">
      <c r="A71" s="30">
        <v>19</v>
      </c>
      <c r="B71" s="14" t="s">
        <v>56</v>
      </c>
      <c r="C71" s="16" t="s">
        <v>57</v>
      </c>
      <c r="D71" s="14" t="s">
        <v>53</v>
      </c>
      <c r="E71" s="18">
        <v>3</v>
      </c>
      <c r="F71" s="65">
        <v>3</v>
      </c>
      <c r="G71" s="13">
        <v>62.07</v>
      </c>
      <c r="H71" s="61">
        <f t="shared" si="10"/>
        <v>0.18621000000000001</v>
      </c>
      <c r="I71" s="13">
        <f>F71*G71</f>
        <v>186.21</v>
      </c>
    </row>
    <row r="72" spans="1:9" ht="15.75" customHeight="1">
      <c r="A72" s="30">
        <v>11</v>
      </c>
      <c r="B72" s="133" t="s">
        <v>122</v>
      </c>
      <c r="C72" s="126" t="s">
        <v>123</v>
      </c>
      <c r="D72" s="133" t="s">
        <v>156</v>
      </c>
      <c r="E72" s="17">
        <v>1536.4</v>
      </c>
      <c r="F72" s="134">
        <f>E72*12</f>
        <v>18436.800000000003</v>
      </c>
      <c r="G72" s="34">
        <v>2.6</v>
      </c>
      <c r="H72" s="61">
        <f t="shared" ref="H72" si="11">SUM(F72*G72/1000)</f>
        <v>47.935680000000005</v>
      </c>
      <c r="I72" s="13">
        <f>F72/12*G72</f>
        <v>3994.6400000000008</v>
      </c>
    </row>
    <row r="73" spans="1:9" ht="15.75" customHeight="1">
      <c r="A73" s="30"/>
      <c r="B73" s="108" t="s">
        <v>69</v>
      </c>
      <c r="C73" s="16"/>
      <c r="D73" s="14"/>
      <c r="E73" s="18"/>
      <c r="F73" s="13"/>
      <c r="G73" s="13"/>
      <c r="H73" s="61" t="s">
        <v>114</v>
      </c>
      <c r="I73" s="13"/>
    </row>
    <row r="74" spans="1:9" ht="15.75" hidden="1" customHeight="1">
      <c r="A74" s="30"/>
      <c r="B74" s="14" t="s">
        <v>124</v>
      </c>
      <c r="C74" s="16" t="s">
        <v>125</v>
      </c>
      <c r="D74" s="14" t="s">
        <v>65</v>
      </c>
      <c r="E74" s="18">
        <v>1</v>
      </c>
      <c r="F74" s="13">
        <f>E74</f>
        <v>1</v>
      </c>
      <c r="G74" s="13">
        <v>976.4</v>
      </c>
      <c r="H74" s="61">
        <f t="shared" ref="H74:H75" si="12">SUM(F74*G74/1000)</f>
        <v>0.97639999999999993</v>
      </c>
      <c r="I74" s="13">
        <v>0</v>
      </c>
    </row>
    <row r="75" spans="1:9" ht="15.75" hidden="1" customHeight="1">
      <c r="A75" s="30"/>
      <c r="B75" s="14" t="s">
        <v>126</v>
      </c>
      <c r="C75" s="16" t="s">
        <v>127</v>
      </c>
      <c r="D75" s="14"/>
      <c r="E75" s="18">
        <v>1</v>
      </c>
      <c r="F75" s="13">
        <v>1</v>
      </c>
      <c r="G75" s="13">
        <v>650</v>
      </c>
      <c r="H75" s="61">
        <f t="shared" si="12"/>
        <v>0.65</v>
      </c>
      <c r="I75" s="13">
        <v>0</v>
      </c>
    </row>
    <row r="76" spans="1:9" ht="15.75" hidden="1" customHeight="1">
      <c r="A76" s="30">
        <v>13</v>
      </c>
      <c r="B76" s="14" t="s">
        <v>70</v>
      </c>
      <c r="C76" s="16" t="s">
        <v>72</v>
      </c>
      <c r="D76" s="14"/>
      <c r="E76" s="18">
        <v>3</v>
      </c>
      <c r="F76" s="13">
        <v>0.3</v>
      </c>
      <c r="G76" s="13">
        <v>624.16999999999996</v>
      </c>
      <c r="H76" s="61">
        <f t="shared" si="10"/>
        <v>0.18725099999999997</v>
      </c>
      <c r="I76" s="13">
        <f>G76*0.1</f>
        <v>62.417000000000002</v>
      </c>
    </row>
    <row r="77" spans="1:9" ht="15.75" hidden="1" customHeight="1">
      <c r="A77" s="30"/>
      <c r="B77" s="14" t="s">
        <v>71</v>
      </c>
      <c r="C77" s="16" t="s">
        <v>30</v>
      </c>
      <c r="D77" s="14"/>
      <c r="E77" s="18">
        <v>1</v>
      </c>
      <c r="F77" s="56">
        <v>1</v>
      </c>
      <c r="G77" s="13">
        <v>1061.4100000000001</v>
      </c>
      <c r="H77" s="61">
        <f>F77*G77/1000</f>
        <v>1.0614100000000002</v>
      </c>
      <c r="I77" s="13">
        <v>0</v>
      </c>
    </row>
    <row r="78" spans="1:9" ht="32.25" customHeight="1">
      <c r="A78" s="30">
        <v>12</v>
      </c>
      <c r="B78" s="46" t="s">
        <v>173</v>
      </c>
      <c r="C78" s="47" t="s">
        <v>102</v>
      </c>
      <c r="D78" s="133" t="s">
        <v>166</v>
      </c>
      <c r="E78" s="17">
        <v>2</v>
      </c>
      <c r="F78" s="34">
        <f>E78*12</f>
        <v>24</v>
      </c>
      <c r="G78" s="34">
        <v>420</v>
      </c>
      <c r="H78" s="61">
        <f>G78*F78/1000</f>
        <v>10.08</v>
      </c>
      <c r="I78" s="13">
        <f>G78*2</f>
        <v>840</v>
      </c>
    </row>
    <row r="79" spans="1:9" ht="32.25" customHeight="1">
      <c r="A79" s="30">
        <v>13</v>
      </c>
      <c r="B79" s="46" t="s">
        <v>174</v>
      </c>
      <c r="C79" s="47" t="s">
        <v>30</v>
      </c>
      <c r="D79" s="133" t="s">
        <v>166</v>
      </c>
      <c r="E79" s="17">
        <v>1</v>
      </c>
      <c r="F79" s="34">
        <f>E79*12</f>
        <v>12</v>
      </c>
      <c r="G79" s="34">
        <v>1829</v>
      </c>
      <c r="H79" s="61"/>
      <c r="I79" s="13">
        <f>G79*F79/12</f>
        <v>1829</v>
      </c>
    </row>
    <row r="80" spans="1:9" ht="15.75" hidden="1" customHeight="1">
      <c r="A80" s="30"/>
      <c r="B80" s="79" t="s">
        <v>73</v>
      </c>
      <c r="C80" s="16"/>
      <c r="D80" s="14"/>
      <c r="E80" s="18"/>
      <c r="F80" s="13"/>
      <c r="G80" s="13" t="s">
        <v>114</v>
      </c>
      <c r="H80" s="61" t="s">
        <v>114</v>
      </c>
      <c r="I80" s="13" t="str">
        <f>G80</f>
        <v xml:space="preserve"> </v>
      </c>
    </row>
    <row r="81" spans="1:9" ht="15.75" hidden="1" customHeight="1">
      <c r="A81" s="30"/>
      <c r="B81" s="43" t="s">
        <v>128</v>
      </c>
      <c r="C81" s="16" t="s">
        <v>74</v>
      </c>
      <c r="D81" s="14"/>
      <c r="E81" s="18"/>
      <c r="F81" s="13">
        <v>0.1</v>
      </c>
      <c r="G81" s="13">
        <v>3433.69</v>
      </c>
      <c r="H81" s="61">
        <f t="shared" si="10"/>
        <v>0.34336900000000004</v>
      </c>
      <c r="I81" s="13">
        <v>0</v>
      </c>
    </row>
    <row r="82" spans="1:9" ht="15.75" hidden="1" customHeight="1">
      <c r="A82" s="30"/>
      <c r="B82" s="55" t="s">
        <v>86</v>
      </c>
      <c r="C82" s="79"/>
      <c r="D82" s="31"/>
      <c r="E82" s="32"/>
      <c r="F82" s="68"/>
      <c r="G82" s="68"/>
      <c r="H82" s="80">
        <f>SUM(H58:H81)</f>
        <v>114.52788979</v>
      </c>
      <c r="I82" s="13"/>
    </row>
    <row r="83" spans="1:9" ht="15.75" hidden="1" customHeight="1">
      <c r="A83" s="30">
        <v>19</v>
      </c>
      <c r="B83" s="62" t="s">
        <v>110</v>
      </c>
      <c r="C83" s="16"/>
      <c r="D83" s="14"/>
      <c r="E83" s="57"/>
      <c r="F83" s="13">
        <v>1</v>
      </c>
      <c r="G83" s="13">
        <v>6105.8</v>
      </c>
      <c r="H83" s="61">
        <f>G83*F83/1000</f>
        <v>6.1058000000000003</v>
      </c>
      <c r="I83" s="13">
        <f>G83</f>
        <v>6105.8</v>
      </c>
    </row>
    <row r="84" spans="1:9" ht="15.75" customHeight="1">
      <c r="A84" s="162" t="s">
        <v>134</v>
      </c>
      <c r="B84" s="163"/>
      <c r="C84" s="163"/>
      <c r="D84" s="163"/>
      <c r="E84" s="163"/>
      <c r="F84" s="163"/>
      <c r="G84" s="163"/>
      <c r="H84" s="163"/>
      <c r="I84" s="164"/>
    </row>
    <row r="85" spans="1:9" ht="15.75" customHeight="1">
      <c r="A85" s="30">
        <v>14</v>
      </c>
      <c r="B85" s="118" t="s">
        <v>111</v>
      </c>
      <c r="C85" s="125" t="s">
        <v>54</v>
      </c>
      <c r="D85" s="135"/>
      <c r="E85" s="34">
        <v>1536.4</v>
      </c>
      <c r="F85" s="34">
        <f>SUM(E85*12)</f>
        <v>18436.800000000003</v>
      </c>
      <c r="G85" s="34">
        <v>3.5</v>
      </c>
      <c r="H85" s="61">
        <f>SUM(F85*G85/1000)</f>
        <v>64.528800000000004</v>
      </c>
      <c r="I85" s="13">
        <f>F85/12*G85</f>
        <v>5377.4000000000015</v>
      </c>
    </row>
    <row r="86" spans="1:9" ht="31.5" customHeight="1">
      <c r="A86" s="30">
        <v>15</v>
      </c>
      <c r="B86" s="118" t="s">
        <v>175</v>
      </c>
      <c r="C86" s="125" t="s">
        <v>54</v>
      </c>
      <c r="D86" s="135"/>
      <c r="E86" s="34">
        <v>1536.4</v>
      </c>
      <c r="F86" s="34">
        <f>E86*12</f>
        <v>18436.800000000003</v>
      </c>
      <c r="G86" s="34">
        <v>3.2</v>
      </c>
      <c r="H86" s="61">
        <f>F86*G86/1000</f>
        <v>58.997760000000007</v>
      </c>
      <c r="I86" s="13">
        <f>F86/12*G86</f>
        <v>4916.4800000000014</v>
      </c>
    </row>
    <row r="87" spans="1:9" ht="15.75" customHeight="1">
      <c r="A87" s="30"/>
      <c r="B87" s="36" t="s">
        <v>76</v>
      </c>
      <c r="C87" s="79"/>
      <c r="D87" s="78"/>
      <c r="E87" s="68"/>
      <c r="F87" s="68"/>
      <c r="G87" s="68"/>
      <c r="H87" s="80">
        <f>H86</f>
        <v>58.997760000000007</v>
      </c>
      <c r="I87" s="68">
        <f>I86+I85+I79+I78+I72+I62+I51+I44+I41+I40+I39+I38+I18+I17+I16</f>
        <v>27951.080738000001</v>
      </c>
    </row>
    <row r="88" spans="1:9" ht="15.75" customHeight="1">
      <c r="A88" s="174" t="s">
        <v>59</v>
      </c>
      <c r="B88" s="175"/>
      <c r="C88" s="175"/>
      <c r="D88" s="175"/>
      <c r="E88" s="175"/>
      <c r="F88" s="175"/>
      <c r="G88" s="175"/>
      <c r="H88" s="175"/>
      <c r="I88" s="176"/>
    </row>
    <row r="89" spans="1:9" ht="15.75" customHeight="1">
      <c r="A89" s="37">
        <v>16</v>
      </c>
      <c r="B89" s="109" t="s">
        <v>169</v>
      </c>
      <c r="C89" s="110" t="s">
        <v>77</v>
      </c>
      <c r="D89" s="100" t="s">
        <v>278</v>
      </c>
      <c r="E89" s="34"/>
      <c r="F89" s="34">
        <v>4</v>
      </c>
      <c r="G89" s="34">
        <v>231.54</v>
      </c>
      <c r="H89" s="37"/>
      <c r="I89" s="37">
        <f>G89*2</f>
        <v>463.08</v>
      </c>
    </row>
    <row r="90" spans="1:9" ht="15.75" customHeight="1">
      <c r="A90" s="37">
        <v>17</v>
      </c>
      <c r="B90" s="109" t="s">
        <v>187</v>
      </c>
      <c r="C90" s="110" t="s">
        <v>152</v>
      </c>
      <c r="D90" s="100" t="s">
        <v>206</v>
      </c>
      <c r="E90" s="34"/>
      <c r="F90" s="34">
        <v>8</v>
      </c>
      <c r="G90" s="34">
        <v>295.36</v>
      </c>
      <c r="H90" s="37"/>
      <c r="I90" s="150">
        <v>0</v>
      </c>
    </row>
    <row r="91" spans="1:9" ht="15.75" customHeight="1">
      <c r="A91" s="37">
        <v>18</v>
      </c>
      <c r="B91" s="109" t="s">
        <v>271</v>
      </c>
      <c r="C91" s="110" t="s">
        <v>188</v>
      </c>
      <c r="D91" s="100"/>
      <c r="E91" s="34"/>
      <c r="F91" s="34">
        <v>1</v>
      </c>
      <c r="G91" s="34">
        <v>236.06</v>
      </c>
      <c r="H91" s="37"/>
      <c r="I91" s="37">
        <f>G91*1</f>
        <v>236.06</v>
      </c>
    </row>
    <row r="92" spans="1:9" ht="15.75" customHeight="1">
      <c r="A92" s="37">
        <v>19</v>
      </c>
      <c r="B92" s="109" t="s">
        <v>272</v>
      </c>
      <c r="C92" s="110" t="s">
        <v>273</v>
      </c>
      <c r="D92" s="100" t="s">
        <v>276</v>
      </c>
      <c r="E92" s="34"/>
      <c r="F92" s="34">
        <v>1</v>
      </c>
      <c r="G92" s="34">
        <v>1620.57</v>
      </c>
      <c r="H92" s="37"/>
      <c r="I92" s="37">
        <f>G92*1</f>
        <v>1620.57</v>
      </c>
    </row>
    <row r="93" spans="1:9" ht="15.75" customHeight="1">
      <c r="A93" s="37">
        <v>20</v>
      </c>
      <c r="B93" s="109" t="s">
        <v>274</v>
      </c>
      <c r="C93" s="110" t="s">
        <v>102</v>
      </c>
      <c r="D93" s="100"/>
      <c r="E93" s="34"/>
      <c r="F93" s="34">
        <v>1</v>
      </c>
      <c r="G93" s="34">
        <v>12280.3</v>
      </c>
      <c r="H93" s="37"/>
      <c r="I93" s="37">
        <f>G93*1</f>
        <v>12280.3</v>
      </c>
    </row>
    <row r="94" spans="1:9" ht="30" customHeight="1">
      <c r="A94" s="30">
        <v>21</v>
      </c>
      <c r="B94" s="109" t="s">
        <v>275</v>
      </c>
      <c r="C94" s="110" t="s">
        <v>152</v>
      </c>
      <c r="D94" s="100" t="s">
        <v>277</v>
      </c>
      <c r="E94" s="34"/>
      <c r="F94" s="34">
        <v>1</v>
      </c>
      <c r="G94" s="34">
        <v>1584.54</v>
      </c>
      <c r="H94" s="37"/>
      <c r="I94" s="30">
        <f>G94*1</f>
        <v>1584.54</v>
      </c>
    </row>
    <row r="95" spans="1:9" ht="18.75" customHeight="1">
      <c r="A95" s="37">
        <v>22</v>
      </c>
      <c r="B95" s="109" t="s">
        <v>196</v>
      </c>
      <c r="C95" s="110" t="s">
        <v>40</v>
      </c>
      <c r="D95" s="100" t="s">
        <v>156</v>
      </c>
      <c r="E95" s="34"/>
      <c r="F95" s="34">
        <v>0.03</v>
      </c>
      <c r="G95" s="34">
        <v>28224.75</v>
      </c>
      <c r="H95" s="37"/>
      <c r="I95" s="152">
        <v>0</v>
      </c>
    </row>
    <row r="96" spans="1:9" ht="15.75" customHeight="1">
      <c r="A96" s="30"/>
      <c r="B96" s="41" t="s">
        <v>51</v>
      </c>
      <c r="C96" s="37"/>
      <c r="D96" s="44"/>
      <c r="E96" s="37">
        <v>1</v>
      </c>
      <c r="F96" s="37"/>
      <c r="G96" s="37"/>
      <c r="H96" s="37"/>
      <c r="I96" s="32">
        <f>SUM(I89:I95)</f>
        <v>16184.55</v>
      </c>
    </row>
    <row r="97" spans="1:9" ht="15.75" customHeight="1">
      <c r="A97" s="30"/>
      <c r="B97" s="43" t="s">
        <v>75</v>
      </c>
      <c r="C97" s="15"/>
      <c r="D97" s="15"/>
      <c r="E97" s="38"/>
      <c r="F97" s="38"/>
      <c r="G97" s="39"/>
      <c r="H97" s="39"/>
      <c r="I97" s="17">
        <v>0</v>
      </c>
    </row>
    <row r="98" spans="1:9">
      <c r="A98" s="45"/>
      <c r="B98" s="42" t="s">
        <v>150</v>
      </c>
      <c r="C98" s="33"/>
      <c r="D98" s="33"/>
      <c r="E98" s="33"/>
      <c r="F98" s="33"/>
      <c r="G98" s="33"/>
      <c r="H98" s="33"/>
      <c r="I98" s="40">
        <f>I87+I96</f>
        <v>44135.630738</v>
      </c>
    </row>
    <row r="99" spans="1:9" ht="15.75">
      <c r="A99" s="182" t="s">
        <v>279</v>
      </c>
      <c r="B99" s="182"/>
      <c r="C99" s="182"/>
      <c r="D99" s="182"/>
      <c r="E99" s="182"/>
      <c r="F99" s="182"/>
      <c r="G99" s="182"/>
      <c r="H99" s="182"/>
      <c r="I99" s="182"/>
    </row>
    <row r="100" spans="1:9" ht="15.75" customHeight="1">
      <c r="A100" s="54"/>
      <c r="B100" s="183" t="s">
        <v>280</v>
      </c>
      <c r="C100" s="183"/>
      <c r="D100" s="183"/>
      <c r="E100" s="183"/>
      <c r="F100" s="183"/>
      <c r="G100" s="183"/>
      <c r="H100" s="60"/>
      <c r="I100" s="3"/>
    </row>
    <row r="101" spans="1:9">
      <c r="A101" s="105"/>
      <c r="B101" s="179" t="s">
        <v>6</v>
      </c>
      <c r="C101" s="179"/>
      <c r="D101" s="179"/>
      <c r="E101" s="179"/>
      <c r="F101" s="179"/>
      <c r="G101" s="179"/>
      <c r="H101" s="25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84" t="s">
        <v>7</v>
      </c>
      <c r="B103" s="184"/>
      <c r="C103" s="184"/>
      <c r="D103" s="184"/>
      <c r="E103" s="184"/>
      <c r="F103" s="184"/>
      <c r="G103" s="184"/>
      <c r="H103" s="184"/>
      <c r="I103" s="184"/>
    </row>
    <row r="104" spans="1:9" ht="15.75" customHeight="1">
      <c r="A104" s="184" t="s">
        <v>8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171" t="s">
        <v>60</v>
      </c>
      <c r="B105" s="171"/>
      <c r="C105" s="171"/>
      <c r="D105" s="171"/>
      <c r="E105" s="171"/>
      <c r="F105" s="171"/>
      <c r="G105" s="171"/>
      <c r="H105" s="171"/>
      <c r="I105" s="171"/>
    </row>
    <row r="106" spans="1:9" ht="15.75">
      <c r="A106" s="11"/>
    </row>
    <row r="107" spans="1:9" ht="15.75">
      <c r="A107" s="177" t="s">
        <v>9</v>
      </c>
      <c r="B107" s="177"/>
      <c r="C107" s="177"/>
      <c r="D107" s="177"/>
      <c r="E107" s="177"/>
      <c r="F107" s="177"/>
      <c r="G107" s="177"/>
      <c r="H107" s="177"/>
      <c r="I107" s="177"/>
    </row>
    <row r="108" spans="1:9" ht="15.75">
      <c r="A108" s="4"/>
    </row>
    <row r="109" spans="1:9" ht="15.75">
      <c r="B109" s="106" t="s">
        <v>10</v>
      </c>
      <c r="C109" s="178" t="s">
        <v>189</v>
      </c>
      <c r="D109" s="178"/>
      <c r="E109" s="178"/>
      <c r="F109" s="58"/>
      <c r="I109" s="104"/>
    </row>
    <row r="110" spans="1:9">
      <c r="A110" s="105"/>
      <c r="C110" s="179" t="s">
        <v>11</v>
      </c>
      <c r="D110" s="179"/>
      <c r="E110" s="179"/>
      <c r="F110" s="25"/>
      <c r="I110" s="103" t="s">
        <v>12</v>
      </c>
    </row>
    <row r="111" spans="1:9" ht="15.75">
      <c r="A111" s="26"/>
      <c r="C111" s="12"/>
      <c r="D111" s="12"/>
      <c r="G111" s="12"/>
      <c r="H111" s="12"/>
    </row>
    <row r="112" spans="1:9" ht="15.75" customHeight="1">
      <c r="B112" s="106" t="s">
        <v>13</v>
      </c>
      <c r="C112" s="180"/>
      <c r="D112" s="180"/>
      <c r="E112" s="180"/>
      <c r="F112" s="59"/>
      <c r="I112" s="104"/>
    </row>
    <row r="113" spans="1:9" ht="15.75" customHeight="1">
      <c r="A113" s="105"/>
      <c r="C113" s="161" t="s">
        <v>11</v>
      </c>
      <c r="D113" s="161"/>
      <c r="E113" s="161"/>
      <c r="F113" s="105"/>
      <c r="I113" s="103" t="s">
        <v>12</v>
      </c>
    </row>
    <row r="114" spans="1:9" ht="15.75" customHeight="1">
      <c r="A114" s="4" t="s">
        <v>14</v>
      </c>
    </row>
    <row r="115" spans="1:9">
      <c r="A115" s="181" t="s">
        <v>15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45" customHeight="1">
      <c r="A116" s="173" t="s">
        <v>16</v>
      </c>
      <c r="B116" s="173"/>
      <c r="C116" s="173"/>
      <c r="D116" s="173"/>
      <c r="E116" s="173"/>
      <c r="F116" s="173"/>
      <c r="G116" s="173"/>
      <c r="H116" s="173"/>
      <c r="I116" s="173"/>
    </row>
    <row r="117" spans="1:9" ht="30" customHeight="1">
      <c r="A117" s="173" t="s">
        <v>17</v>
      </c>
      <c r="B117" s="173"/>
      <c r="C117" s="173"/>
      <c r="D117" s="173"/>
      <c r="E117" s="173"/>
      <c r="F117" s="173"/>
      <c r="G117" s="173"/>
      <c r="H117" s="173"/>
      <c r="I117" s="173"/>
    </row>
    <row r="118" spans="1:9" ht="30" customHeight="1">
      <c r="A118" s="173" t="s">
        <v>21</v>
      </c>
      <c r="B118" s="173"/>
      <c r="C118" s="173"/>
      <c r="D118" s="173"/>
      <c r="E118" s="173"/>
      <c r="F118" s="173"/>
      <c r="G118" s="173"/>
      <c r="H118" s="173"/>
      <c r="I118" s="173"/>
    </row>
    <row r="119" spans="1:9" ht="15" customHeight="1">
      <c r="A119" s="173" t="s">
        <v>20</v>
      </c>
      <c r="B119" s="173"/>
      <c r="C119" s="173"/>
      <c r="D119" s="173"/>
      <c r="E119" s="173"/>
      <c r="F119" s="173"/>
      <c r="G119" s="173"/>
      <c r="H119" s="173"/>
      <c r="I119" s="173"/>
    </row>
  </sheetData>
  <autoFilter ref="I12:I57"/>
  <mergeCells count="29">
    <mergeCell ref="A115:I115"/>
    <mergeCell ref="A116:I116"/>
    <mergeCell ref="A117:I117"/>
    <mergeCell ref="A118:I118"/>
    <mergeCell ref="A119:I119"/>
    <mergeCell ref="R62:U62"/>
    <mergeCell ref="C113:E113"/>
    <mergeCell ref="A88:I88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7"/>
  <sheetViews>
    <sheetView topLeftCell="A59" workbookViewId="0">
      <selection activeCell="K8" sqref="K8:L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136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200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83">
        <v>44255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194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7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156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ref="H18:H26" si="1">SUM(F18*G18/1000)</f>
        <v>22.298535359999999</v>
      </c>
      <c r="I18" s="34">
        <f>F18/18*G18</f>
        <v>1238.8075200000001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si="1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90</v>
      </c>
      <c r="C20" s="63" t="s">
        <v>80</v>
      </c>
      <c r="D20" s="62" t="s">
        <v>156</v>
      </c>
      <c r="E20" s="64">
        <v>9.18</v>
      </c>
      <c r="F20" s="65">
        <f>SUM(E20*2/100)</f>
        <v>0.18359999999999999</v>
      </c>
      <c r="G20" s="140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156</v>
      </c>
      <c r="E21" s="64">
        <v>8.1</v>
      </c>
      <c r="F21" s="65">
        <f>SUM(E21*2/100)</f>
        <v>0.16200000000000001</v>
      </c>
      <c r="G21" s="140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62" t="s">
        <v>147</v>
      </c>
      <c r="B28" s="163"/>
      <c r="C28" s="163"/>
      <c r="D28" s="163"/>
      <c r="E28" s="163"/>
      <c r="F28" s="163"/>
      <c r="G28" s="163"/>
      <c r="H28" s="163"/>
      <c r="I28" s="164"/>
      <c r="J28" s="24"/>
    </row>
    <row r="29" spans="1:13" ht="15.7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>
        <v>8</v>
      </c>
      <c r="B30" s="62" t="s">
        <v>100</v>
      </c>
      <c r="C30" s="63" t="s">
        <v>83</v>
      </c>
      <c r="D30" s="62" t="s">
        <v>148</v>
      </c>
      <c r="E30" s="65">
        <v>61.5</v>
      </c>
      <c r="F30" s="65">
        <f>SUM(E30*52/1000)</f>
        <v>3.198</v>
      </c>
      <c r="G30" s="65">
        <v>193.97</v>
      </c>
      <c r="H30" s="66">
        <f t="shared" ref="H30:H35" si="3">SUM(F30*G30/1000)</f>
        <v>0.62031605999999995</v>
      </c>
      <c r="I30" s="13">
        <f t="shared" ref="I30:I31" si="4">F30/6*G30</f>
        <v>103.38601</v>
      </c>
      <c r="J30" s="23"/>
      <c r="K30" s="8"/>
      <c r="L30" s="8"/>
      <c r="M30" s="8"/>
    </row>
    <row r="31" spans="1:13" ht="31.5" hidden="1" customHeight="1">
      <c r="A31" s="30">
        <v>9</v>
      </c>
      <c r="B31" s="62" t="s">
        <v>99</v>
      </c>
      <c r="C31" s="63" t="s">
        <v>83</v>
      </c>
      <c r="D31" s="62" t="s">
        <v>149</v>
      </c>
      <c r="E31" s="65">
        <v>35.299999999999997</v>
      </c>
      <c r="F31" s="65">
        <f>SUM(E31*78/1000)</f>
        <v>2.7533999999999996</v>
      </c>
      <c r="G31" s="65">
        <v>321.82</v>
      </c>
      <c r="H31" s="66">
        <f t="shared" si="3"/>
        <v>0.88609918799999987</v>
      </c>
      <c r="I31" s="13">
        <f t="shared" si="4"/>
        <v>147.68319799999998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83</v>
      </c>
      <c r="D32" s="62" t="s">
        <v>53</v>
      </c>
      <c r="E32" s="65">
        <v>61.5</v>
      </c>
      <c r="F32" s="65">
        <f>SUM(E32/1000)</f>
        <v>6.1499999999999999E-2</v>
      </c>
      <c r="G32" s="65">
        <v>3758.28</v>
      </c>
      <c r="H32" s="66">
        <f t="shared" si="3"/>
        <v>0.23113422</v>
      </c>
      <c r="I32" s="13">
        <f>F32*G32</f>
        <v>231.13422</v>
      </c>
      <c r="J32" s="23"/>
      <c r="K32" s="8"/>
      <c r="L32" s="8"/>
      <c r="M32" s="8"/>
    </row>
    <row r="33" spans="1:14" ht="15.75" hidden="1" customHeight="1">
      <c r="A33" s="30">
        <v>10</v>
      </c>
      <c r="B33" s="62" t="s">
        <v>98</v>
      </c>
      <c r="C33" s="63" t="s">
        <v>30</v>
      </c>
      <c r="D33" s="62" t="s">
        <v>62</v>
      </c>
      <c r="E33" s="69">
        <f>1/3</f>
        <v>0.33333333333333331</v>
      </c>
      <c r="F33" s="65">
        <f>155/3</f>
        <v>51.666666666666664</v>
      </c>
      <c r="G33" s="65">
        <v>70.540000000000006</v>
      </c>
      <c r="H33" s="66">
        <f t="shared" si="3"/>
        <v>3.6445666666666665</v>
      </c>
      <c r="I33" s="13">
        <f>F33/6*G33</f>
        <v>607.42777777777781</v>
      </c>
      <c r="J33" s="23"/>
      <c r="K33" s="8"/>
      <c r="L33" s="8"/>
      <c r="M33" s="8"/>
    </row>
    <row r="34" spans="1:14" ht="15.75" hidden="1" customHeight="1">
      <c r="A34" s="30"/>
      <c r="B34" s="62" t="s">
        <v>63</v>
      </c>
      <c r="C34" s="63" t="s">
        <v>32</v>
      </c>
      <c r="D34" s="62" t="s">
        <v>65</v>
      </c>
      <c r="E34" s="64"/>
      <c r="F34" s="65">
        <v>1</v>
      </c>
      <c r="G34" s="65">
        <v>238.07</v>
      </c>
      <c r="H34" s="66">
        <f t="shared" si="3"/>
        <v>0.23807</v>
      </c>
      <c r="I34" s="13">
        <v>0</v>
      </c>
      <c r="J34" s="24"/>
    </row>
    <row r="35" spans="1:14" ht="15.75" hidden="1" customHeight="1">
      <c r="A35" s="30"/>
      <c r="B35" s="62" t="s">
        <v>64</v>
      </c>
      <c r="C35" s="63" t="s">
        <v>31</v>
      </c>
      <c r="D35" s="62" t="s">
        <v>65</v>
      </c>
      <c r="E35" s="64"/>
      <c r="F35" s="65">
        <v>1</v>
      </c>
      <c r="G35" s="65">
        <v>1413.96</v>
      </c>
      <c r="H35" s="66">
        <f t="shared" si="3"/>
        <v>1.4139600000000001</v>
      </c>
      <c r="I35" s="13">
        <v>0</v>
      </c>
      <c r="J35" s="24"/>
    </row>
    <row r="36" spans="1:14" ht="15.75" customHeight="1">
      <c r="A36" s="30"/>
      <c r="B36" s="81" t="s">
        <v>5</v>
      </c>
      <c r="C36" s="63"/>
      <c r="D36" s="62"/>
      <c r="E36" s="64"/>
      <c r="F36" s="65"/>
      <c r="G36" s="65"/>
      <c r="H36" s="66" t="s">
        <v>114</v>
      </c>
      <c r="I36" s="13"/>
      <c r="J36" s="24"/>
      <c r="L36" s="19"/>
      <c r="M36" s="20"/>
      <c r="N36" s="21"/>
    </row>
    <row r="37" spans="1:14" ht="15.75" customHeight="1">
      <c r="A37" s="30">
        <v>5</v>
      </c>
      <c r="B37" s="62" t="s">
        <v>26</v>
      </c>
      <c r="C37" s="63" t="s">
        <v>31</v>
      </c>
      <c r="D37" s="62" t="s">
        <v>201</v>
      </c>
      <c r="E37" s="64"/>
      <c r="F37" s="65">
        <v>3</v>
      </c>
      <c r="G37" s="140">
        <v>1930</v>
      </c>
      <c r="H37" s="66">
        <f t="shared" ref="H37:H42" si="5">SUM(F37*G37/1000)</f>
        <v>5.79</v>
      </c>
      <c r="I37" s="13">
        <f>G37*1</f>
        <v>1930</v>
      </c>
      <c r="J37" s="24"/>
      <c r="L37" s="19"/>
      <c r="M37" s="20"/>
      <c r="N37" s="21"/>
    </row>
    <row r="38" spans="1:14" ht="31.5" customHeight="1">
      <c r="A38" s="30">
        <v>6</v>
      </c>
      <c r="B38" s="130" t="s">
        <v>115</v>
      </c>
      <c r="C38" s="131" t="s">
        <v>29</v>
      </c>
      <c r="D38" s="118" t="s">
        <v>163</v>
      </c>
      <c r="E38" s="123">
        <v>35.299999999999997</v>
      </c>
      <c r="F38" s="132">
        <f>E38*30/1000</f>
        <v>1.0589999999999999</v>
      </c>
      <c r="G38" s="113">
        <v>3134.93</v>
      </c>
      <c r="H38" s="66">
        <f t="shared" si="5"/>
        <v>3.3198908699999996</v>
      </c>
      <c r="I38" s="13">
        <f t="shared" ref="I38:I40" si="6">F38/6*G38</f>
        <v>553.31514499999992</v>
      </c>
      <c r="J38" s="24"/>
      <c r="L38" s="19"/>
      <c r="M38" s="20"/>
      <c r="N38" s="21"/>
    </row>
    <row r="39" spans="1:14" ht="15.75" customHeight="1">
      <c r="A39" s="30">
        <v>7</v>
      </c>
      <c r="B39" s="118" t="s">
        <v>116</v>
      </c>
      <c r="C39" s="119" t="s">
        <v>29</v>
      </c>
      <c r="D39" s="118" t="s">
        <v>171</v>
      </c>
      <c r="E39" s="123">
        <v>35.299999999999997</v>
      </c>
      <c r="F39" s="132">
        <f>SUM(E39*72/1000)</f>
        <v>2.5415999999999999</v>
      </c>
      <c r="G39" s="113">
        <v>522.92999999999995</v>
      </c>
      <c r="H39" s="66">
        <f t="shared" si="5"/>
        <v>1.3290788879999997</v>
      </c>
      <c r="I39" s="13">
        <f t="shared" si="6"/>
        <v>221.51314799999997</v>
      </c>
      <c r="J39" s="24"/>
      <c r="L39" s="19"/>
      <c r="M39" s="20"/>
      <c r="N39" s="21"/>
    </row>
    <row r="40" spans="1:14" ht="47.25" customHeight="1">
      <c r="A40" s="30">
        <v>8</v>
      </c>
      <c r="B40" s="118" t="s">
        <v>117</v>
      </c>
      <c r="C40" s="119" t="s">
        <v>83</v>
      </c>
      <c r="D40" s="118" t="s">
        <v>164</v>
      </c>
      <c r="E40" s="123">
        <v>35.299999999999997</v>
      </c>
      <c r="F40" s="132">
        <f>SUM(E40*24/1000)</f>
        <v>0.84719999999999995</v>
      </c>
      <c r="G40" s="113">
        <v>8652.07</v>
      </c>
      <c r="H40" s="66">
        <f t="shared" si="5"/>
        <v>7.3300337039999999</v>
      </c>
      <c r="I40" s="13">
        <f t="shared" si="6"/>
        <v>1221.672284</v>
      </c>
      <c r="J40" s="24"/>
      <c r="L40" s="19"/>
      <c r="M40" s="20"/>
      <c r="N40" s="21"/>
    </row>
    <row r="41" spans="1:14" ht="15.75" hidden="1" customHeight="1">
      <c r="A41" s="30">
        <v>9</v>
      </c>
      <c r="B41" s="118" t="s">
        <v>119</v>
      </c>
      <c r="C41" s="119" t="s">
        <v>83</v>
      </c>
      <c r="D41" s="118" t="s">
        <v>81</v>
      </c>
      <c r="E41" s="123">
        <v>35.299999999999997</v>
      </c>
      <c r="F41" s="132">
        <f>SUM(E41*30/1000)</f>
        <v>1.0589999999999999</v>
      </c>
      <c r="G41" s="113">
        <v>639.14</v>
      </c>
      <c r="H41" s="66">
        <f t="shared" si="5"/>
        <v>0.67684926000000001</v>
      </c>
      <c r="I41" s="13">
        <f>(F41/7.5*1.5)*G41</f>
        <v>135.36985199999998</v>
      </c>
      <c r="J41" s="24"/>
      <c r="L41" s="19"/>
      <c r="M41" s="20"/>
      <c r="N41" s="21"/>
    </row>
    <row r="42" spans="1:14" ht="15.75" hidden="1" customHeight="1">
      <c r="A42" s="30">
        <v>10</v>
      </c>
      <c r="B42" s="130" t="s">
        <v>67</v>
      </c>
      <c r="C42" s="131" t="s">
        <v>32</v>
      </c>
      <c r="D42" s="130"/>
      <c r="E42" s="120"/>
      <c r="F42" s="132">
        <v>0.3</v>
      </c>
      <c r="G42" s="132">
        <v>900</v>
      </c>
      <c r="H42" s="66">
        <f t="shared" si="5"/>
        <v>0.27</v>
      </c>
      <c r="I42" s="13">
        <f>(F42/7.5*1.5)*G42</f>
        <v>54</v>
      </c>
      <c r="J42" s="24"/>
      <c r="L42" s="19"/>
      <c r="M42" s="20"/>
      <c r="N42" s="21"/>
    </row>
    <row r="43" spans="1:14" ht="31.5" customHeight="1">
      <c r="A43" s="30">
        <v>9</v>
      </c>
      <c r="B43" s="136" t="s">
        <v>170</v>
      </c>
      <c r="C43" s="131" t="s">
        <v>29</v>
      </c>
      <c r="D43" s="130" t="s">
        <v>172</v>
      </c>
      <c r="E43" s="120">
        <v>1.2</v>
      </c>
      <c r="F43" s="132">
        <f>E43*12/1000</f>
        <v>1.4399999999999998E-2</v>
      </c>
      <c r="G43" s="132">
        <v>20547.34</v>
      </c>
      <c r="H43" s="56"/>
      <c r="I43" s="13">
        <f>G43*F43/6</f>
        <v>49.313615999999996</v>
      </c>
      <c r="J43" s="24"/>
      <c r="L43" s="19"/>
      <c r="M43" s="20"/>
      <c r="N43" s="21"/>
    </row>
    <row r="44" spans="1:14" ht="15.75" customHeight="1">
      <c r="A44" s="162" t="s">
        <v>132</v>
      </c>
      <c r="B44" s="163"/>
      <c r="C44" s="163"/>
      <c r="D44" s="163"/>
      <c r="E44" s="163"/>
      <c r="F44" s="163"/>
      <c r="G44" s="163"/>
      <c r="H44" s="163"/>
      <c r="I44" s="164"/>
      <c r="J44" s="24"/>
      <c r="L44" s="19"/>
      <c r="M44" s="20"/>
      <c r="N44" s="21"/>
    </row>
    <row r="45" spans="1:14" ht="15.75" hidden="1" customHeight="1">
      <c r="A45" s="30">
        <v>11</v>
      </c>
      <c r="B45" s="62" t="s">
        <v>101</v>
      </c>
      <c r="C45" s="63" t="s">
        <v>83</v>
      </c>
      <c r="D45" s="62" t="s">
        <v>42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7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12</v>
      </c>
      <c r="B46" s="62" t="s">
        <v>35</v>
      </c>
      <c r="C46" s="63" t="s">
        <v>83</v>
      </c>
      <c r="D46" s="62" t="s">
        <v>42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7"/>
        <v>0.22640256000000003</v>
      </c>
      <c r="I46" s="13">
        <f t="shared" ref="I46:I53" si="8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13</v>
      </c>
      <c r="B47" s="62" t="s">
        <v>36</v>
      </c>
      <c r="C47" s="63" t="s">
        <v>83</v>
      </c>
      <c r="D47" s="62" t="s">
        <v>42</v>
      </c>
      <c r="E47" s="64">
        <v>772</v>
      </c>
      <c r="F47" s="65">
        <f>SUM(E47*2/1000)</f>
        <v>1.544</v>
      </c>
      <c r="G47" s="13">
        <v>1711.28</v>
      </c>
      <c r="H47" s="66">
        <f t="shared" si="7"/>
        <v>2.6422163200000002</v>
      </c>
      <c r="I47" s="13">
        <f t="shared" si="8"/>
        <v>1321.10816</v>
      </c>
      <c r="J47" s="24"/>
      <c r="L47" s="19"/>
      <c r="M47" s="20"/>
      <c r="N47" s="21"/>
    </row>
    <row r="48" spans="1:14" ht="15.75" hidden="1" customHeight="1">
      <c r="A48" s="30">
        <v>14</v>
      </c>
      <c r="B48" s="62" t="s">
        <v>37</v>
      </c>
      <c r="C48" s="63" t="s">
        <v>83</v>
      </c>
      <c r="D48" s="62" t="s">
        <v>42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7"/>
        <v>2.2636659240000001</v>
      </c>
      <c r="I48" s="13">
        <f t="shared" si="8"/>
        <v>1131.832962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33</v>
      </c>
      <c r="C49" s="63" t="s">
        <v>34</v>
      </c>
      <c r="D49" s="62" t="s">
        <v>42</v>
      </c>
      <c r="E49" s="64">
        <v>66.02</v>
      </c>
      <c r="F49" s="65">
        <f>SUM(E49*2/100)</f>
        <v>1.3204</v>
      </c>
      <c r="G49" s="13">
        <v>90.61</v>
      </c>
      <c r="H49" s="66">
        <f t="shared" si="7"/>
        <v>0.11964144400000001</v>
      </c>
      <c r="I49" s="13">
        <f t="shared" si="8"/>
        <v>59.820722000000004</v>
      </c>
      <c r="J49" s="24"/>
      <c r="L49" s="19"/>
      <c r="M49" s="20"/>
      <c r="N49" s="21"/>
    </row>
    <row r="50" spans="1:22" ht="15.75" customHeight="1">
      <c r="A50" s="30">
        <v>10</v>
      </c>
      <c r="B50" s="62" t="s">
        <v>55</v>
      </c>
      <c r="C50" s="63" t="s">
        <v>83</v>
      </c>
      <c r="D50" s="153" t="s">
        <v>191</v>
      </c>
      <c r="E50" s="154">
        <v>702.5</v>
      </c>
      <c r="F50" s="140">
        <f>SUM(E50*5/1000)</f>
        <v>3.5125000000000002</v>
      </c>
      <c r="G50" s="115">
        <v>1809.27</v>
      </c>
      <c r="H50" s="66">
        <f t="shared" ref="H50" si="9">SUM(F50*G50/1000)</f>
        <v>6.3550608750000004</v>
      </c>
      <c r="I50" s="13">
        <f>F50/5*G50</f>
        <v>1271.0121750000001</v>
      </c>
      <c r="J50" s="24"/>
      <c r="L50" s="19"/>
      <c r="M50" s="20"/>
      <c r="N50" s="21"/>
    </row>
    <row r="51" spans="1:22" ht="32.25" hidden="1" customHeight="1">
      <c r="A51" s="30"/>
      <c r="B51" s="62" t="s">
        <v>84</v>
      </c>
      <c r="C51" s="63" t="s">
        <v>83</v>
      </c>
      <c r="D51" s="62" t="s">
        <v>42</v>
      </c>
      <c r="E51" s="64">
        <v>1536.4</v>
      </c>
      <c r="F51" s="65">
        <f>SUM(E51*2/1000)</f>
        <v>3.0728</v>
      </c>
      <c r="G51" s="13">
        <v>1510.06</v>
      </c>
      <c r="H51" s="66">
        <f t="shared" si="7"/>
        <v>4.6401123680000005</v>
      </c>
      <c r="I51" s="13">
        <f t="shared" si="8"/>
        <v>2320.056184</v>
      </c>
      <c r="J51" s="24"/>
      <c r="L51" s="19"/>
      <c r="M51" s="20"/>
      <c r="N51" s="21"/>
    </row>
    <row r="52" spans="1:22" ht="32.25" hidden="1" customHeight="1">
      <c r="A52" s="30"/>
      <c r="B52" s="62" t="s">
        <v>85</v>
      </c>
      <c r="C52" s="63" t="s">
        <v>38</v>
      </c>
      <c r="D52" s="62" t="s">
        <v>42</v>
      </c>
      <c r="E52" s="64">
        <v>9</v>
      </c>
      <c r="F52" s="65">
        <f>SUM(E52*2/100)</f>
        <v>0.18</v>
      </c>
      <c r="G52" s="13">
        <v>3850.4</v>
      </c>
      <c r="H52" s="66">
        <f t="shared" si="7"/>
        <v>0.69307200000000002</v>
      </c>
      <c r="I52" s="13">
        <f t="shared" si="8"/>
        <v>346.536</v>
      </c>
      <c r="J52" s="24"/>
      <c r="L52" s="19"/>
      <c r="M52" s="20"/>
      <c r="N52" s="21"/>
    </row>
    <row r="53" spans="1:22" ht="15.75" hidden="1" customHeight="1">
      <c r="A53" s="30"/>
      <c r="B53" s="62" t="s">
        <v>39</v>
      </c>
      <c r="C53" s="63" t="s">
        <v>40</v>
      </c>
      <c r="D53" s="62" t="s">
        <v>42</v>
      </c>
      <c r="E53" s="64">
        <v>1</v>
      </c>
      <c r="F53" s="65">
        <v>0.02</v>
      </c>
      <c r="G53" s="13">
        <v>7033.13</v>
      </c>
      <c r="H53" s="66">
        <f t="shared" si="7"/>
        <v>0.1406626</v>
      </c>
      <c r="I53" s="13">
        <f t="shared" si="8"/>
        <v>70.331299999999999</v>
      </c>
      <c r="J53" s="24"/>
      <c r="L53" s="19"/>
      <c r="M53" s="20"/>
      <c r="N53" s="21"/>
    </row>
    <row r="54" spans="1:22" ht="19.5" hidden="1" customHeight="1">
      <c r="A54" s="30">
        <v>12</v>
      </c>
      <c r="B54" s="62" t="s">
        <v>41</v>
      </c>
      <c r="C54" s="63" t="s">
        <v>102</v>
      </c>
      <c r="D54" s="121">
        <v>43497</v>
      </c>
      <c r="E54" s="64">
        <v>53</v>
      </c>
      <c r="F54" s="65">
        <v>53</v>
      </c>
      <c r="G54" s="13">
        <v>81.73</v>
      </c>
      <c r="H54" s="66">
        <f t="shared" si="7"/>
        <v>4.3316900000000009</v>
      </c>
      <c r="I54" s="13">
        <f>G54*F54/3</f>
        <v>1443.8966666666668</v>
      </c>
      <c r="J54" s="24"/>
      <c r="L54" s="19"/>
    </row>
    <row r="55" spans="1:22" ht="15.75" customHeight="1">
      <c r="A55" s="162" t="s">
        <v>133</v>
      </c>
      <c r="B55" s="163"/>
      <c r="C55" s="163"/>
      <c r="D55" s="163"/>
      <c r="E55" s="163"/>
      <c r="F55" s="163"/>
      <c r="G55" s="163"/>
      <c r="H55" s="163"/>
      <c r="I55" s="164"/>
    </row>
    <row r="56" spans="1:22" ht="15.75" hidden="1" customHeight="1">
      <c r="A56" s="30"/>
      <c r="B56" s="81" t="s">
        <v>43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13</v>
      </c>
      <c r="B57" s="62" t="s">
        <v>103</v>
      </c>
      <c r="C57" s="63" t="s">
        <v>80</v>
      </c>
      <c r="D57" s="62" t="s">
        <v>104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G57*0.18</f>
        <v>415.19159999999994</v>
      </c>
    </row>
    <row r="58" spans="1:22" ht="15.75" hidden="1" customHeight="1">
      <c r="A58" s="30"/>
      <c r="B58" s="62" t="s">
        <v>120</v>
      </c>
      <c r="C58" s="63" t="s">
        <v>121</v>
      </c>
      <c r="D58" s="62" t="s">
        <v>65</v>
      </c>
      <c r="E58" s="64"/>
      <c r="F58" s="65">
        <v>2</v>
      </c>
      <c r="G58" s="84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1" t="s">
        <v>44</v>
      </c>
      <c r="C59" s="63"/>
      <c r="D59" s="62"/>
      <c r="E59" s="64"/>
      <c r="F59" s="65"/>
      <c r="G59" s="85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105</v>
      </c>
      <c r="C60" s="63" t="s">
        <v>80</v>
      </c>
      <c r="D60" s="62" t="s">
        <v>53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11</v>
      </c>
      <c r="B61" s="73" t="s">
        <v>129</v>
      </c>
      <c r="C61" s="72" t="s">
        <v>25</v>
      </c>
      <c r="D61" s="73" t="s">
        <v>156</v>
      </c>
      <c r="E61" s="74">
        <v>140.5</v>
      </c>
      <c r="F61" s="65">
        <v>1320</v>
      </c>
      <c r="G61" s="86">
        <v>1.4</v>
      </c>
      <c r="H61" s="71">
        <f>F61*G61/1000</f>
        <v>1.8479999999999999</v>
      </c>
      <c r="I61" s="13">
        <f>F61/12*G61</f>
        <v>154</v>
      </c>
      <c r="J61" s="5"/>
      <c r="K61" s="5"/>
      <c r="L61" s="5"/>
      <c r="M61" s="5"/>
      <c r="N61" s="5"/>
      <c r="O61" s="5"/>
      <c r="P61" s="5"/>
      <c r="Q61" s="5"/>
      <c r="R61" s="161"/>
      <c r="S61" s="161"/>
      <c r="T61" s="161"/>
      <c r="U61" s="161"/>
    </row>
    <row r="62" spans="1:22" ht="15.75" customHeight="1">
      <c r="A62" s="30"/>
      <c r="B62" s="82" t="s">
        <v>45</v>
      </c>
      <c r="C62" s="72"/>
      <c r="D62" s="73"/>
      <c r="E62" s="74"/>
      <c r="F62" s="75"/>
      <c r="G62" s="75"/>
      <c r="H62" s="76" t="s">
        <v>114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16</v>
      </c>
      <c r="B63" s="14" t="s">
        <v>46</v>
      </c>
      <c r="C63" s="16" t="s">
        <v>102</v>
      </c>
      <c r="D63" s="14" t="s">
        <v>65</v>
      </c>
      <c r="E63" s="18">
        <v>2</v>
      </c>
      <c r="F63" s="65">
        <f>E63</f>
        <v>2</v>
      </c>
      <c r="G63" s="13">
        <v>276.74</v>
      </c>
      <c r="H63" s="61">
        <f t="shared" ref="H63:H80" si="10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47</v>
      </c>
      <c r="C64" s="16" t="s">
        <v>102</v>
      </c>
      <c r="D64" s="14" t="s">
        <v>65</v>
      </c>
      <c r="E64" s="18">
        <v>1</v>
      </c>
      <c r="F64" s="65">
        <f>E64</f>
        <v>1</v>
      </c>
      <c r="G64" s="13">
        <v>94.89</v>
      </c>
      <c r="H64" s="61">
        <f t="shared" si="10"/>
        <v>9.4890000000000002E-2</v>
      </c>
      <c r="I64" s="13">
        <v>0</v>
      </c>
    </row>
    <row r="65" spans="1:9" ht="15.75" hidden="1" customHeight="1">
      <c r="A65" s="30"/>
      <c r="B65" s="14" t="s">
        <v>48</v>
      </c>
      <c r="C65" s="16" t="s">
        <v>106</v>
      </c>
      <c r="D65" s="14" t="s">
        <v>53</v>
      </c>
      <c r="E65" s="64">
        <v>6307</v>
      </c>
      <c r="F65" s="13">
        <f>SUM(E65/100)</f>
        <v>63.07</v>
      </c>
      <c r="G65" s="13">
        <v>263.99</v>
      </c>
      <c r="H65" s="61">
        <f t="shared" si="10"/>
        <v>16.649849300000003</v>
      </c>
      <c r="I65" s="13">
        <v>0</v>
      </c>
    </row>
    <row r="66" spans="1:9" ht="15.75" hidden="1" customHeight="1">
      <c r="A66" s="30"/>
      <c r="B66" s="14" t="s">
        <v>49</v>
      </c>
      <c r="C66" s="16" t="s">
        <v>107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10"/>
        <v>1.29652999</v>
      </c>
      <c r="I66" s="13">
        <v>0</v>
      </c>
    </row>
    <row r="67" spans="1:9" ht="15.75" hidden="1" customHeight="1">
      <c r="A67" s="30"/>
      <c r="B67" s="14" t="s">
        <v>50</v>
      </c>
      <c r="C67" s="16" t="s">
        <v>74</v>
      </c>
      <c r="D67" s="14" t="s">
        <v>53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10"/>
        <v>25.892745900000001</v>
      </c>
      <c r="I67" s="13">
        <v>0</v>
      </c>
    </row>
    <row r="68" spans="1:9" ht="15.75" hidden="1" customHeight="1">
      <c r="A68" s="30"/>
      <c r="B68" s="77" t="s">
        <v>108</v>
      </c>
      <c r="C68" s="16" t="s">
        <v>32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10"/>
        <v>0.31514999999999999</v>
      </c>
      <c r="I68" s="13">
        <v>0</v>
      </c>
    </row>
    <row r="69" spans="1:9" ht="15.75" hidden="1" customHeight="1">
      <c r="A69" s="30"/>
      <c r="B69" s="77" t="s">
        <v>109</v>
      </c>
      <c r="C69" s="16" t="s">
        <v>32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10"/>
        <v>0.292182</v>
      </c>
      <c r="I69" s="13">
        <v>0</v>
      </c>
    </row>
    <row r="70" spans="1:9" ht="15.75" hidden="1" customHeight="1">
      <c r="A70" s="30">
        <v>19</v>
      </c>
      <c r="B70" s="14" t="s">
        <v>56</v>
      </c>
      <c r="C70" s="16" t="s">
        <v>57</v>
      </c>
      <c r="D70" s="14" t="s">
        <v>53</v>
      </c>
      <c r="E70" s="18">
        <v>3</v>
      </c>
      <c r="F70" s="65">
        <v>3</v>
      </c>
      <c r="G70" s="13">
        <v>62.07</v>
      </c>
      <c r="H70" s="61">
        <f t="shared" si="10"/>
        <v>0.18621000000000001</v>
      </c>
      <c r="I70" s="13">
        <f>F70*G70</f>
        <v>186.21</v>
      </c>
    </row>
    <row r="71" spans="1:9" ht="15.75" customHeight="1">
      <c r="A71" s="30">
        <v>12</v>
      </c>
      <c r="B71" s="133" t="s">
        <v>122</v>
      </c>
      <c r="C71" s="126" t="s">
        <v>123</v>
      </c>
      <c r="D71" s="133" t="s">
        <v>156</v>
      </c>
      <c r="E71" s="17">
        <v>1536.4</v>
      </c>
      <c r="F71" s="134">
        <f>E71*12</f>
        <v>18436.800000000003</v>
      </c>
      <c r="G71" s="34">
        <v>2.6</v>
      </c>
      <c r="H71" s="61">
        <f t="shared" ref="H71" si="11">SUM(F71*G71/1000)</f>
        <v>47.935680000000005</v>
      </c>
      <c r="I71" s="13">
        <f>F71/12*G71</f>
        <v>3994.6400000000008</v>
      </c>
    </row>
    <row r="72" spans="1:9" ht="15.75" customHeight="1">
      <c r="A72" s="30"/>
      <c r="B72" s="92" t="s">
        <v>69</v>
      </c>
      <c r="C72" s="16"/>
      <c r="D72" s="14"/>
      <c r="E72" s="18"/>
      <c r="F72" s="13"/>
      <c r="G72" s="13"/>
      <c r="H72" s="61" t="s">
        <v>114</v>
      </c>
      <c r="I72" s="13"/>
    </row>
    <row r="73" spans="1:9" ht="30.75" customHeight="1">
      <c r="A73" s="30">
        <v>13</v>
      </c>
      <c r="B73" s="133" t="s">
        <v>208</v>
      </c>
      <c r="C73" s="125" t="s">
        <v>125</v>
      </c>
      <c r="D73" s="133" t="s">
        <v>209</v>
      </c>
      <c r="E73" s="17">
        <v>1</v>
      </c>
      <c r="F73" s="34">
        <f>E73</f>
        <v>1</v>
      </c>
      <c r="G73" s="34">
        <v>1699.67</v>
      </c>
      <c r="H73" s="61">
        <f t="shared" ref="H73:H74" si="12">SUM(F73*G73/1000)</f>
        <v>1.69967</v>
      </c>
      <c r="I73" s="13">
        <f>G73*1</f>
        <v>1699.67</v>
      </c>
    </row>
    <row r="74" spans="1:9" ht="19.5" hidden="1" customHeight="1">
      <c r="A74" s="30">
        <v>16</v>
      </c>
      <c r="B74" s="14" t="s">
        <v>126</v>
      </c>
      <c r="C74" s="16" t="s">
        <v>127</v>
      </c>
      <c r="D74" s="14"/>
      <c r="E74" s="18">
        <v>1</v>
      </c>
      <c r="F74" s="13">
        <v>1</v>
      </c>
      <c r="G74" s="13">
        <v>650</v>
      </c>
      <c r="H74" s="61">
        <f t="shared" si="12"/>
        <v>0.65</v>
      </c>
      <c r="I74" s="13">
        <f>G74*1</f>
        <v>650</v>
      </c>
    </row>
    <row r="75" spans="1:9" ht="18" hidden="1" customHeight="1">
      <c r="A75" s="30"/>
      <c r="B75" s="14" t="s">
        <v>70</v>
      </c>
      <c r="C75" s="16" t="s">
        <v>72</v>
      </c>
      <c r="D75" s="14"/>
      <c r="E75" s="18">
        <v>3</v>
      </c>
      <c r="F75" s="13">
        <v>0.3</v>
      </c>
      <c r="G75" s="13">
        <v>624.16999999999996</v>
      </c>
      <c r="H75" s="61">
        <f t="shared" si="10"/>
        <v>0.18725099999999997</v>
      </c>
      <c r="I75" s="13">
        <v>0</v>
      </c>
    </row>
    <row r="76" spans="1:9" ht="16.5" hidden="1" customHeight="1">
      <c r="A76" s="30"/>
      <c r="B76" s="14" t="s">
        <v>71</v>
      </c>
      <c r="C76" s="16" t="s">
        <v>30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14</v>
      </c>
      <c r="B77" s="46" t="s">
        <v>173</v>
      </c>
      <c r="C77" s="47" t="s">
        <v>102</v>
      </c>
      <c r="D77" s="133" t="s">
        <v>166</v>
      </c>
      <c r="E77" s="17">
        <v>2</v>
      </c>
      <c r="F77" s="34">
        <f>E77*12</f>
        <v>24</v>
      </c>
      <c r="G77" s="34">
        <v>420</v>
      </c>
      <c r="H77" s="61">
        <f>G77*F77/1000</f>
        <v>10.08</v>
      </c>
      <c r="I77" s="13">
        <f>G77*2</f>
        <v>840</v>
      </c>
    </row>
    <row r="78" spans="1:9" ht="36" customHeight="1">
      <c r="A78" s="30">
        <v>15</v>
      </c>
      <c r="B78" s="46" t="s">
        <v>174</v>
      </c>
      <c r="C78" s="47" t="s">
        <v>30</v>
      </c>
      <c r="D78" s="133" t="s">
        <v>166</v>
      </c>
      <c r="E78" s="17">
        <v>1</v>
      </c>
      <c r="F78" s="34">
        <f>E78*12</f>
        <v>12</v>
      </c>
      <c r="G78" s="34">
        <v>1829</v>
      </c>
      <c r="H78" s="61"/>
      <c r="I78" s="13">
        <f>G78*F78/12</f>
        <v>1829</v>
      </c>
    </row>
    <row r="79" spans="1:9" ht="15.75" hidden="1" customHeight="1">
      <c r="A79" s="30"/>
      <c r="B79" s="79" t="s">
        <v>73</v>
      </c>
      <c r="C79" s="16"/>
      <c r="D79" s="14"/>
      <c r="E79" s="18"/>
      <c r="F79" s="13"/>
      <c r="G79" s="13" t="s">
        <v>114</v>
      </c>
      <c r="H79" s="61" t="s">
        <v>114</v>
      </c>
      <c r="I79" s="13" t="str">
        <f>G79</f>
        <v xml:space="preserve"> </v>
      </c>
    </row>
    <row r="80" spans="1:9" ht="15.75" hidden="1" customHeight="1">
      <c r="A80" s="30"/>
      <c r="B80" s="43" t="s">
        <v>128</v>
      </c>
      <c r="C80" s="16" t="s">
        <v>74</v>
      </c>
      <c r="D80" s="14"/>
      <c r="E80" s="18"/>
      <c r="F80" s="13">
        <v>0.1</v>
      </c>
      <c r="G80" s="13">
        <v>3433.69</v>
      </c>
      <c r="H80" s="61">
        <f t="shared" si="10"/>
        <v>0.34336900000000004</v>
      </c>
      <c r="I80" s="13">
        <v>0</v>
      </c>
    </row>
    <row r="81" spans="1:9" ht="15.75" hidden="1" customHeight="1">
      <c r="A81" s="30"/>
      <c r="B81" s="55" t="s">
        <v>86</v>
      </c>
      <c r="C81" s="79"/>
      <c r="D81" s="31"/>
      <c r="E81" s="32"/>
      <c r="F81" s="68"/>
      <c r="G81" s="68"/>
      <c r="H81" s="80">
        <f>SUM(H57:H80)</f>
        <v>115.14149979000001</v>
      </c>
      <c r="I81" s="13"/>
    </row>
    <row r="82" spans="1:9" ht="15.75" hidden="1" customHeight="1">
      <c r="A82" s="30"/>
      <c r="B82" s="62" t="s">
        <v>110</v>
      </c>
      <c r="C82" s="16"/>
      <c r="D82" s="14"/>
      <c r="E82" s="57"/>
      <c r="F82" s="13">
        <v>1</v>
      </c>
      <c r="G82" s="35">
        <v>6105.8</v>
      </c>
      <c r="H82" s="61">
        <f>G82*F82/1000</f>
        <v>6.1058000000000003</v>
      </c>
      <c r="I82" s="13">
        <v>0</v>
      </c>
    </row>
    <row r="83" spans="1:9" ht="15.75" customHeight="1">
      <c r="A83" s="162" t="s">
        <v>134</v>
      </c>
      <c r="B83" s="163"/>
      <c r="C83" s="163"/>
      <c r="D83" s="163"/>
      <c r="E83" s="163"/>
      <c r="F83" s="163"/>
      <c r="G83" s="163"/>
      <c r="H83" s="163"/>
      <c r="I83" s="164"/>
    </row>
    <row r="84" spans="1:9" ht="15.75" customHeight="1">
      <c r="A84" s="30">
        <v>16</v>
      </c>
      <c r="B84" s="118" t="s">
        <v>111</v>
      </c>
      <c r="C84" s="125" t="s">
        <v>54</v>
      </c>
      <c r="D84" s="135"/>
      <c r="E84" s="34">
        <v>1536.4</v>
      </c>
      <c r="F84" s="34">
        <f>SUM(E84*12)</f>
        <v>18436.800000000003</v>
      </c>
      <c r="G84" s="34">
        <v>3.5</v>
      </c>
      <c r="H84" s="61">
        <f>SUM(F84*G84/1000)</f>
        <v>64.528800000000004</v>
      </c>
      <c r="I84" s="13">
        <f>F84/12*G84</f>
        <v>5377.4000000000015</v>
      </c>
    </row>
    <row r="85" spans="1:9" ht="31.5" customHeight="1">
      <c r="A85" s="30">
        <v>17</v>
      </c>
      <c r="B85" s="118" t="s">
        <v>175</v>
      </c>
      <c r="C85" s="125" t="s">
        <v>54</v>
      </c>
      <c r="D85" s="135"/>
      <c r="E85" s="34">
        <v>1536.4</v>
      </c>
      <c r="F85" s="34">
        <f>E85*12</f>
        <v>18436.800000000003</v>
      </c>
      <c r="G85" s="34">
        <v>3.2</v>
      </c>
      <c r="H85" s="61">
        <f>F85*G85/1000</f>
        <v>58.997760000000007</v>
      </c>
      <c r="I85" s="13">
        <f>F85/12*G85</f>
        <v>4916.4800000000014</v>
      </c>
    </row>
    <row r="86" spans="1:9" ht="15.75" customHeight="1">
      <c r="A86" s="30"/>
      <c r="B86" s="36" t="s">
        <v>76</v>
      </c>
      <c r="C86" s="79"/>
      <c r="D86" s="78"/>
      <c r="E86" s="68"/>
      <c r="F86" s="68"/>
      <c r="G86" s="68"/>
      <c r="H86" s="80">
        <f>H85</f>
        <v>58.997760000000007</v>
      </c>
      <c r="I86" s="68">
        <f>I85+I84+I78+I77+I71+I61+I50+I43+I40+I39+I38+I37+I27+I18+I17+I16+I73</f>
        <v>30327.078388000002</v>
      </c>
    </row>
    <row r="87" spans="1:9" ht="15.75" customHeight="1">
      <c r="A87" s="174" t="s">
        <v>59</v>
      </c>
      <c r="B87" s="175"/>
      <c r="C87" s="175"/>
      <c r="D87" s="175"/>
      <c r="E87" s="175"/>
      <c r="F87" s="175"/>
      <c r="G87" s="175"/>
      <c r="H87" s="175"/>
      <c r="I87" s="176"/>
    </row>
    <row r="88" spans="1:9" s="99" customFormat="1" ht="18.75" customHeight="1">
      <c r="A88" s="30">
        <v>18</v>
      </c>
      <c r="B88" s="155" t="s">
        <v>202</v>
      </c>
      <c r="C88" s="30" t="s">
        <v>32</v>
      </c>
      <c r="D88" s="100" t="s">
        <v>205</v>
      </c>
      <c r="E88" s="34"/>
      <c r="F88" s="34">
        <v>26</v>
      </c>
      <c r="G88" s="34">
        <v>356.72</v>
      </c>
      <c r="H88" s="13"/>
      <c r="I88" s="13">
        <f>G88*26</f>
        <v>9274.7200000000012</v>
      </c>
    </row>
    <row r="89" spans="1:9" s="99" customFormat="1" ht="15" customHeight="1">
      <c r="A89" s="30">
        <v>19</v>
      </c>
      <c r="B89" s="109" t="s">
        <v>203</v>
      </c>
      <c r="C89" s="110" t="s">
        <v>102</v>
      </c>
      <c r="D89" s="100"/>
      <c r="E89" s="34"/>
      <c r="F89" s="34">
        <v>1</v>
      </c>
      <c r="G89" s="34">
        <v>224.48</v>
      </c>
      <c r="H89" s="101"/>
      <c r="I89" s="13">
        <f>G89*1</f>
        <v>224.48</v>
      </c>
    </row>
    <row r="90" spans="1:9" s="99" customFormat="1" ht="18.75" customHeight="1">
      <c r="A90" s="30">
        <v>20</v>
      </c>
      <c r="B90" s="109" t="s">
        <v>187</v>
      </c>
      <c r="C90" s="110" t="s">
        <v>152</v>
      </c>
      <c r="D90" s="100" t="s">
        <v>206</v>
      </c>
      <c r="E90" s="34"/>
      <c r="F90" s="34">
        <v>4</v>
      </c>
      <c r="G90" s="34">
        <v>295.36</v>
      </c>
      <c r="H90" s="101"/>
      <c r="I90" s="13">
        <v>0</v>
      </c>
    </row>
    <row r="91" spans="1:9" s="99" customFormat="1" ht="17.25" customHeight="1">
      <c r="A91" s="30">
        <v>21</v>
      </c>
      <c r="B91" s="155" t="s">
        <v>204</v>
      </c>
      <c r="C91" s="30" t="s">
        <v>188</v>
      </c>
      <c r="D91" s="100" t="s">
        <v>207</v>
      </c>
      <c r="E91" s="34"/>
      <c r="F91" s="34">
        <v>0.2</v>
      </c>
      <c r="G91" s="34">
        <v>3537.07</v>
      </c>
      <c r="H91" s="101"/>
      <c r="I91" s="13">
        <f>G91*0.2</f>
        <v>707.4140000000001</v>
      </c>
    </row>
    <row r="92" spans="1:9" s="99" customFormat="1" ht="35.25" customHeight="1">
      <c r="A92" s="30">
        <v>22</v>
      </c>
      <c r="B92" s="155" t="s">
        <v>210</v>
      </c>
      <c r="C92" s="30" t="s">
        <v>102</v>
      </c>
      <c r="D92" s="100"/>
      <c r="E92" s="34"/>
      <c r="F92" s="34">
        <v>1</v>
      </c>
      <c r="G92" s="34">
        <v>1170</v>
      </c>
      <c r="H92" s="101"/>
      <c r="I92" s="13">
        <f>G92*1</f>
        <v>1170</v>
      </c>
    </row>
    <row r="93" spans="1:9" s="99" customFormat="1" ht="18" customHeight="1">
      <c r="A93" s="30">
        <v>23</v>
      </c>
      <c r="B93" s="109" t="s">
        <v>211</v>
      </c>
      <c r="C93" s="110" t="s">
        <v>52</v>
      </c>
      <c r="D93" s="100" t="s">
        <v>212</v>
      </c>
      <c r="E93" s="34"/>
      <c r="F93" s="34">
        <v>0.1</v>
      </c>
      <c r="G93" s="34">
        <v>2399.1</v>
      </c>
      <c r="H93" s="101"/>
      <c r="I93" s="13">
        <f>G93*0.1</f>
        <v>239.91</v>
      </c>
    </row>
    <row r="94" spans="1:9" ht="15.75" customHeight="1">
      <c r="A94" s="30"/>
      <c r="B94" s="41" t="s">
        <v>51</v>
      </c>
      <c r="C94" s="37"/>
      <c r="D94" s="44"/>
      <c r="E94" s="37">
        <v>1</v>
      </c>
      <c r="F94" s="37"/>
      <c r="G94" s="37"/>
      <c r="H94" s="37"/>
      <c r="I94" s="32">
        <f>SUM(I88:I93)</f>
        <v>11616.524000000001</v>
      </c>
    </row>
    <row r="95" spans="1:9" ht="15.75" customHeight="1">
      <c r="A95" s="30"/>
      <c r="B95" s="43" t="s">
        <v>75</v>
      </c>
      <c r="C95" s="15"/>
      <c r="D95" s="15"/>
      <c r="E95" s="38"/>
      <c r="F95" s="38"/>
      <c r="G95" s="39"/>
      <c r="H95" s="39"/>
      <c r="I95" s="17">
        <v>0</v>
      </c>
    </row>
    <row r="96" spans="1:9">
      <c r="A96" s="45"/>
      <c r="B96" s="42" t="s">
        <v>150</v>
      </c>
      <c r="C96" s="33"/>
      <c r="D96" s="33"/>
      <c r="E96" s="33"/>
      <c r="F96" s="33"/>
      <c r="G96" s="33"/>
      <c r="H96" s="33"/>
      <c r="I96" s="40">
        <f>I86+I94</f>
        <v>41943.602387999999</v>
      </c>
    </row>
    <row r="97" spans="1:9" ht="15.75">
      <c r="A97" s="182" t="s">
        <v>213</v>
      </c>
      <c r="B97" s="182"/>
      <c r="C97" s="182"/>
      <c r="D97" s="182"/>
      <c r="E97" s="182"/>
      <c r="F97" s="182"/>
      <c r="G97" s="182"/>
      <c r="H97" s="182"/>
      <c r="I97" s="182"/>
    </row>
    <row r="98" spans="1:9" ht="15.75" customHeight="1">
      <c r="A98" s="54"/>
      <c r="B98" s="183" t="s">
        <v>214</v>
      </c>
      <c r="C98" s="183"/>
      <c r="D98" s="183"/>
      <c r="E98" s="183"/>
      <c r="F98" s="183"/>
      <c r="G98" s="183"/>
      <c r="H98" s="60"/>
      <c r="I98" s="3"/>
    </row>
    <row r="99" spans="1:9">
      <c r="A99" s="90"/>
      <c r="B99" s="179" t="s">
        <v>6</v>
      </c>
      <c r="C99" s="179"/>
      <c r="D99" s="179"/>
      <c r="E99" s="179"/>
      <c r="F99" s="179"/>
      <c r="G99" s="179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4" t="s">
        <v>7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 customHeight="1">
      <c r="A102" s="184" t="s">
        <v>8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15.75">
      <c r="A103" s="171" t="s">
        <v>60</v>
      </c>
      <c r="B103" s="171"/>
      <c r="C103" s="171"/>
      <c r="D103" s="171"/>
      <c r="E103" s="171"/>
      <c r="F103" s="171"/>
      <c r="G103" s="171"/>
      <c r="H103" s="171"/>
      <c r="I103" s="171"/>
    </row>
    <row r="104" spans="1:9" ht="15.75">
      <c r="A104" s="11"/>
    </row>
    <row r="105" spans="1:9" ht="15.75">
      <c r="A105" s="177" t="s">
        <v>9</v>
      </c>
      <c r="B105" s="177"/>
      <c r="C105" s="177"/>
      <c r="D105" s="177"/>
      <c r="E105" s="177"/>
      <c r="F105" s="177"/>
      <c r="G105" s="177"/>
      <c r="H105" s="177"/>
      <c r="I105" s="177"/>
    </row>
    <row r="106" spans="1:9" ht="15.75">
      <c r="A106" s="4"/>
    </row>
    <row r="107" spans="1:9" ht="15.75">
      <c r="B107" s="87" t="s">
        <v>10</v>
      </c>
      <c r="C107" s="178" t="s">
        <v>189</v>
      </c>
      <c r="D107" s="178"/>
      <c r="E107" s="178"/>
      <c r="F107" s="58"/>
      <c r="I107" s="89"/>
    </row>
    <row r="108" spans="1:9">
      <c r="A108" s="90"/>
      <c r="C108" s="179" t="s">
        <v>11</v>
      </c>
      <c r="D108" s="179"/>
      <c r="E108" s="179"/>
      <c r="F108" s="25"/>
      <c r="I108" s="88" t="s">
        <v>12</v>
      </c>
    </row>
    <row r="109" spans="1:9" ht="15.75">
      <c r="A109" s="26"/>
      <c r="C109" s="12"/>
      <c r="D109" s="12"/>
      <c r="G109" s="12"/>
      <c r="H109" s="12"/>
    </row>
    <row r="110" spans="1:9" ht="15.75" customHeight="1">
      <c r="B110" s="87" t="s">
        <v>13</v>
      </c>
      <c r="C110" s="180"/>
      <c r="D110" s="180"/>
      <c r="E110" s="180"/>
      <c r="F110" s="59"/>
      <c r="I110" s="89"/>
    </row>
    <row r="111" spans="1:9" ht="15.75" customHeight="1">
      <c r="A111" s="90"/>
      <c r="C111" s="161" t="s">
        <v>11</v>
      </c>
      <c r="D111" s="161"/>
      <c r="E111" s="161"/>
      <c r="F111" s="90"/>
      <c r="I111" s="88" t="s">
        <v>12</v>
      </c>
    </row>
    <row r="112" spans="1:9" ht="15.75" customHeight="1">
      <c r="A112" s="4" t="s">
        <v>14</v>
      </c>
    </row>
    <row r="113" spans="1:9">
      <c r="A113" s="181" t="s">
        <v>15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45" customHeight="1">
      <c r="A114" s="173" t="s">
        <v>16</v>
      </c>
      <c r="B114" s="173"/>
      <c r="C114" s="173"/>
      <c r="D114" s="173"/>
      <c r="E114" s="173"/>
      <c r="F114" s="173"/>
      <c r="G114" s="173"/>
      <c r="H114" s="173"/>
      <c r="I114" s="173"/>
    </row>
    <row r="115" spans="1:9" ht="30" customHeight="1">
      <c r="A115" s="173" t="s">
        <v>17</v>
      </c>
      <c r="B115" s="173"/>
      <c r="C115" s="173"/>
      <c r="D115" s="173"/>
      <c r="E115" s="173"/>
      <c r="F115" s="173"/>
      <c r="G115" s="173"/>
      <c r="H115" s="173"/>
      <c r="I115" s="173"/>
    </row>
    <row r="116" spans="1:9" ht="30" customHeight="1">
      <c r="A116" s="173" t="s">
        <v>21</v>
      </c>
      <c r="B116" s="173"/>
      <c r="C116" s="173"/>
      <c r="D116" s="173"/>
      <c r="E116" s="173"/>
      <c r="F116" s="173"/>
      <c r="G116" s="173"/>
      <c r="H116" s="173"/>
      <c r="I116" s="173"/>
    </row>
    <row r="117" spans="1:9" ht="15" customHeight="1">
      <c r="A117" s="173" t="s">
        <v>20</v>
      </c>
      <c r="B117" s="173"/>
      <c r="C117" s="173"/>
      <c r="D117" s="173"/>
      <c r="E117" s="173"/>
      <c r="F117" s="173"/>
      <c r="G117" s="173"/>
      <c r="H117" s="173"/>
      <c r="I117" s="173"/>
    </row>
  </sheetData>
  <autoFilter ref="I12:I56"/>
  <mergeCells count="29">
    <mergeCell ref="A113:I113"/>
    <mergeCell ref="A114:I114"/>
    <mergeCell ref="A115:I115"/>
    <mergeCell ref="A116:I116"/>
    <mergeCell ref="A117:I117"/>
    <mergeCell ref="R61:U61"/>
    <mergeCell ref="C111:E111"/>
    <mergeCell ref="A87:I87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3:I83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topLeftCell="A88" workbookViewId="0">
      <selection activeCell="L78" sqref="L7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137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215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83">
        <v>44286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216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8" si="0">SUM(F16*G16/1000)</f>
        <v>22.391623799999998</v>
      </c>
      <c r="I16" s="34">
        <f>F16/12*G16</f>
        <v>1865.9686499999998</v>
      </c>
      <c r="J16" s="128"/>
      <c r="K16" s="12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128"/>
      <c r="K17" s="12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156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si="0"/>
        <v>22.298535359999999</v>
      </c>
      <c r="I18" s="34">
        <f>F18/18*G18</f>
        <v>1238.8075200000001</v>
      </c>
      <c r="J18" s="128"/>
      <c r="K18" s="12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90</v>
      </c>
      <c r="C20" s="63" t="s">
        <v>80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62" t="s">
        <v>147</v>
      </c>
      <c r="B29" s="163"/>
      <c r="C29" s="163"/>
      <c r="D29" s="163"/>
      <c r="E29" s="163"/>
      <c r="F29" s="163"/>
      <c r="G29" s="163"/>
      <c r="H29" s="163"/>
      <c r="I29" s="164"/>
      <c r="J29" s="24"/>
    </row>
    <row r="30" spans="1:13" ht="15.75" hidden="1" customHeight="1">
      <c r="A30" s="30"/>
      <c r="B30" s="81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8</v>
      </c>
      <c r="B31" s="62" t="s">
        <v>100</v>
      </c>
      <c r="C31" s="63" t="s">
        <v>83</v>
      </c>
      <c r="D31" s="62" t="s">
        <v>148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3">SUM(F31*G31/1000)</f>
        <v>0.62031605999999995</v>
      </c>
      <c r="I31" s="13">
        <f t="shared" ref="I31:I32" si="4">F31/6*G31</f>
        <v>103.38601</v>
      </c>
      <c r="J31" s="23"/>
      <c r="K31" s="8"/>
      <c r="L31" s="8"/>
      <c r="M31" s="8"/>
    </row>
    <row r="32" spans="1:13" ht="31.5" hidden="1" customHeight="1">
      <c r="A32" s="30">
        <v>9</v>
      </c>
      <c r="B32" s="62" t="s">
        <v>99</v>
      </c>
      <c r="C32" s="63" t="s">
        <v>83</v>
      </c>
      <c r="D32" s="62" t="s">
        <v>149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3"/>
        <v>0.88609918799999987</v>
      </c>
      <c r="I32" s="13">
        <f t="shared" si="4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83</v>
      </c>
      <c r="D33" s="62" t="s">
        <v>53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3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10</v>
      </c>
      <c r="B34" s="62" t="s">
        <v>98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3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63</v>
      </c>
      <c r="C35" s="63" t="s">
        <v>32</v>
      </c>
      <c r="D35" s="62" t="s">
        <v>65</v>
      </c>
      <c r="E35" s="64"/>
      <c r="F35" s="65">
        <v>1</v>
      </c>
      <c r="G35" s="65">
        <v>238.07</v>
      </c>
      <c r="H35" s="66">
        <f t="shared" si="3"/>
        <v>0.23807</v>
      </c>
      <c r="I35" s="13">
        <v>0</v>
      </c>
      <c r="J35" s="24"/>
    </row>
    <row r="36" spans="1:14" ht="15.75" hidden="1" customHeight="1">
      <c r="A36" s="30"/>
      <c r="B36" s="62" t="s">
        <v>64</v>
      </c>
      <c r="C36" s="63" t="s">
        <v>31</v>
      </c>
      <c r="D36" s="62" t="s">
        <v>65</v>
      </c>
      <c r="E36" s="64"/>
      <c r="F36" s="65">
        <v>1</v>
      </c>
      <c r="G36" s="65">
        <v>1413.96</v>
      </c>
      <c r="H36" s="66">
        <f t="shared" si="3"/>
        <v>1.4139600000000001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114</v>
      </c>
      <c r="I37" s="13"/>
      <c r="J37" s="24"/>
      <c r="L37" s="19"/>
      <c r="M37" s="20"/>
      <c r="N37" s="21"/>
    </row>
    <row r="38" spans="1:14" ht="15.75" customHeight="1">
      <c r="A38" s="30">
        <v>4</v>
      </c>
      <c r="B38" s="130" t="s">
        <v>26</v>
      </c>
      <c r="C38" s="119" t="s">
        <v>31</v>
      </c>
      <c r="D38" s="118" t="s">
        <v>217</v>
      </c>
      <c r="E38" s="123"/>
      <c r="F38" s="113">
        <v>3</v>
      </c>
      <c r="G38" s="113">
        <v>1930</v>
      </c>
      <c r="H38" s="66">
        <f t="shared" ref="H38:H43" si="5">SUM(F38*G38/1000)</f>
        <v>5.79</v>
      </c>
      <c r="I38" s="13">
        <f>G38*2</f>
        <v>3860</v>
      </c>
      <c r="J38" s="24"/>
      <c r="L38" s="19"/>
      <c r="M38" s="20"/>
      <c r="N38" s="21"/>
    </row>
    <row r="39" spans="1:14" ht="31.5" customHeight="1">
      <c r="A39" s="30">
        <v>5</v>
      </c>
      <c r="B39" s="130" t="s">
        <v>115</v>
      </c>
      <c r="C39" s="131" t="s">
        <v>29</v>
      </c>
      <c r="D39" s="118" t="s">
        <v>163</v>
      </c>
      <c r="E39" s="123">
        <v>35.299999999999997</v>
      </c>
      <c r="F39" s="132">
        <f>E39*30/1000</f>
        <v>1.0589999999999999</v>
      </c>
      <c r="G39" s="113">
        <v>3134.93</v>
      </c>
      <c r="H39" s="66">
        <f t="shared" si="5"/>
        <v>3.3198908699999996</v>
      </c>
      <c r="I39" s="13">
        <f t="shared" ref="I39:I41" si="6">F39/6*G39</f>
        <v>553.31514499999992</v>
      </c>
      <c r="J39" s="24"/>
      <c r="L39" s="19"/>
      <c r="M39" s="20"/>
      <c r="N39" s="21"/>
    </row>
    <row r="40" spans="1:14" ht="15.75" customHeight="1">
      <c r="A40" s="30">
        <v>6</v>
      </c>
      <c r="B40" s="118" t="s">
        <v>116</v>
      </c>
      <c r="C40" s="119" t="s">
        <v>29</v>
      </c>
      <c r="D40" s="118" t="s">
        <v>171</v>
      </c>
      <c r="E40" s="123">
        <v>35.299999999999997</v>
      </c>
      <c r="F40" s="132">
        <f>SUM(E40*72/1000)</f>
        <v>2.5415999999999999</v>
      </c>
      <c r="G40" s="113">
        <v>522.92999999999995</v>
      </c>
      <c r="H40" s="66">
        <f t="shared" si="5"/>
        <v>1.3290788879999997</v>
      </c>
      <c r="I40" s="13">
        <f t="shared" si="6"/>
        <v>221.51314799999997</v>
      </c>
      <c r="J40" s="24"/>
      <c r="L40" s="19"/>
      <c r="M40" s="20"/>
      <c r="N40" s="21"/>
    </row>
    <row r="41" spans="1:14" ht="47.25" customHeight="1">
      <c r="A41" s="30">
        <v>7</v>
      </c>
      <c r="B41" s="118" t="s">
        <v>117</v>
      </c>
      <c r="C41" s="119" t="s">
        <v>83</v>
      </c>
      <c r="D41" s="118" t="s">
        <v>164</v>
      </c>
      <c r="E41" s="123">
        <v>35.299999999999997</v>
      </c>
      <c r="F41" s="132">
        <f>SUM(E41*24/1000)</f>
        <v>0.84719999999999995</v>
      </c>
      <c r="G41" s="113">
        <v>8652.07</v>
      </c>
      <c r="H41" s="66">
        <f t="shared" si="5"/>
        <v>7.3300337039999999</v>
      </c>
      <c r="I41" s="13">
        <f t="shared" si="6"/>
        <v>1221.672284</v>
      </c>
      <c r="J41" s="24"/>
      <c r="L41" s="19"/>
      <c r="M41" s="20"/>
      <c r="N41" s="21"/>
    </row>
    <row r="42" spans="1:14" ht="17.25" customHeight="1">
      <c r="A42" s="30">
        <v>8</v>
      </c>
      <c r="B42" s="118" t="s">
        <v>119</v>
      </c>
      <c r="C42" s="119" t="s">
        <v>83</v>
      </c>
      <c r="D42" s="118" t="s">
        <v>156</v>
      </c>
      <c r="E42" s="123">
        <v>35.299999999999997</v>
      </c>
      <c r="F42" s="132">
        <f>SUM(E42*30/1000)</f>
        <v>1.0589999999999999</v>
      </c>
      <c r="G42" s="113">
        <v>639.14</v>
      </c>
      <c r="H42" s="66">
        <f t="shared" si="5"/>
        <v>0.67684926000000001</v>
      </c>
      <c r="I42" s="13">
        <f>G42*F42/30*1</f>
        <v>22.561641999999999</v>
      </c>
      <c r="J42" s="24"/>
      <c r="L42" s="19"/>
      <c r="M42" s="20"/>
      <c r="N42" s="21"/>
    </row>
    <row r="43" spans="1:14" ht="19.5" customHeight="1">
      <c r="A43" s="30">
        <v>9</v>
      </c>
      <c r="B43" s="130" t="s">
        <v>67</v>
      </c>
      <c r="C43" s="131" t="s">
        <v>32</v>
      </c>
      <c r="D43" s="130"/>
      <c r="E43" s="120"/>
      <c r="F43" s="132">
        <v>0.3</v>
      </c>
      <c r="G43" s="132">
        <v>900</v>
      </c>
      <c r="H43" s="66">
        <f t="shared" si="5"/>
        <v>0.27</v>
      </c>
      <c r="I43" s="13">
        <f>G43*F43/30*1</f>
        <v>9</v>
      </c>
      <c r="J43" s="24"/>
      <c r="L43" s="19"/>
      <c r="M43" s="20"/>
      <c r="N43" s="21"/>
    </row>
    <row r="44" spans="1:14" ht="30" customHeight="1">
      <c r="A44" s="30">
        <v>10</v>
      </c>
      <c r="B44" s="136" t="s">
        <v>170</v>
      </c>
      <c r="C44" s="131" t="s">
        <v>29</v>
      </c>
      <c r="D44" s="130" t="s">
        <v>172</v>
      </c>
      <c r="E44" s="120">
        <v>1.2</v>
      </c>
      <c r="F44" s="132">
        <f>E44*12/1000</f>
        <v>1.4399999999999998E-2</v>
      </c>
      <c r="G44" s="132">
        <v>20547.34</v>
      </c>
      <c r="H44" s="56"/>
      <c r="I44" s="13">
        <f>G44*F44/6</f>
        <v>49.313615999999996</v>
      </c>
      <c r="J44" s="24"/>
      <c r="L44" s="19"/>
      <c r="M44" s="20"/>
      <c r="N44" s="21"/>
    </row>
    <row r="45" spans="1:14" ht="15.75" customHeight="1">
      <c r="A45" s="162" t="s">
        <v>132</v>
      </c>
      <c r="B45" s="163"/>
      <c r="C45" s="163"/>
      <c r="D45" s="163"/>
      <c r="E45" s="163"/>
      <c r="F45" s="163"/>
      <c r="G45" s="163"/>
      <c r="H45" s="163"/>
      <c r="I45" s="164"/>
      <c r="J45" s="24"/>
      <c r="L45" s="19"/>
      <c r="M45" s="20"/>
      <c r="N45" s="21"/>
    </row>
    <row r="46" spans="1:14" ht="15.75" hidden="1" customHeight="1">
      <c r="A46" s="30">
        <v>11</v>
      </c>
      <c r="B46" s="62" t="s">
        <v>101</v>
      </c>
      <c r="C46" s="63" t="s">
        <v>83</v>
      </c>
      <c r="D46" s="62" t="s">
        <v>42</v>
      </c>
      <c r="E46" s="64">
        <v>907.4</v>
      </c>
      <c r="F46" s="65">
        <f>SUM(E46*2/1000)</f>
        <v>1.8148</v>
      </c>
      <c r="G46" s="13">
        <v>1283.46</v>
      </c>
      <c r="H46" s="66">
        <f t="shared" ref="H46:H55" si="7">SUM(F46*G46/1000)</f>
        <v>2.3292232079999997</v>
      </c>
      <c r="I46" s="13">
        <f>F46/2*G46</f>
        <v>1164.6116039999999</v>
      </c>
      <c r="J46" s="24"/>
      <c r="L46" s="19"/>
      <c r="M46" s="20"/>
      <c r="N46" s="21"/>
    </row>
    <row r="47" spans="1:14" ht="15.75" hidden="1" customHeight="1">
      <c r="A47" s="30">
        <v>12</v>
      </c>
      <c r="B47" s="62" t="s">
        <v>35</v>
      </c>
      <c r="C47" s="63" t="s">
        <v>83</v>
      </c>
      <c r="D47" s="62" t="s">
        <v>42</v>
      </c>
      <c r="E47" s="64">
        <v>27</v>
      </c>
      <c r="F47" s="65">
        <f>SUM(E47*2/1000)</f>
        <v>5.3999999999999999E-2</v>
      </c>
      <c r="G47" s="13">
        <v>4192.6400000000003</v>
      </c>
      <c r="H47" s="66">
        <f t="shared" si="7"/>
        <v>0.22640256000000003</v>
      </c>
      <c r="I47" s="13">
        <f t="shared" ref="I47:I54" si="8">F47/2*G47</f>
        <v>113.20128000000001</v>
      </c>
      <c r="J47" s="24"/>
      <c r="L47" s="19"/>
      <c r="M47" s="20"/>
      <c r="N47" s="21"/>
    </row>
    <row r="48" spans="1:14" ht="15.75" hidden="1" customHeight="1">
      <c r="A48" s="30">
        <v>13</v>
      </c>
      <c r="B48" s="62" t="s">
        <v>36</v>
      </c>
      <c r="C48" s="63" t="s">
        <v>83</v>
      </c>
      <c r="D48" s="62" t="s">
        <v>42</v>
      </c>
      <c r="E48" s="64">
        <v>772</v>
      </c>
      <c r="F48" s="65">
        <f>SUM(E48*2/1000)</f>
        <v>1.544</v>
      </c>
      <c r="G48" s="13">
        <v>1711.28</v>
      </c>
      <c r="H48" s="66">
        <f t="shared" si="7"/>
        <v>2.6422163200000002</v>
      </c>
      <c r="I48" s="13">
        <f t="shared" si="8"/>
        <v>1321.10816</v>
      </c>
      <c r="J48" s="24"/>
      <c r="L48" s="19"/>
      <c r="M48" s="20"/>
      <c r="N48" s="21"/>
    </row>
    <row r="49" spans="1:22" ht="15.75" hidden="1" customHeight="1">
      <c r="A49" s="30">
        <v>14</v>
      </c>
      <c r="B49" s="62" t="s">
        <v>37</v>
      </c>
      <c r="C49" s="63" t="s">
        <v>83</v>
      </c>
      <c r="D49" s="62" t="s">
        <v>42</v>
      </c>
      <c r="E49" s="64">
        <v>959.4</v>
      </c>
      <c r="F49" s="65">
        <f>SUM(E49*2/1000)</f>
        <v>1.9188000000000001</v>
      </c>
      <c r="G49" s="13">
        <v>1179.73</v>
      </c>
      <c r="H49" s="66">
        <f t="shared" si="7"/>
        <v>2.2636659240000001</v>
      </c>
      <c r="I49" s="13">
        <f t="shared" si="8"/>
        <v>1131.832962</v>
      </c>
      <c r="J49" s="24"/>
      <c r="L49" s="19"/>
      <c r="M49" s="20"/>
      <c r="N49" s="21"/>
    </row>
    <row r="50" spans="1:22" ht="15.75" hidden="1" customHeight="1">
      <c r="A50" s="30">
        <v>15</v>
      </c>
      <c r="B50" s="62" t="s">
        <v>33</v>
      </c>
      <c r="C50" s="63" t="s">
        <v>34</v>
      </c>
      <c r="D50" s="62" t="s">
        <v>42</v>
      </c>
      <c r="E50" s="64">
        <v>66.02</v>
      </c>
      <c r="F50" s="65">
        <f>SUM(E50*2/100)</f>
        <v>1.3204</v>
      </c>
      <c r="G50" s="13">
        <v>90.61</v>
      </c>
      <c r="H50" s="66">
        <f t="shared" si="7"/>
        <v>0.11964144400000001</v>
      </c>
      <c r="I50" s="13">
        <f t="shared" si="8"/>
        <v>59.820722000000004</v>
      </c>
      <c r="J50" s="24"/>
      <c r="L50" s="19"/>
      <c r="M50" s="20"/>
      <c r="N50" s="21"/>
    </row>
    <row r="51" spans="1:22" ht="15.75" hidden="1" customHeight="1">
      <c r="A51" s="30">
        <v>12</v>
      </c>
      <c r="B51" s="62" t="s">
        <v>55</v>
      </c>
      <c r="C51" s="63" t="s">
        <v>83</v>
      </c>
      <c r="D51" s="62" t="s">
        <v>131</v>
      </c>
      <c r="E51" s="64">
        <v>1536.4</v>
      </c>
      <c r="F51" s="65">
        <f>SUM(E51*5/1000)</f>
        <v>7.6820000000000004</v>
      </c>
      <c r="G51" s="13">
        <v>1711.28</v>
      </c>
      <c r="H51" s="66">
        <f t="shared" si="7"/>
        <v>13.14605296</v>
      </c>
      <c r="I51" s="13">
        <f>F51/5*G51</f>
        <v>2629.2105919999999</v>
      </c>
      <c r="J51" s="24"/>
      <c r="L51" s="19"/>
      <c r="M51" s="20"/>
      <c r="N51" s="21"/>
    </row>
    <row r="52" spans="1:22" ht="32.25" hidden="1" customHeight="1">
      <c r="A52" s="30"/>
      <c r="B52" s="62" t="s">
        <v>84</v>
      </c>
      <c r="C52" s="63" t="s">
        <v>83</v>
      </c>
      <c r="D52" s="62" t="s">
        <v>42</v>
      </c>
      <c r="E52" s="64">
        <v>1536.4</v>
      </c>
      <c r="F52" s="65">
        <f>SUM(E52*2/1000)</f>
        <v>3.0728</v>
      </c>
      <c r="G52" s="13">
        <v>1510.06</v>
      </c>
      <c r="H52" s="66">
        <f t="shared" si="7"/>
        <v>4.6401123680000005</v>
      </c>
      <c r="I52" s="13">
        <f t="shared" si="8"/>
        <v>2320.056184</v>
      </c>
      <c r="J52" s="24"/>
      <c r="L52" s="19"/>
      <c r="M52" s="20"/>
      <c r="N52" s="21"/>
    </row>
    <row r="53" spans="1:22" ht="32.25" hidden="1" customHeight="1">
      <c r="A53" s="30"/>
      <c r="B53" s="62" t="s">
        <v>85</v>
      </c>
      <c r="C53" s="63" t="s">
        <v>38</v>
      </c>
      <c r="D53" s="62" t="s">
        <v>42</v>
      </c>
      <c r="E53" s="64">
        <v>9</v>
      </c>
      <c r="F53" s="65">
        <f>SUM(E53*2/100)</f>
        <v>0.18</v>
      </c>
      <c r="G53" s="13">
        <v>3850.4</v>
      </c>
      <c r="H53" s="66">
        <f t="shared" si="7"/>
        <v>0.69307200000000002</v>
      </c>
      <c r="I53" s="13">
        <f t="shared" si="8"/>
        <v>346.536</v>
      </c>
      <c r="J53" s="24"/>
      <c r="L53" s="19"/>
      <c r="M53" s="20"/>
      <c r="N53" s="21"/>
    </row>
    <row r="54" spans="1:22" ht="15.75" hidden="1" customHeight="1">
      <c r="A54" s="30"/>
      <c r="B54" s="62" t="s">
        <v>39</v>
      </c>
      <c r="C54" s="63" t="s">
        <v>40</v>
      </c>
      <c r="D54" s="62" t="s">
        <v>42</v>
      </c>
      <c r="E54" s="64">
        <v>1</v>
      </c>
      <c r="F54" s="65">
        <v>0.02</v>
      </c>
      <c r="G54" s="13">
        <v>7033.13</v>
      </c>
      <c r="H54" s="66">
        <f t="shared" si="7"/>
        <v>0.1406626</v>
      </c>
      <c r="I54" s="13">
        <f t="shared" si="8"/>
        <v>70.331299999999999</v>
      </c>
      <c r="J54" s="24"/>
      <c r="L54" s="19"/>
      <c r="M54" s="20"/>
      <c r="N54" s="21"/>
    </row>
    <row r="55" spans="1:22" ht="15.75" customHeight="1">
      <c r="A55" s="30">
        <v>11</v>
      </c>
      <c r="B55" s="62" t="s">
        <v>41</v>
      </c>
      <c r="C55" s="63" t="s">
        <v>102</v>
      </c>
      <c r="D55" s="121">
        <v>44267</v>
      </c>
      <c r="E55" s="64">
        <v>53</v>
      </c>
      <c r="F55" s="140">
        <v>53</v>
      </c>
      <c r="G55" s="151">
        <v>97.93</v>
      </c>
      <c r="H55" s="66">
        <f t="shared" si="7"/>
        <v>5.1902900000000001</v>
      </c>
      <c r="I55" s="13">
        <f>F55/3*G55</f>
        <v>1730.0966666666668</v>
      </c>
      <c r="J55" s="24"/>
      <c r="L55" s="19"/>
    </row>
    <row r="56" spans="1:22" ht="15.75" customHeight="1">
      <c r="A56" s="162" t="s">
        <v>133</v>
      </c>
      <c r="B56" s="163"/>
      <c r="C56" s="163"/>
      <c r="D56" s="163"/>
      <c r="E56" s="163"/>
      <c r="F56" s="163"/>
      <c r="G56" s="163"/>
      <c r="H56" s="163"/>
      <c r="I56" s="164"/>
    </row>
    <row r="57" spans="1:22" ht="17.25" customHeight="1">
      <c r="A57" s="30"/>
      <c r="B57" s="81" t="s">
        <v>43</v>
      </c>
      <c r="C57" s="63"/>
      <c r="D57" s="62"/>
      <c r="E57" s="64"/>
      <c r="F57" s="65"/>
      <c r="G57" s="65"/>
      <c r="H57" s="66"/>
      <c r="I57" s="13"/>
    </row>
    <row r="58" spans="1:22" ht="33" customHeight="1">
      <c r="A58" s="30">
        <v>12</v>
      </c>
      <c r="B58" s="62" t="s">
        <v>103</v>
      </c>
      <c r="C58" s="63" t="s">
        <v>80</v>
      </c>
      <c r="D58" s="62"/>
      <c r="E58" s="64">
        <v>11.5</v>
      </c>
      <c r="F58" s="65">
        <f>SUM(E58*6/100)</f>
        <v>0.69</v>
      </c>
      <c r="G58" s="13">
        <v>2306.62</v>
      </c>
      <c r="H58" s="66">
        <f>SUM(F58*G58/1000)</f>
        <v>1.5915677999999998</v>
      </c>
      <c r="I58" s="13">
        <f>G58*0.115</f>
        <v>265.26130000000001</v>
      </c>
    </row>
    <row r="59" spans="1:22" ht="21" hidden="1" customHeight="1">
      <c r="A59" s="30"/>
      <c r="B59" s="62" t="s">
        <v>120</v>
      </c>
      <c r="C59" s="63" t="s">
        <v>121</v>
      </c>
      <c r="D59" s="62" t="s">
        <v>65</v>
      </c>
      <c r="E59" s="64"/>
      <c r="F59" s="65">
        <v>2</v>
      </c>
      <c r="G59" s="84">
        <v>1501</v>
      </c>
      <c r="H59" s="66">
        <f>SUM(F59*G59/1000)</f>
        <v>3.0019999999999998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/>
      <c r="B60" s="81" t="s">
        <v>44</v>
      </c>
      <c r="C60" s="63"/>
      <c r="D60" s="62"/>
      <c r="E60" s="64"/>
      <c r="F60" s="65"/>
      <c r="G60" s="85"/>
      <c r="H60" s="66"/>
      <c r="I60" s="13"/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" customHeight="1">
      <c r="A61" s="30">
        <v>13</v>
      </c>
      <c r="B61" s="62" t="s">
        <v>105</v>
      </c>
      <c r="C61" s="63" t="s">
        <v>80</v>
      </c>
      <c r="D61" s="62" t="s">
        <v>218</v>
      </c>
      <c r="E61" s="64">
        <v>148</v>
      </c>
      <c r="F61" s="66">
        <f>E61/100</f>
        <v>1.48</v>
      </c>
      <c r="G61" s="115">
        <v>1183.19</v>
      </c>
      <c r="H61" s="71">
        <f>F61*G61/1000</f>
        <v>1.7511212</v>
      </c>
      <c r="I61" s="13">
        <f>G61*F61</f>
        <v>1751.1212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14</v>
      </c>
      <c r="B62" s="73" t="s">
        <v>129</v>
      </c>
      <c r="C62" s="72" t="s">
        <v>25</v>
      </c>
      <c r="D62" s="111" t="s">
        <v>156</v>
      </c>
      <c r="E62" s="112">
        <v>110</v>
      </c>
      <c r="F62" s="113">
        <f>E62*12</f>
        <v>1320</v>
      </c>
      <c r="G62" s="114">
        <v>1.4</v>
      </c>
      <c r="H62" s="71">
        <f>F62*G62/1000</f>
        <v>1.8479999999999999</v>
      </c>
      <c r="I62" s="13">
        <f>F62/12*G62</f>
        <v>154</v>
      </c>
      <c r="J62" s="5"/>
      <c r="K62" s="5"/>
      <c r="L62" s="5"/>
      <c r="M62" s="5"/>
      <c r="N62" s="5"/>
      <c r="O62" s="5"/>
      <c r="P62" s="5"/>
      <c r="Q62" s="5"/>
      <c r="R62" s="161"/>
      <c r="S62" s="161"/>
      <c r="T62" s="161"/>
      <c r="U62" s="161"/>
    </row>
    <row r="63" spans="1:22" ht="15.75" customHeight="1">
      <c r="A63" s="30"/>
      <c r="B63" s="82" t="s">
        <v>45</v>
      </c>
      <c r="C63" s="72"/>
      <c r="D63" s="73"/>
      <c r="E63" s="74"/>
      <c r="F63" s="75"/>
      <c r="G63" s="75"/>
      <c r="H63" s="76" t="s">
        <v>114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16</v>
      </c>
      <c r="B64" s="14" t="s">
        <v>46</v>
      </c>
      <c r="C64" s="16" t="s">
        <v>102</v>
      </c>
      <c r="D64" s="14" t="s">
        <v>65</v>
      </c>
      <c r="E64" s="18">
        <v>2</v>
      </c>
      <c r="F64" s="65">
        <f>E64</f>
        <v>2</v>
      </c>
      <c r="G64" s="13">
        <v>276.74</v>
      </c>
      <c r="H64" s="61">
        <f t="shared" ref="H64:H81" si="9">SUM(F64*G64/1000)</f>
        <v>0.55347999999999997</v>
      </c>
      <c r="I64" s="13">
        <f>G64</f>
        <v>276.74</v>
      </c>
    </row>
    <row r="65" spans="1:9" ht="15.75" hidden="1" customHeight="1">
      <c r="A65" s="30"/>
      <c r="B65" s="14" t="s">
        <v>47</v>
      </c>
      <c r="C65" s="16" t="s">
        <v>102</v>
      </c>
      <c r="D65" s="14" t="s">
        <v>65</v>
      </c>
      <c r="E65" s="18">
        <v>1</v>
      </c>
      <c r="F65" s="65">
        <f>E65</f>
        <v>1</v>
      </c>
      <c r="G65" s="13">
        <v>94.89</v>
      </c>
      <c r="H65" s="61">
        <f t="shared" si="9"/>
        <v>9.4890000000000002E-2</v>
      </c>
      <c r="I65" s="13">
        <v>0</v>
      </c>
    </row>
    <row r="66" spans="1:9" ht="15.75" hidden="1" customHeight="1">
      <c r="A66" s="30"/>
      <c r="B66" s="14" t="s">
        <v>48</v>
      </c>
      <c r="C66" s="16" t="s">
        <v>106</v>
      </c>
      <c r="D66" s="14" t="s">
        <v>53</v>
      </c>
      <c r="E66" s="64">
        <v>6307</v>
      </c>
      <c r="F66" s="13">
        <f>SUM(E66/100)</f>
        <v>63.07</v>
      </c>
      <c r="G66" s="13">
        <v>263.99</v>
      </c>
      <c r="H66" s="61">
        <f t="shared" si="9"/>
        <v>16.649849300000003</v>
      </c>
      <c r="I66" s="13">
        <v>0</v>
      </c>
    </row>
    <row r="67" spans="1:9" ht="15.75" hidden="1" customHeight="1">
      <c r="A67" s="30"/>
      <c r="B67" s="14" t="s">
        <v>49</v>
      </c>
      <c r="C67" s="16" t="s">
        <v>107</v>
      </c>
      <c r="D67" s="14"/>
      <c r="E67" s="64">
        <v>6307</v>
      </c>
      <c r="F67" s="13">
        <f>SUM(E67/1000)</f>
        <v>6.3070000000000004</v>
      </c>
      <c r="G67" s="13">
        <v>205.57</v>
      </c>
      <c r="H67" s="61">
        <f t="shared" si="9"/>
        <v>1.29652999</v>
      </c>
      <c r="I67" s="13">
        <v>0</v>
      </c>
    </row>
    <row r="68" spans="1:9" ht="15.75" hidden="1" customHeight="1">
      <c r="A68" s="30"/>
      <c r="B68" s="14" t="s">
        <v>50</v>
      </c>
      <c r="C68" s="16" t="s">
        <v>74</v>
      </c>
      <c r="D68" s="14" t="s">
        <v>53</v>
      </c>
      <c r="E68" s="64">
        <v>1003</v>
      </c>
      <c r="F68" s="13">
        <f>SUM(E68/100)</f>
        <v>10.029999999999999</v>
      </c>
      <c r="G68" s="13">
        <v>2581.5300000000002</v>
      </c>
      <c r="H68" s="61">
        <f t="shared" si="9"/>
        <v>25.892745900000001</v>
      </c>
      <c r="I68" s="13">
        <v>0</v>
      </c>
    </row>
    <row r="69" spans="1:9" ht="15.75" hidden="1" customHeight="1">
      <c r="A69" s="30"/>
      <c r="B69" s="77" t="s">
        <v>108</v>
      </c>
      <c r="C69" s="16" t="s">
        <v>32</v>
      </c>
      <c r="D69" s="14"/>
      <c r="E69" s="64">
        <v>6.6</v>
      </c>
      <c r="F69" s="13">
        <f>SUM(E69)</f>
        <v>6.6</v>
      </c>
      <c r="G69" s="13">
        <v>47.75</v>
      </c>
      <c r="H69" s="61">
        <f t="shared" si="9"/>
        <v>0.31514999999999999</v>
      </c>
      <c r="I69" s="13">
        <v>0</v>
      </c>
    </row>
    <row r="70" spans="1:9" ht="15.75" hidden="1" customHeight="1">
      <c r="A70" s="30"/>
      <c r="B70" s="77" t="s">
        <v>109</v>
      </c>
      <c r="C70" s="16" t="s">
        <v>32</v>
      </c>
      <c r="D70" s="14"/>
      <c r="E70" s="64">
        <v>6.6</v>
      </c>
      <c r="F70" s="13">
        <f>SUM(E70)</f>
        <v>6.6</v>
      </c>
      <c r="G70" s="13">
        <v>44.27</v>
      </c>
      <c r="H70" s="61">
        <f t="shared" si="9"/>
        <v>0.292182</v>
      </c>
      <c r="I70" s="13">
        <v>0</v>
      </c>
    </row>
    <row r="71" spans="1:9" ht="15.75" hidden="1" customHeight="1">
      <c r="A71" s="30">
        <v>19</v>
      </c>
      <c r="B71" s="14" t="s">
        <v>56</v>
      </c>
      <c r="C71" s="16" t="s">
        <v>57</v>
      </c>
      <c r="D71" s="14" t="s">
        <v>53</v>
      </c>
      <c r="E71" s="18">
        <v>3</v>
      </c>
      <c r="F71" s="65">
        <v>3</v>
      </c>
      <c r="G71" s="13">
        <v>62.07</v>
      </c>
      <c r="H71" s="61">
        <f t="shared" si="9"/>
        <v>0.18621000000000001</v>
      </c>
      <c r="I71" s="13">
        <f>F71*G71</f>
        <v>186.21</v>
      </c>
    </row>
    <row r="72" spans="1:9" ht="15.75" customHeight="1">
      <c r="A72" s="30">
        <v>15</v>
      </c>
      <c r="B72" s="133" t="s">
        <v>122</v>
      </c>
      <c r="C72" s="126" t="s">
        <v>123</v>
      </c>
      <c r="D72" s="133" t="s">
        <v>156</v>
      </c>
      <c r="E72" s="17">
        <v>1536.4</v>
      </c>
      <c r="F72" s="134">
        <f>E72*12</f>
        <v>18436.800000000003</v>
      </c>
      <c r="G72" s="34">
        <v>2.6</v>
      </c>
      <c r="H72" s="61">
        <f t="shared" si="9"/>
        <v>47.935680000000005</v>
      </c>
      <c r="I72" s="13">
        <f>F72/12*G72</f>
        <v>3994.6400000000008</v>
      </c>
    </row>
    <row r="73" spans="1:9" ht="15.75" customHeight="1">
      <c r="A73" s="30"/>
      <c r="B73" s="127" t="s">
        <v>69</v>
      </c>
      <c r="C73" s="16"/>
      <c r="D73" s="14"/>
      <c r="E73" s="18"/>
      <c r="F73" s="13"/>
      <c r="G73" s="13"/>
      <c r="H73" s="61" t="s">
        <v>114</v>
      </c>
      <c r="I73" s="13"/>
    </row>
    <row r="74" spans="1:9" ht="15.75" hidden="1" customHeight="1">
      <c r="A74" s="30"/>
      <c r="B74" s="14" t="s">
        <v>124</v>
      </c>
      <c r="C74" s="16" t="s">
        <v>125</v>
      </c>
      <c r="D74" s="14" t="s">
        <v>65</v>
      </c>
      <c r="E74" s="18">
        <v>1</v>
      </c>
      <c r="F74" s="13">
        <f>E74</f>
        <v>1</v>
      </c>
      <c r="G74" s="13">
        <v>976.4</v>
      </c>
      <c r="H74" s="61">
        <f t="shared" ref="H74:H75" si="10">SUM(F74*G74/1000)</f>
        <v>0.97639999999999993</v>
      </c>
      <c r="I74" s="13">
        <v>0</v>
      </c>
    </row>
    <row r="75" spans="1:9" ht="15.75" hidden="1" customHeight="1">
      <c r="A75" s="30"/>
      <c r="B75" s="14" t="s">
        <v>126</v>
      </c>
      <c r="C75" s="16" t="s">
        <v>127</v>
      </c>
      <c r="D75" s="14"/>
      <c r="E75" s="18">
        <v>1</v>
      </c>
      <c r="F75" s="13">
        <v>1</v>
      </c>
      <c r="G75" s="13">
        <v>650</v>
      </c>
      <c r="H75" s="61">
        <f t="shared" si="10"/>
        <v>0.65</v>
      </c>
      <c r="I75" s="13">
        <v>0</v>
      </c>
    </row>
    <row r="76" spans="1:9" ht="15.75" hidden="1" customHeight="1">
      <c r="A76" s="30"/>
      <c r="B76" s="14" t="s">
        <v>70</v>
      </c>
      <c r="C76" s="16" t="s">
        <v>72</v>
      </c>
      <c r="D76" s="14"/>
      <c r="E76" s="18">
        <v>3</v>
      </c>
      <c r="F76" s="13">
        <v>0.3</v>
      </c>
      <c r="G76" s="13">
        <v>624.16999999999996</v>
      </c>
      <c r="H76" s="61">
        <f t="shared" si="9"/>
        <v>0.18725099999999997</v>
      </c>
      <c r="I76" s="13">
        <v>0</v>
      </c>
    </row>
    <row r="77" spans="1:9" ht="15.75" hidden="1" customHeight="1">
      <c r="A77" s="30"/>
      <c r="B77" s="14" t="s">
        <v>71</v>
      </c>
      <c r="C77" s="16" t="s">
        <v>30</v>
      </c>
      <c r="D77" s="14"/>
      <c r="E77" s="18">
        <v>1</v>
      </c>
      <c r="F77" s="56">
        <v>1</v>
      </c>
      <c r="G77" s="13">
        <v>1061.4100000000001</v>
      </c>
      <c r="H77" s="61">
        <f>F77*G77/1000</f>
        <v>1.0614100000000002</v>
      </c>
      <c r="I77" s="13">
        <v>0</v>
      </c>
    </row>
    <row r="78" spans="1:9" ht="15.75" customHeight="1">
      <c r="A78" s="30">
        <v>16</v>
      </c>
      <c r="B78" s="46" t="s">
        <v>173</v>
      </c>
      <c r="C78" s="47" t="s">
        <v>102</v>
      </c>
      <c r="D78" s="133" t="s">
        <v>166</v>
      </c>
      <c r="E78" s="17">
        <v>2</v>
      </c>
      <c r="F78" s="34">
        <f>E78*12</f>
        <v>24</v>
      </c>
      <c r="G78" s="34">
        <v>420</v>
      </c>
      <c r="H78" s="61">
        <f>G78*F78/1000</f>
        <v>10.08</v>
      </c>
      <c r="I78" s="13">
        <f>G78*2</f>
        <v>840</v>
      </c>
    </row>
    <row r="79" spans="1:9" ht="28.5" customHeight="1">
      <c r="A79" s="30">
        <v>17</v>
      </c>
      <c r="B79" s="46" t="s">
        <v>174</v>
      </c>
      <c r="C79" s="47" t="s">
        <v>30</v>
      </c>
      <c r="D79" s="133" t="s">
        <v>166</v>
      </c>
      <c r="E79" s="17">
        <v>1</v>
      </c>
      <c r="F79" s="34">
        <f>E79*12</f>
        <v>12</v>
      </c>
      <c r="G79" s="34">
        <v>1829</v>
      </c>
      <c r="H79" s="61"/>
      <c r="I79" s="13">
        <f>G79*F79/12</f>
        <v>1829</v>
      </c>
    </row>
    <row r="80" spans="1:9" ht="15.75" hidden="1" customHeight="1">
      <c r="A80" s="30"/>
      <c r="B80" s="79" t="s">
        <v>73</v>
      </c>
      <c r="C80" s="16"/>
      <c r="D80" s="14"/>
      <c r="E80" s="18"/>
      <c r="F80" s="13"/>
      <c r="G80" s="13" t="s">
        <v>114</v>
      </c>
      <c r="H80" s="61" t="s">
        <v>114</v>
      </c>
      <c r="I80" s="13" t="str">
        <f>G80</f>
        <v xml:space="preserve"> </v>
      </c>
    </row>
    <row r="81" spans="1:9" ht="15.75" hidden="1" customHeight="1">
      <c r="A81" s="30"/>
      <c r="B81" s="43" t="s">
        <v>128</v>
      </c>
      <c r="C81" s="16" t="s">
        <v>74</v>
      </c>
      <c r="D81" s="14"/>
      <c r="E81" s="18"/>
      <c r="F81" s="13">
        <v>0.1</v>
      </c>
      <c r="G81" s="13">
        <v>3433.69</v>
      </c>
      <c r="H81" s="61">
        <f t="shared" si="9"/>
        <v>0.34336900000000004</v>
      </c>
      <c r="I81" s="13">
        <v>0</v>
      </c>
    </row>
    <row r="82" spans="1:9" ht="15.75" hidden="1" customHeight="1">
      <c r="A82" s="30"/>
      <c r="B82" s="55" t="s">
        <v>86</v>
      </c>
      <c r="C82" s="79"/>
      <c r="D82" s="31"/>
      <c r="E82" s="32"/>
      <c r="F82" s="68"/>
      <c r="G82" s="68"/>
      <c r="H82" s="80">
        <f>SUM(H58:H81)</f>
        <v>114.70783619000001</v>
      </c>
      <c r="I82" s="13"/>
    </row>
    <row r="83" spans="1:9" ht="15.75" hidden="1" customHeight="1">
      <c r="A83" s="30"/>
      <c r="B83" s="62" t="s">
        <v>110</v>
      </c>
      <c r="C83" s="16"/>
      <c r="D83" s="14"/>
      <c r="E83" s="57"/>
      <c r="F83" s="13">
        <v>1</v>
      </c>
      <c r="G83" s="35">
        <v>6105.8</v>
      </c>
      <c r="H83" s="61">
        <f>G83*F83/1000</f>
        <v>6.1058000000000003</v>
      </c>
      <c r="I83" s="13">
        <v>0</v>
      </c>
    </row>
    <row r="84" spans="1:9" ht="15.75" customHeight="1">
      <c r="A84" s="162" t="s">
        <v>134</v>
      </c>
      <c r="B84" s="163"/>
      <c r="C84" s="163"/>
      <c r="D84" s="163"/>
      <c r="E84" s="163"/>
      <c r="F84" s="163"/>
      <c r="G84" s="163"/>
      <c r="H84" s="163"/>
      <c r="I84" s="164"/>
    </row>
    <row r="85" spans="1:9" ht="15.75" customHeight="1">
      <c r="A85" s="30">
        <v>18</v>
      </c>
      <c r="B85" s="118" t="s">
        <v>111</v>
      </c>
      <c r="C85" s="125" t="s">
        <v>54</v>
      </c>
      <c r="D85" s="135"/>
      <c r="E85" s="34">
        <v>1536.4</v>
      </c>
      <c r="F85" s="34">
        <f>SUM(E85*12)</f>
        <v>18436.800000000003</v>
      </c>
      <c r="G85" s="34">
        <v>3.5</v>
      </c>
      <c r="H85" s="61">
        <f>SUM(F85*G85/1000)</f>
        <v>64.528800000000004</v>
      </c>
      <c r="I85" s="13">
        <f>F85/12*G85</f>
        <v>5377.4000000000015</v>
      </c>
    </row>
    <row r="86" spans="1:9" ht="31.5" customHeight="1">
      <c r="A86" s="30">
        <v>19</v>
      </c>
      <c r="B86" s="118" t="s">
        <v>175</v>
      </c>
      <c r="C86" s="125" t="s">
        <v>54</v>
      </c>
      <c r="D86" s="135"/>
      <c r="E86" s="34">
        <v>1536.4</v>
      </c>
      <c r="F86" s="34">
        <f>E86*12</f>
        <v>18436.800000000003</v>
      </c>
      <c r="G86" s="34">
        <v>3.2</v>
      </c>
      <c r="H86" s="61">
        <f>F86*G86/1000</f>
        <v>58.997760000000007</v>
      </c>
      <c r="I86" s="13">
        <f>F86/12*G86</f>
        <v>4916.4800000000014</v>
      </c>
    </row>
    <row r="87" spans="1:9" ht="31.5" hidden="1" customHeight="1">
      <c r="A87" s="30">
        <v>16</v>
      </c>
      <c r="B87" s="118" t="s">
        <v>176</v>
      </c>
      <c r="C87" s="125" t="s">
        <v>54</v>
      </c>
      <c r="D87" s="135"/>
      <c r="E87" s="34">
        <v>1536.4</v>
      </c>
      <c r="F87" s="34">
        <f>E87*1</f>
        <v>1536.4</v>
      </c>
      <c r="G87" s="34">
        <v>3.2</v>
      </c>
      <c r="H87" s="61"/>
      <c r="I87" s="13">
        <f>G87*F87/1</f>
        <v>4916.4800000000005</v>
      </c>
    </row>
    <row r="88" spans="1:9" ht="15.75" customHeight="1">
      <c r="A88" s="30"/>
      <c r="B88" s="36" t="s">
        <v>76</v>
      </c>
      <c r="C88" s="79"/>
      <c r="D88" s="78"/>
      <c r="E88" s="68"/>
      <c r="F88" s="68"/>
      <c r="G88" s="68"/>
      <c r="H88" s="80">
        <f>H86</f>
        <v>58.997760000000007</v>
      </c>
      <c r="I88" s="68">
        <f>I86+I85+I79+I78+I72+I62+I61+I58+I55+I44+I43+I42+I41+I40+I39+I38+I18+I17+I16</f>
        <v>32388.109371666669</v>
      </c>
    </row>
    <row r="89" spans="1:9" ht="15.75" customHeight="1">
      <c r="A89" s="174" t="s">
        <v>59</v>
      </c>
      <c r="B89" s="175"/>
      <c r="C89" s="175"/>
      <c r="D89" s="175"/>
      <c r="E89" s="175"/>
      <c r="F89" s="175"/>
      <c r="G89" s="175"/>
      <c r="H89" s="175"/>
      <c r="I89" s="176"/>
    </row>
    <row r="90" spans="1:9" ht="32.25" customHeight="1">
      <c r="A90" s="30">
        <v>20</v>
      </c>
      <c r="B90" s="109" t="s">
        <v>177</v>
      </c>
      <c r="C90" s="110" t="s">
        <v>38</v>
      </c>
      <c r="D90" s="100" t="s">
        <v>156</v>
      </c>
      <c r="E90" s="34"/>
      <c r="F90" s="34">
        <v>0.02</v>
      </c>
      <c r="G90" s="34">
        <v>4233.72</v>
      </c>
      <c r="H90" s="149"/>
      <c r="I90" s="152">
        <v>0</v>
      </c>
    </row>
    <row r="91" spans="1:9" ht="15.75" customHeight="1">
      <c r="A91" s="37">
        <v>21</v>
      </c>
      <c r="B91" s="109" t="s">
        <v>219</v>
      </c>
      <c r="C91" s="110" t="s">
        <v>220</v>
      </c>
      <c r="D91" s="100" t="s">
        <v>225</v>
      </c>
      <c r="E91" s="34"/>
      <c r="F91" s="34">
        <v>0.02</v>
      </c>
      <c r="G91" s="34">
        <v>17026.400000000001</v>
      </c>
      <c r="H91" s="149"/>
      <c r="I91" s="150">
        <f>G91*0.02</f>
        <v>340.52800000000002</v>
      </c>
    </row>
    <row r="92" spans="1:9" ht="15.75" customHeight="1">
      <c r="A92" s="37">
        <v>22</v>
      </c>
      <c r="B92" s="109" t="s">
        <v>221</v>
      </c>
      <c r="C92" s="110" t="s">
        <v>102</v>
      </c>
      <c r="D92" s="100"/>
      <c r="E92" s="34"/>
      <c r="F92" s="34">
        <v>1</v>
      </c>
      <c r="G92" s="34">
        <v>725.12</v>
      </c>
      <c r="H92" s="149"/>
      <c r="I92" s="150">
        <f>G92*1</f>
        <v>725.12</v>
      </c>
    </row>
    <row r="93" spans="1:9" ht="15.75" customHeight="1">
      <c r="A93" s="37">
        <v>23</v>
      </c>
      <c r="B93" s="109" t="s">
        <v>224</v>
      </c>
      <c r="C93" s="110" t="s">
        <v>29</v>
      </c>
      <c r="D93" s="100" t="s">
        <v>156</v>
      </c>
      <c r="E93" s="34"/>
      <c r="F93" s="34">
        <v>0.1</v>
      </c>
      <c r="G93" s="34">
        <v>898.48</v>
      </c>
      <c r="H93" s="149"/>
      <c r="I93" s="150">
        <v>0</v>
      </c>
    </row>
    <row r="94" spans="1:9" ht="15.75" customHeight="1">
      <c r="A94" s="30"/>
      <c r="B94" s="41" t="s">
        <v>51</v>
      </c>
      <c r="C94" s="37"/>
      <c r="D94" s="44"/>
      <c r="E94" s="37">
        <v>1</v>
      </c>
      <c r="F94" s="37"/>
      <c r="G94" s="37"/>
      <c r="H94" s="37"/>
      <c r="I94" s="32">
        <f>SUM(I90:I92)</f>
        <v>1065.6480000000001</v>
      </c>
    </row>
    <row r="95" spans="1:9" ht="15.75" customHeight="1">
      <c r="A95" s="30"/>
      <c r="B95" s="43" t="s">
        <v>75</v>
      </c>
      <c r="C95" s="15"/>
      <c r="D95" s="15"/>
      <c r="E95" s="38"/>
      <c r="F95" s="38"/>
      <c r="G95" s="39"/>
      <c r="H95" s="39"/>
      <c r="I95" s="17">
        <v>0</v>
      </c>
    </row>
    <row r="96" spans="1:9">
      <c r="A96" s="45"/>
      <c r="B96" s="42" t="s">
        <v>150</v>
      </c>
      <c r="C96" s="33"/>
      <c r="D96" s="33"/>
      <c r="E96" s="33"/>
      <c r="F96" s="33"/>
      <c r="G96" s="33"/>
      <c r="H96" s="33"/>
      <c r="I96" s="40">
        <f>I88+I94</f>
        <v>33453.757371666667</v>
      </c>
    </row>
    <row r="97" spans="1:9" ht="15.75">
      <c r="A97" s="182" t="s">
        <v>222</v>
      </c>
      <c r="B97" s="182"/>
      <c r="C97" s="182"/>
      <c r="D97" s="182"/>
      <c r="E97" s="182"/>
      <c r="F97" s="182"/>
      <c r="G97" s="182"/>
      <c r="H97" s="182"/>
      <c r="I97" s="182"/>
    </row>
    <row r="98" spans="1:9" ht="15.75" customHeight="1">
      <c r="A98" s="54"/>
      <c r="B98" s="183" t="s">
        <v>223</v>
      </c>
      <c r="C98" s="183"/>
      <c r="D98" s="183"/>
      <c r="E98" s="183"/>
      <c r="F98" s="183"/>
      <c r="G98" s="183"/>
      <c r="H98" s="60"/>
      <c r="I98" s="3"/>
    </row>
    <row r="99" spans="1:9">
      <c r="A99" s="90"/>
      <c r="B99" s="179" t="s">
        <v>6</v>
      </c>
      <c r="C99" s="179"/>
      <c r="D99" s="179"/>
      <c r="E99" s="179"/>
      <c r="F99" s="179"/>
      <c r="G99" s="179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4" t="s">
        <v>7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 customHeight="1">
      <c r="A102" s="184" t="s">
        <v>8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15.75">
      <c r="A103" s="171" t="s">
        <v>60</v>
      </c>
      <c r="B103" s="171"/>
      <c r="C103" s="171"/>
      <c r="D103" s="171"/>
      <c r="E103" s="171"/>
      <c r="F103" s="171"/>
      <c r="G103" s="171"/>
      <c r="H103" s="171"/>
      <c r="I103" s="171"/>
    </row>
    <row r="104" spans="1:9" ht="15.75">
      <c r="A104" s="11"/>
    </row>
    <row r="105" spans="1:9" ht="15.75">
      <c r="A105" s="177" t="s">
        <v>9</v>
      </c>
      <c r="B105" s="177"/>
      <c r="C105" s="177"/>
      <c r="D105" s="177"/>
      <c r="E105" s="177"/>
      <c r="F105" s="177"/>
      <c r="G105" s="177"/>
      <c r="H105" s="177"/>
      <c r="I105" s="177"/>
    </row>
    <row r="106" spans="1:9" ht="15.75">
      <c r="A106" s="4"/>
    </row>
    <row r="107" spans="1:9" ht="15.75">
      <c r="B107" s="87" t="s">
        <v>10</v>
      </c>
      <c r="C107" s="178" t="s">
        <v>189</v>
      </c>
      <c r="D107" s="178"/>
      <c r="E107" s="178"/>
      <c r="F107" s="58"/>
      <c r="I107" s="89"/>
    </row>
    <row r="108" spans="1:9">
      <c r="A108" s="90"/>
      <c r="C108" s="179" t="s">
        <v>11</v>
      </c>
      <c r="D108" s="179"/>
      <c r="E108" s="179"/>
      <c r="F108" s="25"/>
      <c r="I108" s="88" t="s">
        <v>12</v>
      </c>
    </row>
    <row r="109" spans="1:9" ht="15.75">
      <c r="A109" s="26"/>
      <c r="C109" s="12"/>
      <c r="D109" s="12"/>
      <c r="G109" s="12"/>
      <c r="H109" s="12"/>
    </row>
    <row r="110" spans="1:9" ht="15.75" customHeight="1">
      <c r="B110" s="87" t="s">
        <v>13</v>
      </c>
      <c r="C110" s="180"/>
      <c r="D110" s="180"/>
      <c r="E110" s="180"/>
      <c r="F110" s="59"/>
      <c r="I110" s="89"/>
    </row>
    <row r="111" spans="1:9" ht="15.75" customHeight="1">
      <c r="A111" s="90"/>
      <c r="C111" s="161" t="s">
        <v>11</v>
      </c>
      <c r="D111" s="161"/>
      <c r="E111" s="161"/>
      <c r="F111" s="90"/>
      <c r="I111" s="88" t="s">
        <v>12</v>
      </c>
    </row>
    <row r="112" spans="1:9" ht="15.75" customHeight="1">
      <c r="A112" s="4" t="s">
        <v>14</v>
      </c>
    </row>
    <row r="113" spans="1:9">
      <c r="A113" s="181" t="s">
        <v>15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45" customHeight="1">
      <c r="A114" s="173" t="s">
        <v>16</v>
      </c>
      <c r="B114" s="173"/>
      <c r="C114" s="173"/>
      <c r="D114" s="173"/>
      <c r="E114" s="173"/>
      <c r="F114" s="173"/>
      <c r="G114" s="173"/>
      <c r="H114" s="173"/>
      <c r="I114" s="173"/>
    </row>
    <row r="115" spans="1:9" ht="30" customHeight="1">
      <c r="A115" s="173" t="s">
        <v>17</v>
      </c>
      <c r="B115" s="173"/>
      <c r="C115" s="173"/>
      <c r="D115" s="173"/>
      <c r="E115" s="173"/>
      <c r="F115" s="173"/>
      <c r="G115" s="173"/>
      <c r="H115" s="173"/>
      <c r="I115" s="173"/>
    </row>
    <row r="116" spans="1:9" ht="30" customHeight="1">
      <c r="A116" s="173" t="s">
        <v>21</v>
      </c>
      <c r="B116" s="173"/>
      <c r="C116" s="173"/>
      <c r="D116" s="173"/>
      <c r="E116" s="173"/>
      <c r="F116" s="173"/>
      <c r="G116" s="173"/>
      <c r="H116" s="173"/>
      <c r="I116" s="173"/>
    </row>
    <row r="117" spans="1:9" ht="15" customHeight="1">
      <c r="A117" s="173" t="s">
        <v>20</v>
      </c>
      <c r="B117" s="173"/>
      <c r="C117" s="173"/>
      <c r="D117" s="173"/>
      <c r="E117" s="173"/>
      <c r="F117" s="173"/>
      <c r="G117" s="173"/>
      <c r="H117" s="173"/>
      <c r="I117" s="173"/>
    </row>
  </sheetData>
  <autoFilter ref="I12:I57"/>
  <mergeCells count="29">
    <mergeCell ref="A113:I113"/>
    <mergeCell ref="A114:I114"/>
    <mergeCell ref="A115:I115"/>
    <mergeCell ref="A116:I116"/>
    <mergeCell ref="A117:I117"/>
    <mergeCell ref="R62:U62"/>
    <mergeCell ref="C111:E111"/>
    <mergeCell ref="A89:I89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6:I56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4"/>
  <sheetViews>
    <sheetView topLeftCell="A79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140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226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83">
        <v>44316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216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156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si="0"/>
        <v>22.298535359999999</v>
      </c>
      <c r="I18" s="34">
        <f>F18/18*G18</f>
        <v>1238.8075200000001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90</v>
      </c>
      <c r="C20" s="63" t="s">
        <v>80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62" t="s">
        <v>147</v>
      </c>
      <c r="B29" s="163"/>
      <c r="C29" s="163"/>
      <c r="D29" s="163"/>
      <c r="E29" s="163"/>
      <c r="F29" s="163"/>
      <c r="G29" s="163"/>
      <c r="H29" s="163"/>
      <c r="I29" s="164"/>
      <c r="J29" s="24"/>
    </row>
    <row r="30" spans="1:13" ht="15.75" hidden="1" customHeight="1">
      <c r="A30" s="30"/>
      <c r="B30" s="81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8</v>
      </c>
      <c r="B31" s="62" t="s">
        <v>100</v>
      </c>
      <c r="C31" s="63" t="s">
        <v>83</v>
      </c>
      <c r="D31" s="62" t="s">
        <v>148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3">SUM(F31*G31/1000)</f>
        <v>0.62031605999999995</v>
      </c>
      <c r="I31" s="13">
        <f t="shared" ref="I31:I32" si="4">F31/6*G31</f>
        <v>103.38601</v>
      </c>
      <c r="J31" s="23"/>
      <c r="K31" s="8"/>
      <c r="L31" s="8"/>
      <c r="M31" s="8"/>
    </row>
    <row r="32" spans="1:13" ht="31.5" hidden="1" customHeight="1">
      <c r="A32" s="30">
        <v>9</v>
      </c>
      <c r="B32" s="62" t="s">
        <v>99</v>
      </c>
      <c r="C32" s="63" t="s">
        <v>83</v>
      </c>
      <c r="D32" s="62" t="s">
        <v>149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3"/>
        <v>0.88609918799999987</v>
      </c>
      <c r="I32" s="13">
        <f t="shared" si="4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83</v>
      </c>
      <c r="D33" s="62" t="s">
        <v>53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3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10</v>
      </c>
      <c r="B34" s="62" t="s">
        <v>98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3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63</v>
      </c>
      <c r="C35" s="63" t="s">
        <v>32</v>
      </c>
      <c r="D35" s="62" t="s">
        <v>65</v>
      </c>
      <c r="E35" s="64"/>
      <c r="F35" s="65">
        <v>1</v>
      </c>
      <c r="G35" s="65">
        <v>238.07</v>
      </c>
      <c r="H35" s="66">
        <f t="shared" si="3"/>
        <v>0.23807</v>
      </c>
      <c r="I35" s="13">
        <v>0</v>
      </c>
      <c r="J35" s="24"/>
    </row>
    <row r="36" spans="1:14" ht="15.75" hidden="1" customHeight="1">
      <c r="A36" s="30"/>
      <c r="B36" s="62" t="s">
        <v>64</v>
      </c>
      <c r="C36" s="63" t="s">
        <v>31</v>
      </c>
      <c r="D36" s="62" t="s">
        <v>65</v>
      </c>
      <c r="E36" s="64"/>
      <c r="F36" s="65">
        <v>1</v>
      </c>
      <c r="G36" s="65">
        <v>1413.96</v>
      </c>
      <c r="H36" s="66">
        <f t="shared" si="3"/>
        <v>1.4139600000000001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114</v>
      </c>
      <c r="I37" s="13"/>
      <c r="J37" s="24"/>
      <c r="L37" s="19"/>
      <c r="M37" s="20"/>
      <c r="N37" s="21"/>
    </row>
    <row r="38" spans="1:14" ht="18.75" customHeight="1">
      <c r="A38" s="30">
        <v>4</v>
      </c>
      <c r="B38" s="130" t="s">
        <v>26</v>
      </c>
      <c r="C38" s="119" t="s">
        <v>31</v>
      </c>
      <c r="D38" s="118" t="s">
        <v>227</v>
      </c>
      <c r="E38" s="123"/>
      <c r="F38" s="113">
        <v>3</v>
      </c>
      <c r="G38" s="113">
        <v>1930</v>
      </c>
      <c r="H38" s="66">
        <f t="shared" ref="H38:H43" si="5">SUM(F38*G38/1000)</f>
        <v>5.79</v>
      </c>
      <c r="I38" s="13">
        <f>G38*0.5</f>
        <v>965</v>
      </c>
      <c r="J38" s="24"/>
      <c r="L38" s="19"/>
      <c r="M38" s="20"/>
      <c r="N38" s="21"/>
    </row>
    <row r="39" spans="1:14" ht="31.5" customHeight="1">
      <c r="A39" s="30">
        <v>5</v>
      </c>
      <c r="B39" s="130" t="s">
        <v>115</v>
      </c>
      <c r="C39" s="131" t="s">
        <v>29</v>
      </c>
      <c r="D39" s="118" t="s">
        <v>163</v>
      </c>
      <c r="E39" s="123">
        <v>35.299999999999997</v>
      </c>
      <c r="F39" s="132">
        <f>E39*30/1000</f>
        <v>1.0589999999999999</v>
      </c>
      <c r="G39" s="113">
        <v>3134.93</v>
      </c>
      <c r="H39" s="66">
        <f t="shared" si="5"/>
        <v>3.3198908699999996</v>
      </c>
      <c r="I39" s="13">
        <f t="shared" ref="I39:I41" si="6">F39/6*G39</f>
        <v>553.31514499999992</v>
      </c>
      <c r="J39" s="24"/>
      <c r="L39" s="19"/>
      <c r="M39" s="20"/>
      <c r="N39" s="21"/>
    </row>
    <row r="40" spans="1:14" ht="15.75" customHeight="1">
      <c r="A40" s="30">
        <v>6</v>
      </c>
      <c r="B40" s="118" t="s">
        <v>116</v>
      </c>
      <c r="C40" s="119" t="s">
        <v>29</v>
      </c>
      <c r="D40" s="118" t="s">
        <v>171</v>
      </c>
      <c r="E40" s="123">
        <v>35.299999999999997</v>
      </c>
      <c r="F40" s="132">
        <f>SUM(E40*72/1000)</f>
        <v>2.5415999999999999</v>
      </c>
      <c r="G40" s="113">
        <v>522.92999999999995</v>
      </c>
      <c r="H40" s="66">
        <f t="shared" si="5"/>
        <v>1.3290788879999997</v>
      </c>
      <c r="I40" s="13">
        <f t="shared" si="6"/>
        <v>221.51314799999997</v>
      </c>
      <c r="J40" s="24"/>
      <c r="L40" s="19"/>
      <c r="M40" s="20"/>
      <c r="N40" s="21"/>
    </row>
    <row r="41" spans="1:14" ht="47.25" customHeight="1">
      <c r="A41" s="30">
        <v>7</v>
      </c>
      <c r="B41" s="118" t="s">
        <v>117</v>
      </c>
      <c r="C41" s="119" t="s">
        <v>83</v>
      </c>
      <c r="D41" s="118" t="s">
        <v>164</v>
      </c>
      <c r="E41" s="123">
        <v>35.299999999999997</v>
      </c>
      <c r="F41" s="132">
        <f>SUM(E41*24/1000)</f>
        <v>0.84719999999999995</v>
      </c>
      <c r="G41" s="113">
        <v>8652.07</v>
      </c>
      <c r="H41" s="66">
        <f t="shared" si="5"/>
        <v>7.3300337039999999</v>
      </c>
      <c r="I41" s="13">
        <f t="shared" si="6"/>
        <v>1221.672284</v>
      </c>
      <c r="J41" s="24"/>
      <c r="L41" s="19"/>
      <c r="M41" s="20"/>
      <c r="N41" s="21"/>
    </row>
    <row r="42" spans="1:14" ht="15.75" hidden="1" customHeight="1">
      <c r="A42" s="30">
        <v>9</v>
      </c>
      <c r="B42" s="118" t="s">
        <v>119</v>
      </c>
      <c r="C42" s="119" t="s">
        <v>83</v>
      </c>
      <c r="D42" s="118" t="s">
        <v>81</v>
      </c>
      <c r="E42" s="123">
        <v>35.299999999999997</v>
      </c>
      <c r="F42" s="132">
        <f>SUM(E42*30/1000)</f>
        <v>1.0589999999999999</v>
      </c>
      <c r="G42" s="113">
        <v>639.14</v>
      </c>
      <c r="H42" s="66">
        <f t="shared" si="5"/>
        <v>0.67684926000000001</v>
      </c>
      <c r="I42" s="13">
        <f>(F42/7.5*1.5)*G42</f>
        <v>135.36985199999998</v>
      </c>
      <c r="J42" s="24"/>
      <c r="L42" s="19"/>
      <c r="M42" s="20"/>
      <c r="N42" s="21"/>
    </row>
    <row r="43" spans="1:14" ht="15.75" hidden="1" customHeight="1">
      <c r="A43" s="30">
        <v>10</v>
      </c>
      <c r="B43" s="130" t="s">
        <v>67</v>
      </c>
      <c r="C43" s="131" t="s">
        <v>32</v>
      </c>
      <c r="D43" s="130"/>
      <c r="E43" s="120"/>
      <c r="F43" s="132">
        <v>0.3</v>
      </c>
      <c r="G43" s="132">
        <v>900</v>
      </c>
      <c r="H43" s="66">
        <f t="shared" si="5"/>
        <v>0.27</v>
      </c>
      <c r="I43" s="13">
        <f>(F43/7.5*1.5)*G43</f>
        <v>54</v>
      </c>
      <c r="J43" s="24"/>
      <c r="L43" s="19"/>
      <c r="M43" s="20"/>
      <c r="N43" s="21"/>
    </row>
    <row r="44" spans="1:14" ht="33.75" customHeight="1">
      <c r="A44" s="30">
        <v>8</v>
      </c>
      <c r="B44" s="136" t="s">
        <v>170</v>
      </c>
      <c r="C44" s="131" t="s">
        <v>29</v>
      </c>
      <c r="D44" s="130" t="s">
        <v>172</v>
      </c>
      <c r="E44" s="120">
        <v>1.2</v>
      </c>
      <c r="F44" s="132">
        <f>E44*12/1000</f>
        <v>1.4399999999999998E-2</v>
      </c>
      <c r="G44" s="132">
        <v>20547.34</v>
      </c>
      <c r="H44" s="56"/>
      <c r="I44" s="13">
        <f>G44*F44/6</f>
        <v>49.313615999999996</v>
      </c>
      <c r="J44" s="24"/>
      <c r="L44" s="19"/>
      <c r="M44" s="20"/>
      <c r="N44" s="21"/>
    </row>
    <row r="45" spans="1:14" ht="15.75" hidden="1" customHeight="1">
      <c r="A45" s="162" t="s">
        <v>132</v>
      </c>
      <c r="B45" s="163"/>
      <c r="C45" s="163"/>
      <c r="D45" s="163"/>
      <c r="E45" s="163"/>
      <c r="F45" s="163"/>
      <c r="G45" s="163"/>
      <c r="H45" s="163"/>
      <c r="I45" s="164"/>
      <c r="J45" s="24"/>
      <c r="L45" s="19"/>
      <c r="M45" s="20"/>
      <c r="N45" s="21"/>
    </row>
    <row r="46" spans="1:14" ht="32.25" hidden="1" customHeight="1">
      <c r="A46" s="30">
        <v>11</v>
      </c>
      <c r="B46" s="62" t="s">
        <v>101</v>
      </c>
      <c r="C46" s="63" t="s">
        <v>83</v>
      </c>
      <c r="D46" s="62" t="s">
        <v>42</v>
      </c>
      <c r="E46" s="64">
        <v>907.4</v>
      </c>
      <c r="F46" s="65">
        <f>SUM(E46*2/1000)</f>
        <v>1.8148</v>
      </c>
      <c r="G46" s="13">
        <v>1283.46</v>
      </c>
      <c r="H46" s="66">
        <f t="shared" ref="H46:H55" si="7">SUM(F46*G46/1000)</f>
        <v>2.3292232079999997</v>
      </c>
      <c r="I46" s="13">
        <f>F46/2*G46</f>
        <v>1164.6116039999999</v>
      </c>
      <c r="J46" s="24"/>
      <c r="L46" s="19"/>
      <c r="M46" s="20"/>
      <c r="N46" s="21"/>
    </row>
    <row r="47" spans="1:14" ht="29.25" hidden="1" customHeight="1">
      <c r="A47" s="30">
        <v>12</v>
      </c>
      <c r="B47" s="62" t="s">
        <v>35</v>
      </c>
      <c r="C47" s="63" t="s">
        <v>83</v>
      </c>
      <c r="D47" s="62" t="s">
        <v>42</v>
      </c>
      <c r="E47" s="64">
        <v>27</v>
      </c>
      <c r="F47" s="65">
        <f>SUM(E47*2/1000)</f>
        <v>5.3999999999999999E-2</v>
      </c>
      <c r="G47" s="13">
        <v>4192.6400000000003</v>
      </c>
      <c r="H47" s="66">
        <f t="shared" si="7"/>
        <v>0.22640256000000003</v>
      </c>
      <c r="I47" s="13">
        <f t="shared" ref="I47:I54" si="8">F47/2*G47</f>
        <v>113.20128000000001</v>
      </c>
      <c r="J47" s="24"/>
      <c r="L47" s="19"/>
      <c r="M47" s="20"/>
      <c r="N47" s="21"/>
    </row>
    <row r="48" spans="1:14" ht="29.25" hidden="1" customHeight="1">
      <c r="A48" s="30">
        <v>13</v>
      </c>
      <c r="B48" s="62" t="s">
        <v>36</v>
      </c>
      <c r="C48" s="63" t="s">
        <v>83</v>
      </c>
      <c r="D48" s="62" t="s">
        <v>42</v>
      </c>
      <c r="E48" s="64">
        <v>772</v>
      </c>
      <c r="F48" s="65">
        <f>SUM(E48*2/1000)</f>
        <v>1.544</v>
      </c>
      <c r="G48" s="13">
        <v>1711.28</v>
      </c>
      <c r="H48" s="66">
        <f t="shared" si="7"/>
        <v>2.6422163200000002</v>
      </c>
      <c r="I48" s="13">
        <f t="shared" si="8"/>
        <v>1321.10816</v>
      </c>
      <c r="J48" s="24"/>
      <c r="L48" s="19"/>
      <c r="M48" s="20"/>
      <c r="N48" s="21"/>
    </row>
    <row r="49" spans="1:22" ht="32.25" hidden="1" customHeight="1">
      <c r="A49" s="30">
        <v>14</v>
      </c>
      <c r="B49" s="62" t="s">
        <v>37</v>
      </c>
      <c r="C49" s="63" t="s">
        <v>83</v>
      </c>
      <c r="D49" s="62" t="s">
        <v>42</v>
      </c>
      <c r="E49" s="64">
        <v>959.4</v>
      </c>
      <c r="F49" s="65">
        <f>SUM(E49*2/1000)</f>
        <v>1.9188000000000001</v>
      </c>
      <c r="G49" s="13">
        <v>1179.73</v>
      </c>
      <c r="H49" s="66">
        <f t="shared" si="7"/>
        <v>2.2636659240000001</v>
      </c>
      <c r="I49" s="13">
        <f t="shared" si="8"/>
        <v>1131.832962</v>
      </c>
      <c r="J49" s="24"/>
      <c r="L49" s="19"/>
      <c r="M49" s="20"/>
      <c r="N49" s="21"/>
    </row>
    <row r="50" spans="1:22" ht="36" hidden="1" customHeight="1">
      <c r="A50" s="30">
        <v>15</v>
      </c>
      <c r="B50" s="62" t="s">
        <v>33</v>
      </c>
      <c r="C50" s="63" t="s">
        <v>34</v>
      </c>
      <c r="D50" s="62" t="s">
        <v>42</v>
      </c>
      <c r="E50" s="64">
        <v>66.02</v>
      </c>
      <c r="F50" s="65">
        <f>SUM(E50*2/100)</f>
        <v>1.3204</v>
      </c>
      <c r="G50" s="13">
        <v>90.61</v>
      </c>
      <c r="H50" s="66">
        <f t="shared" si="7"/>
        <v>0.11964144400000001</v>
      </c>
      <c r="I50" s="13">
        <f t="shared" si="8"/>
        <v>59.820722000000004</v>
      </c>
      <c r="J50" s="24"/>
      <c r="L50" s="19"/>
      <c r="M50" s="20"/>
      <c r="N50" s="21"/>
    </row>
    <row r="51" spans="1:22" ht="30.75" hidden="1" customHeight="1">
      <c r="A51" s="30">
        <v>12</v>
      </c>
      <c r="B51" s="62" t="s">
        <v>55</v>
      </c>
      <c r="C51" s="63" t="s">
        <v>83</v>
      </c>
      <c r="D51" s="62" t="s">
        <v>131</v>
      </c>
      <c r="E51" s="64">
        <v>1536.4</v>
      </c>
      <c r="F51" s="65">
        <f>SUM(E51*5/1000)</f>
        <v>7.6820000000000004</v>
      </c>
      <c r="G51" s="13">
        <v>1711.28</v>
      </c>
      <c r="H51" s="66">
        <f t="shared" si="7"/>
        <v>13.14605296</v>
      </c>
      <c r="I51" s="13">
        <f>F51/5*G51</f>
        <v>2629.2105919999999</v>
      </c>
      <c r="J51" s="24"/>
      <c r="L51" s="19"/>
      <c r="M51" s="20"/>
      <c r="N51" s="21"/>
    </row>
    <row r="52" spans="1:22" ht="33.75" hidden="1" customHeight="1">
      <c r="A52" s="30">
        <v>12</v>
      </c>
      <c r="B52" s="62" t="s">
        <v>84</v>
      </c>
      <c r="C52" s="63" t="s">
        <v>83</v>
      </c>
      <c r="D52" s="62" t="s">
        <v>42</v>
      </c>
      <c r="E52" s="64">
        <v>1536.4</v>
      </c>
      <c r="F52" s="65">
        <f>SUM(E52*2/1000)</f>
        <v>3.0728</v>
      </c>
      <c r="G52" s="13">
        <v>1510.06</v>
      </c>
      <c r="H52" s="66">
        <f t="shared" si="7"/>
        <v>4.6401123680000005</v>
      </c>
      <c r="I52" s="13">
        <f t="shared" si="8"/>
        <v>2320.056184</v>
      </c>
      <c r="J52" s="24"/>
      <c r="L52" s="19"/>
      <c r="M52" s="20"/>
      <c r="N52" s="21"/>
    </row>
    <row r="53" spans="1:22" ht="29.25" hidden="1" customHeight="1">
      <c r="A53" s="30">
        <v>13</v>
      </c>
      <c r="B53" s="62" t="s">
        <v>85</v>
      </c>
      <c r="C53" s="63" t="s">
        <v>38</v>
      </c>
      <c r="D53" s="62" t="s">
        <v>42</v>
      </c>
      <c r="E53" s="64">
        <v>9</v>
      </c>
      <c r="F53" s="65">
        <f>SUM(E53*2/100)</f>
        <v>0.18</v>
      </c>
      <c r="G53" s="13">
        <v>3850.4</v>
      </c>
      <c r="H53" s="66">
        <f t="shared" si="7"/>
        <v>0.69307200000000002</v>
      </c>
      <c r="I53" s="13">
        <f t="shared" si="8"/>
        <v>346.536</v>
      </c>
      <c r="J53" s="24"/>
      <c r="L53" s="19"/>
      <c r="M53" s="20"/>
      <c r="N53" s="21"/>
    </row>
    <row r="54" spans="1:22" ht="21.75" hidden="1" customHeight="1">
      <c r="A54" s="30">
        <v>14</v>
      </c>
      <c r="B54" s="62" t="s">
        <v>39</v>
      </c>
      <c r="C54" s="63" t="s">
        <v>40</v>
      </c>
      <c r="D54" s="62" t="s">
        <v>42</v>
      </c>
      <c r="E54" s="64">
        <v>1</v>
      </c>
      <c r="F54" s="65">
        <v>0.02</v>
      </c>
      <c r="G54" s="13">
        <v>7033.13</v>
      </c>
      <c r="H54" s="66">
        <f t="shared" si="7"/>
        <v>0.1406626</v>
      </c>
      <c r="I54" s="13">
        <f t="shared" si="8"/>
        <v>70.331299999999999</v>
      </c>
      <c r="J54" s="24"/>
      <c r="L54" s="19"/>
      <c r="M54" s="20"/>
      <c r="N54" s="21"/>
    </row>
    <row r="55" spans="1:22" ht="27.75" hidden="1" customHeight="1">
      <c r="A55" s="30">
        <v>13</v>
      </c>
      <c r="B55" s="62" t="s">
        <v>41</v>
      </c>
      <c r="C55" s="63" t="s">
        <v>102</v>
      </c>
      <c r="D55" s="62" t="s">
        <v>68</v>
      </c>
      <c r="E55" s="64">
        <v>53</v>
      </c>
      <c r="F55" s="65">
        <f>53*3</f>
        <v>159</v>
      </c>
      <c r="G55" s="13">
        <v>81.73</v>
      </c>
      <c r="H55" s="66">
        <f t="shared" si="7"/>
        <v>12.995070000000002</v>
      </c>
      <c r="I55" s="13">
        <f>F55/3*G55</f>
        <v>4331.6900000000005</v>
      </c>
      <c r="J55" s="24"/>
      <c r="L55" s="19"/>
    </row>
    <row r="56" spans="1:22" ht="15.75" customHeight="1">
      <c r="A56" s="162" t="s">
        <v>138</v>
      </c>
      <c r="B56" s="163"/>
      <c r="C56" s="163"/>
      <c r="D56" s="163"/>
      <c r="E56" s="163"/>
      <c r="F56" s="163"/>
      <c r="G56" s="163"/>
      <c r="H56" s="163"/>
      <c r="I56" s="164"/>
    </row>
    <row r="57" spans="1:22" ht="15.75" hidden="1" customHeight="1">
      <c r="A57" s="30"/>
      <c r="B57" s="81" t="s">
        <v>43</v>
      </c>
      <c r="C57" s="63"/>
      <c r="D57" s="62"/>
      <c r="E57" s="64"/>
      <c r="F57" s="65"/>
      <c r="G57" s="65"/>
      <c r="H57" s="66"/>
      <c r="I57" s="13"/>
    </row>
    <row r="58" spans="1:22" ht="31.5" hidden="1" customHeight="1">
      <c r="A58" s="30">
        <v>12</v>
      </c>
      <c r="B58" s="62" t="s">
        <v>103</v>
      </c>
      <c r="C58" s="63" t="s">
        <v>80</v>
      </c>
      <c r="D58" s="62" t="s">
        <v>104</v>
      </c>
      <c r="E58" s="64">
        <v>11.5</v>
      </c>
      <c r="F58" s="65">
        <f>SUM(E58*6/100)</f>
        <v>0.69</v>
      </c>
      <c r="G58" s="13">
        <v>2306.62</v>
      </c>
      <c r="H58" s="66">
        <f>SUM(F58*G58/1000)</f>
        <v>1.5915677999999998</v>
      </c>
      <c r="I58" s="13">
        <f>F58/6*G58</f>
        <v>265.26129999999995</v>
      </c>
    </row>
    <row r="59" spans="1:22" ht="15.75" hidden="1" customHeight="1">
      <c r="A59" s="30"/>
      <c r="B59" s="62" t="s">
        <v>120</v>
      </c>
      <c r="C59" s="63" t="s">
        <v>121</v>
      </c>
      <c r="D59" s="62" t="s">
        <v>65</v>
      </c>
      <c r="E59" s="64"/>
      <c r="F59" s="65">
        <v>2</v>
      </c>
      <c r="G59" s="84">
        <v>1501</v>
      </c>
      <c r="H59" s="66">
        <f>SUM(F59*G59/1000)</f>
        <v>3.0019999999999998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/>
      <c r="B60" s="81" t="s">
        <v>44</v>
      </c>
      <c r="C60" s="63"/>
      <c r="D60" s="62"/>
      <c r="E60" s="64"/>
      <c r="F60" s="65"/>
      <c r="G60" s="85"/>
      <c r="H60" s="66"/>
      <c r="I60" s="13"/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105</v>
      </c>
      <c r="C61" s="63" t="s">
        <v>80</v>
      </c>
      <c r="D61" s="62" t="s">
        <v>53</v>
      </c>
      <c r="E61" s="64">
        <v>148</v>
      </c>
      <c r="F61" s="66">
        <f>E61/100</f>
        <v>1.48</v>
      </c>
      <c r="G61" s="13">
        <v>987.51</v>
      </c>
      <c r="H61" s="71">
        <f>F61*G61/1000</f>
        <v>1.4615148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9</v>
      </c>
      <c r="B62" s="73" t="s">
        <v>129</v>
      </c>
      <c r="C62" s="72" t="s">
        <v>25</v>
      </c>
      <c r="D62" s="73" t="s">
        <v>156</v>
      </c>
      <c r="E62" s="74">
        <v>140.5</v>
      </c>
      <c r="F62" s="65">
        <f>E62*12</f>
        <v>1686</v>
      </c>
      <c r="G62" s="86">
        <v>1.4</v>
      </c>
      <c r="H62" s="71">
        <f>F62*G62/1000</f>
        <v>2.3603999999999998</v>
      </c>
      <c r="I62" s="13">
        <f>1320/12*G62</f>
        <v>154</v>
      </c>
      <c r="J62" s="5"/>
      <c r="K62" s="5"/>
      <c r="L62" s="5"/>
      <c r="M62" s="5"/>
      <c r="N62" s="5"/>
      <c r="O62" s="5"/>
      <c r="P62" s="5"/>
      <c r="Q62" s="5"/>
      <c r="R62" s="161"/>
      <c r="S62" s="161"/>
      <c r="T62" s="161"/>
      <c r="U62" s="161"/>
    </row>
    <row r="63" spans="1:22" ht="15.75" customHeight="1">
      <c r="A63" s="30"/>
      <c r="B63" s="82" t="s">
        <v>45</v>
      </c>
      <c r="C63" s="72"/>
      <c r="D63" s="73"/>
      <c r="E63" s="74"/>
      <c r="F63" s="75"/>
      <c r="G63" s="75"/>
      <c r="H63" s="76" t="s">
        <v>114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16</v>
      </c>
      <c r="B64" s="14" t="s">
        <v>46</v>
      </c>
      <c r="C64" s="16" t="s">
        <v>102</v>
      </c>
      <c r="D64" s="14" t="s">
        <v>65</v>
      </c>
      <c r="E64" s="18">
        <v>2</v>
      </c>
      <c r="F64" s="65">
        <f>E64</f>
        <v>2</v>
      </c>
      <c r="G64" s="13">
        <v>276.74</v>
      </c>
      <c r="H64" s="61">
        <f t="shared" ref="H64:H81" si="9">SUM(F64*G64/1000)</f>
        <v>0.55347999999999997</v>
      </c>
      <c r="I64" s="13">
        <f>G64</f>
        <v>276.74</v>
      </c>
    </row>
    <row r="65" spans="1:9" ht="15.75" hidden="1" customHeight="1">
      <c r="A65" s="30"/>
      <c r="B65" s="14" t="s">
        <v>47</v>
      </c>
      <c r="C65" s="16" t="s">
        <v>102</v>
      </c>
      <c r="D65" s="14" t="s">
        <v>65</v>
      </c>
      <c r="E65" s="18">
        <v>1</v>
      </c>
      <c r="F65" s="65">
        <f>E65</f>
        <v>1</v>
      </c>
      <c r="G65" s="13">
        <v>94.89</v>
      </c>
      <c r="H65" s="61">
        <f t="shared" si="9"/>
        <v>9.4890000000000002E-2</v>
      </c>
      <c r="I65" s="13">
        <v>0</v>
      </c>
    </row>
    <row r="66" spans="1:9" ht="15.75" hidden="1" customHeight="1">
      <c r="A66" s="30"/>
      <c r="B66" s="14" t="s">
        <v>48</v>
      </c>
      <c r="C66" s="16" t="s">
        <v>106</v>
      </c>
      <c r="D66" s="14" t="s">
        <v>53</v>
      </c>
      <c r="E66" s="64">
        <v>6307</v>
      </c>
      <c r="F66" s="13">
        <f>SUM(E66/100)</f>
        <v>63.07</v>
      </c>
      <c r="G66" s="13">
        <v>263.99</v>
      </c>
      <c r="H66" s="61">
        <f t="shared" si="9"/>
        <v>16.649849300000003</v>
      </c>
      <c r="I66" s="13">
        <v>0</v>
      </c>
    </row>
    <row r="67" spans="1:9" ht="15.75" hidden="1" customHeight="1">
      <c r="A67" s="30"/>
      <c r="B67" s="14" t="s">
        <v>49</v>
      </c>
      <c r="C67" s="16" t="s">
        <v>107</v>
      </c>
      <c r="D67" s="14"/>
      <c r="E67" s="64">
        <v>6307</v>
      </c>
      <c r="F67" s="13">
        <f>SUM(E67/1000)</f>
        <v>6.3070000000000004</v>
      </c>
      <c r="G67" s="13">
        <v>205.57</v>
      </c>
      <c r="H67" s="61">
        <f t="shared" si="9"/>
        <v>1.29652999</v>
      </c>
      <c r="I67" s="13">
        <v>0</v>
      </c>
    </row>
    <row r="68" spans="1:9" ht="15.75" hidden="1" customHeight="1">
      <c r="A68" s="30"/>
      <c r="B68" s="14" t="s">
        <v>50</v>
      </c>
      <c r="C68" s="16" t="s">
        <v>74</v>
      </c>
      <c r="D68" s="14" t="s">
        <v>53</v>
      </c>
      <c r="E68" s="64">
        <v>1003</v>
      </c>
      <c r="F68" s="13">
        <f>SUM(E68/100)</f>
        <v>10.029999999999999</v>
      </c>
      <c r="G68" s="13">
        <v>2581.5300000000002</v>
      </c>
      <c r="H68" s="61">
        <f t="shared" si="9"/>
        <v>25.892745900000001</v>
      </c>
      <c r="I68" s="13">
        <v>0</v>
      </c>
    </row>
    <row r="69" spans="1:9" ht="15.75" hidden="1" customHeight="1">
      <c r="A69" s="30"/>
      <c r="B69" s="77" t="s">
        <v>108</v>
      </c>
      <c r="C69" s="16" t="s">
        <v>32</v>
      </c>
      <c r="D69" s="14"/>
      <c r="E69" s="64">
        <v>6.6</v>
      </c>
      <c r="F69" s="13">
        <f>SUM(E69)</f>
        <v>6.6</v>
      </c>
      <c r="G69" s="13">
        <v>47.75</v>
      </c>
      <c r="H69" s="61">
        <f t="shared" si="9"/>
        <v>0.31514999999999999</v>
      </c>
      <c r="I69" s="13">
        <v>0</v>
      </c>
    </row>
    <row r="70" spans="1:9" ht="15.75" hidden="1" customHeight="1">
      <c r="A70" s="30"/>
      <c r="B70" s="77" t="s">
        <v>109</v>
      </c>
      <c r="C70" s="16" t="s">
        <v>32</v>
      </c>
      <c r="D70" s="14"/>
      <c r="E70" s="64">
        <v>6.6</v>
      </c>
      <c r="F70" s="13">
        <f>SUM(E70)</f>
        <v>6.6</v>
      </c>
      <c r="G70" s="13">
        <v>44.27</v>
      </c>
      <c r="H70" s="61">
        <f t="shared" si="9"/>
        <v>0.292182</v>
      </c>
      <c r="I70" s="13">
        <v>0</v>
      </c>
    </row>
    <row r="71" spans="1:9" ht="15.75" hidden="1" customHeight="1">
      <c r="A71" s="30">
        <v>19</v>
      </c>
      <c r="B71" s="14" t="s">
        <v>56</v>
      </c>
      <c r="C71" s="16" t="s">
        <v>57</v>
      </c>
      <c r="D71" s="14" t="s">
        <v>53</v>
      </c>
      <c r="E71" s="18">
        <v>3</v>
      </c>
      <c r="F71" s="65">
        <v>3</v>
      </c>
      <c r="G71" s="13">
        <v>62.07</v>
      </c>
      <c r="H71" s="61">
        <f t="shared" si="9"/>
        <v>0.18621000000000001</v>
      </c>
      <c r="I71" s="13">
        <f>F71*G71</f>
        <v>186.21</v>
      </c>
    </row>
    <row r="72" spans="1:9" ht="19.5" customHeight="1">
      <c r="A72" s="30">
        <v>10</v>
      </c>
      <c r="B72" s="133" t="s">
        <v>122</v>
      </c>
      <c r="C72" s="126" t="s">
        <v>123</v>
      </c>
      <c r="D72" s="133" t="s">
        <v>156</v>
      </c>
      <c r="E72" s="17">
        <v>1536.4</v>
      </c>
      <c r="F72" s="134">
        <f>E72*12</f>
        <v>18436.800000000003</v>
      </c>
      <c r="G72" s="34">
        <v>2.6</v>
      </c>
      <c r="H72" s="61">
        <f t="shared" si="9"/>
        <v>47.935680000000005</v>
      </c>
      <c r="I72" s="13">
        <f>F72/12*G72</f>
        <v>3994.6400000000008</v>
      </c>
    </row>
    <row r="73" spans="1:9" ht="15.75" customHeight="1">
      <c r="A73" s="30"/>
      <c r="B73" s="92" t="s">
        <v>69</v>
      </c>
      <c r="C73" s="16"/>
      <c r="D73" s="14"/>
      <c r="E73" s="18"/>
      <c r="F73" s="13"/>
      <c r="G73" s="13"/>
      <c r="H73" s="61" t="s">
        <v>114</v>
      </c>
      <c r="I73" s="13"/>
    </row>
    <row r="74" spans="1:9" ht="15.75" hidden="1" customHeight="1">
      <c r="A74" s="30"/>
      <c r="B74" s="14" t="s">
        <v>124</v>
      </c>
      <c r="C74" s="16" t="s">
        <v>125</v>
      </c>
      <c r="D74" s="14" t="s">
        <v>65</v>
      </c>
      <c r="E74" s="18">
        <v>1</v>
      </c>
      <c r="F74" s="13">
        <f>E74</f>
        <v>1</v>
      </c>
      <c r="G74" s="13">
        <v>976.4</v>
      </c>
      <c r="H74" s="61">
        <f t="shared" ref="H74:H75" si="10">SUM(F74*G74/1000)</f>
        <v>0.97639999999999993</v>
      </c>
      <c r="I74" s="13">
        <v>0</v>
      </c>
    </row>
    <row r="75" spans="1:9" ht="15.75" hidden="1" customHeight="1">
      <c r="A75" s="30"/>
      <c r="B75" s="14" t="s">
        <v>126</v>
      </c>
      <c r="C75" s="16" t="s">
        <v>127</v>
      </c>
      <c r="D75" s="14"/>
      <c r="E75" s="18">
        <v>1</v>
      </c>
      <c r="F75" s="13">
        <v>1</v>
      </c>
      <c r="G75" s="13">
        <v>650</v>
      </c>
      <c r="H75" s="61">
        <f t="shared" si="10"/>
        <v>0.65</v>
      </c>
      <c r="I75" s="13">
        <v>0</v>
      </c>
    </row>
    <row r="76" spans="1:9" ht="15.75" hidden="1" customHeight="1">
      <c r="A76" s="30"/>
      <c r="B76" s="14" t="s">
        <v>70</v>
      </c>
      <c r="C76" s="16" t="s">
        <v>72</v>
      </c>
      <c r="D76" s="14"/>
      <c r="E76" s="18">
        <v>3</v>
      </c>
      <c r="F76" s="13">
        <v>0.3</v>
      </c>
      <c r="G76" s="13">
        <v>624.16999999999996</v>
      </c>
      <c r="H76" s="61">
        <f t="shared" si="9"/>
        <v>0.18725099999999997</v>
      </c>
      <c r="I76" s="13">
        <v>0</v>
      </c>
    </row>
    <row r="77" spans="1:9" ht="15.75" hidden="1" customHeight="1">
      <c r="A77" s="30"/>
      <c r="B77" s="14" t="s">
        <v>71</v>
      </c>
      <c r="C77" s="16" t="s">
        <v>30</v>
      </c>
      <c r="D77" s="14"/>
      <c r="E77" s="18">
        <v>1</v>
      </c>
      <c r="F77" s="56">
        <v>1</v>
      </c>
      <c r="G77" s="13">
        <v>1061.4100000000001</v>
      </c>
      <c r="H77" s="61">
        <f>F77*G77/1000</f>
        <v>1.0614100000000002</v>
      </c>
      <c r="I77" s="13">
        <v>0</v>
      </c>
    </row>
    <row r="78" spans="1:9" ht="15.75" customHeight="1">
      <c r="A78" s="30">
        <v>11</v>
      </c>
      <c r="B78" s="46" t="s">
        <v>173</v>
      </c>
      <c r="C78" s="47" t="s">
        <v>102</v>
      </c>
      <c r="D78" s="133" t="s">
        <v>166</v>
      </c>
      <c r="E78" s="17">
        <v>2</v>
      </c>
      <c r="F78" s="34">
        <f>E78*12</f>
        <v>24</v>
      </c>
      <c r="G78" s="34">
        <v>420</v>
      </c>
      <c r="H78" s="61">
        <f>G78*F78/1000</f>
        <v>10.08</v>
      </c>
      <c r="I78" s="13">
        <f>G78*2</f>
        <v>840</v>
      </c>
    </row>
    <row r="79" spans="1:9" ht="29.25" customHeight="1">
      <c r="A79" s="30">
        <v>12</v>
      </c>
      <c r="B79" s="46" t="s">
        <v>174</v>
      </c>
      <c r="C79" s="47" t="s">
        <v>30</v>
      </c>
      <c r="D79" s="133" t="s">
        <v>166</v>
      </c>
      <c r="E79" s="17">
        <v>1</v>
      </c>
      <c r="F79" s="34">
        <f>E79*12</f>
        <v>12</v>
      </c>
      <c r="G79" s="34">
        <v>1829</v>
      </c>
      <c r="H79" s="61"/>
      <c r="I79" s="13">
        <f>G79*F79/12</f>
        <v>1829</v>
      </c>
    </row>
    <row r="80" spans="1:9" ht="15.75" hidden="1" customHeight="1">
      <c r="A80" s="30"/>
      <c r="B80" s="79" t="s">
        <v>73</v>
      </c>
      <c r="C80" s="16"/>
      <c r="D80" s="14"/>
      <c r="E80" s="18"/>
      <c r="F80" s="13"/>
      <c r="G80" s="13" t="s">
        <v>114</v>
      </c>
      <c r="H80" s="61" t="s">
        <v>114</v>
      </c>
      <c r="I80" s="13" t="str">
        <f>G80</f>
        <v xml:space="preserve"> </v>
      </c>
    </row>
    <row r="81" spans="1:9" ht="15.75" hidden="1" customHeight="1">
      <c r="A81" s="30"/>
      <c r="B81" s="43" t="s">
        <v>128</v>
      </c>
      <c r="C81" s="16" t="s">
        <v>74</v>
      </c>
      <c r="D81" s="14"/>
      <c r="E81" s="18"/>
      <c r="F81" s="13">
        <v>0.1</v>
      </c>
      <c r="G81" s="13">
        <v>3433.69</v>
      </c>
      <c r="H81" s="61">
        <f t="shared" si="9"/>
        <v>0.34336900000000004</v>
      </c>
      <c r="I81" s="13">
        <v>0</v>
      </c>
    </row>
    <row r="82" spans="1:9" ht="15.75" hidden="1" customHeight="1">
      <c r="A82" s="30"/>
      <c r="B82" s="55" t="s">
        <v>86</v>
      </c>
      <c r="C82" s="79"/>
      <c r="D82" s="31"/>
      <c r="E82" s="32"/>
      <c r="F82" s="68"/>
      <c r="G82" s="68"/>
      <c r="H82" s="80">
        <f>SUM(H58:H81)</f>
        <v>114.93062979000001</v>
      </c>
      <c r="I82" s="13"/>
    </row>
    <row r="83" spans="1:9" ht="15.75" hidden="1" customHeight="1">
      <c r="A83" s="30"/>
      <c r="B83" s="62" t="s">
        <v>110</v>
      </c>
      <c r="C83" s="16"/>
      <c r="D83" s="14"/>
      <c r="E83" s="57"/>
      <c r="F83" s="13">
        <v>1</v>
      </c>
      <c r="G83" s="35">
        <v>6105.8</v>
      </c>
      <c r="H83" s="61">
        <f>G83*F83/1000</f>
        <v>6.1058000000000003</v>
      </c>
      <c r="I83" s="13">
        <v>0</v>
      </c>
    </row>
    <row r="84" spans="1:9" ht="15.75" customHeight="1">
      <c r="A84" s="162" t="s">
        <v>139</v>
      </c>
      <c r="B84" s="163"/>
      <c r="C84" s="163"/>
      <c r="D84" s="163"/>
      <c r="E84" s="163"/>
      <c r="F84" s="163"/>
      <c r="G84" s="163"/>
      <c r="H84" s="163"/>
      <c r="I84" s="164"/>
    </row>
    <row r="85" spans="1:9" ht="15.75" customHeight="1">
      <c r="A85" s="30">
        <v>13</v>
      </c>
      <c r="B85" s="118" t="s">
        <v>111</v>
      </c>
      <c r="C85" s="125" t="s">
        <v>54</v>
      </c>
      <c r="D85" s="135"/>
      <c r="E85" s="34">
        <v>1536.4</v>
      </c>
      <c r="F85" s="34">
        <f>SUM(E85*12)</f>
        <v>18436.800000000003</v>
      </c>
      <c r="G85" s="34">
        <v>3.5</v>
      </c>
      <c r="H85" s="61">
        <f>SUM(F85*G85/1000)</f>
        <v>64.528800000000004</v>
      </c>
      <c r="I85" s="13">
        <f>F85/12*G85</f>
        <v>5377.4000000000015</v>
      </c>
    </row>
    <row r="86" spans="1:9" ht="31.5" customHeight="1">
      <c r="A86" s="30">
        <v>14</v>
      </c>
      <c r="B86" s="118" t="s">
        <v>175</v>
      </c>
      <c r="C86" s="125" t="s">
        <v>54</v>
      </c>
      <c r="D86" s="135"/>
      <c r="E86" s="34">
        <v>1536.4</v>
      </c>
      <c r="F86" s="34">
        <f>E86*12</f>
        <v>18436.800000000003</v>
      </c>
      <c r="G86" s="34">
        <v>3.2</v>
      </c>
      <c r="H86" s="61">
        <f>F86*G86/1000</f>
        <v>58.997760000000007</v>
      </c>
      <c r="I86" s="13">
        <f>F86/12*G86</f>
        <v>4916.4800000000014</v>
      </c>
    </row>
    <row r="87" spans="1:9" ht="15.75" customHeight="1">
      <c r="A87" s="30"/>
      <c r="B87" s="36" t="s">
        <v>76</v>
      </c>
      <c r="C87" s="79"/>
      <c r="D87" s="78"/>
      <c r="E87" s="68"/>
      <c r="F87" s="68"/>
      <c r="G87" s="68"/>
      <c r="H87" s="80">
        <f>H86</f>
        <v>58.997760000000007</v>
      </c>
      <c r="I87" s="68">
        <f>I86+I85+I79+I78+I72+I62+I44+I41+I40+I39+I38+I18+I17+I16</f>
        <v>25715.068563000001</v>
      </c>
    </row>
    <row r="88" spans="1:9" ht="15.75" customHeight="1">
      <c r="A88" s="174" t="s">
        <v>59</v>
      </c>
      <c r="B88" s="175"/>
      <c r="C88" s="175"/>
      <c r="D88" s="175"/>
      <c r="E88" s="175"/>
      <c r="F88" s="175"/>
      <c r="G88" s="175"/>
      <c r="H88" s="175"/>
      <c r="I88" s="176"/>
    </row>
    <row r="89" spans="1:9" ht="37.5" customHeight="1">
      <c r="A89" s="139">
        <v>15</v>
      </c>
      <c r="B89" s="109" t="s">
        <v>181</v>
      </c>
      <c r="C89" s="110" t="s">
        <v>182</v>
      </c>
      <c r="D89" s="100" t="s">
        <v>230</v>
      </c>
      <c r="E89" s="34"/>
      <c r="F89" s="34">
        <v>1.4</v>
      </c>
      <c r="G89" s="34">
        <v>5273.1</v>
      </c>
      <c r="H89" s="156"/>
      <c r="I89" s="138">
        <f>G89*1.4</f>
        <v>7382.34</v>
      </c>
    </row>
    <row r="90" spans="1:9" ht="20.25" customHeight="1">
      <c r="A90" s="139">
        <v>16</v>
      </c>
      <c r="B90" s="109" t="s">
        <v>228</v>
      </c>
      <c r="C90" s="110" t="s">
        <v>102</v>
      </c>
      <c r="D90" s="100" t="s">
        <v>229</v>
      </c>
      <c r="E90" s="34"/>
      <c r="F90" s="34">
        <v>4.5</v>
      </c>
      <c r="G90" s="34">
        <v>420</v>
      </c>
      <c r="H90" s="156"/>
      <c r="I90" s="138">
        <f>G90*4.5</f>
        <v>1890</v>
      </c>
    </row>
    <row r="91" spans="1:9" ht="15.75" customHeight="1">
      <c r="A91" s="30"/>
      <c r="B91" s="41" t="s">
        <v>51</v>
      </c>
      <c r="C91" s="37"/>
      <c r="D91" s="44"/>
      <c r="E91" s="37">
        <v>1</v>
      </c>
      <c r="F91" s="37"/>
      <c r="G91" s="37"/>
      <c r="H91" s="37"/>
      <c r="I91" s="32">
        <f>SUM(I89:I90)</f>
        <v>9272.34</v>
      </c>
    </row>
    <row r="92" spans="1:9" ht="15.75" customHeight="1">
      <c r="A92" s="30"/>
      <c r="B92" s="43" t="s">
        <v>75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150</v>
      </c>
      <c r="C93" s="33"/>
      <c r="D93" s="33"/>
      <c r="E93" s="33"/>
      <c r="F93" s="33"/>
      <c r="G93" s="33"/>
      <c r="H93" s="33"/>
      <c r="I93" s="40">
        <f>I87+I91</f>
        <v>34987.408563000005</v>
      </c>
    </row>
    <row r="94" spans="1:9" ht="15.75">
      <c r="A94" s="182" t="s">
        <v>231</v>
      </c>
      <c r="B94" s="182"/>
      <c r="C94" s="182"/>
      <c r="D94" s="182"/>
      <c r="E94" s="182"/>
      <c r="F94" s="182"/>
      <c r="G94" s="182"/>
      <c r="H94" s="182"/>
      <c r="I94" s="182"/>
    </row>
    <row r="95" spans="1:9" ht="15.75" customHeight="1">
      <c r="A95" s="54"/>
      <c r="B95" s="183" t="s">
        <v>232</v>
      </c>
      <c r="C95" s="183"/>
      <c r="D95" s="183"/>
      <c r="E95" s="183"/>
      <c r="F95" s="183"/>
      <c r="G95" s="183"/>
      <c r="H95" s="60"/>
      <c r="I95" s="3"/>
    </row>
    <row r="96" spans="1:9">
      <c r="A96" s="90"/>
      <c r="B96" s="179" t="s">
        <v>6</v>
      </c>
      <c r="C96" s="179"/>
      <c r="D96" s="179"/>
      <c r="E96" s="179"/>
      <c r="F96" s="179"/>
      <c r="G96" s="179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171" t="s">
        <v>60</v>
      </c>
      <c r="B100" s="171"/>
      <c r="C100" s="171"/>
      <c r="D100" s="171"/>
      <c r="E100" s="171"/>
      <c r="F100" s="171"/>
      <c r="G100" s="171"/>
      <c r="H100" s="171"/>
      <c r="I100" s="171"/>
    </row>
    <row r="101" spans="1:9" ht="15.75">
      <c r="A101" s="11"/>
    </row>
    <row r="102" spans="1:9" ht="15.75">
      <c r="A102" s="177" t="s">
        <v>9</v>
      </c>
      <c r="B102" s="177"/>
      <c r="C102" s="177"/>
      <c r="D102" s="177"/>
      <c r="E102" s="177"/>
      <c r="F102" s="177"/>
      <c r="G102" s="177"/>
      <c r="H102" s="177"/>
      <c r="I102" s="177"/>
    </row>
    <row r="103" spans="1:9" ht="15.75">
      <c r="A103" s="4"/>
    </row>
    <row r="104" spans="1:9" ht="15.75">
      <c r="B104" s="87" t="s">
        <v>10</v>
      </c>
      <c r="C104" s="178" t="s">
        <v>189</v>
      </c>
      <c r="D104" s="178"/>
      <c r="E104" s="178"/>
      <c r="F104" s="58"/>
      <c r="I104" s="89"/>
    </row>
    <row r="105" spans="1:9">
      <c r="A105" s="90"/>
      <c r="C105" s="179" t="s">
        <v>11</v>
      </c>
      <c r="D105" s="179"/>
      <c r="E105" s="179"/>
      <c r="F105" s="25"/>
      <c r="I105" s="88" t="s">
        <v>12</v>
      </c>
    </row>
    <row r="106" spans="1:9" ht="15.75">
      <c r="A106" s="26"/>
      <c r="C106" s="12"/>
      <c r="D106" s="12"/>
      <c r="G106" s="12"/>
      <c r="H106" s="12"/>
    </row>
    <row r="107" spans="1:9" ht="15.75" customHeight="1">
      <c r="B107" s="87" t="s">
        <v>13</v>
      </c>
      <c r="C107" s="180"/>
      <c r="D107" s="180"/>
      <c r="E107" s="180"/>
      <c r="F107" s="59"/>
      <c r="I107" s="89"/>
    </row>
    <row r="108" spans="1:9" ht="15.75" customHeight="1">
      <c r="A108" s="90"/>
      <c r="C108" s="161" t="s">
        <v>11</v>
      </c>
      <c r="D108" s="161"/>
      <c r="E108" s="161"/>
      <c r="F108" s="90"/>
      <c r="I108" s="88" t="s">
        <v>12</v>
      </c>
    </row>
    <row r="109" spans="1:9" ht="15.75" customHeight="1">
      <c r="A109" s="4" t="s">
        <v>14</v>
      </c>
    </row>
    <row r="110" spans="1:9">
      <c r="A110" s="181" t="s">
        <v>15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45" customHeight="1">
      <c r="A111" s="173" t="s">
        <v>16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30" customHeight="1">
      <c r="A112" s="173" t="s">
        <v>17</v>
      </c>
      <c r="B112" s="173"/>
      <c r="C112" s="173"/>
      <c r="D112" s="173"/>
      <c r="E112" s="173"/>
      <c r="F112" s="173"/>
      <c r="G112" s="173"/>
      <c r="H112" s="173"/>
      <c r="I112" s="173"/>
    </row>
    <row r="113" spans="1:9" ht="30" customHeight="1">
      <c r="A113" s="173" t="s">
        <v>21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15" customHeight="1">
      <c r="A114" s="173" t="s">
        <v>20</v>
      </c>
      <c r="B114" s="173"/>
      <c r="C114" s="173"/>
      <c r="D114" s="173"/>
      <c r="E114" s="173"/>
      <c r="F114" s="173"/>
      <c r="G114" s="173"/>
      <c r="H114" s="173"/>
      <c r="I114" s="173"/>
    </row>
  </sheetData>
  <autoFilter ref="I12:I57"/>
  <mergeCells count="29">
    <mergeCell ref="A110:I110"/>
    <mergeCell ref="A111:I111"/>
    <mergeCell ref="A112:I112"/>
    <mergeCell ref="A113:I113"/>
    <mergeCell ref="A114:I114"/>
    <mergeCell ref="R62:U62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6:I56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Y111"/>
  <sheetViews>
    <sheetView view="pageBreakPreview" topLeftCell="A45" zoomScale="60" zoomScaleNormal="100" workbookViewId="0">
      <selection activeCell="Z69" sqref="Y69:Z7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141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233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83">
        <v>44347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194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180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5</v>
      </c>
      <c r="B20" s="62" t="s">
        <v>90</v>
      </c>
      <c r="C20" s="63" t="s">
        <v>80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6</v>
      </c>
      <c r="B21" s="62" t="s">
        <v>91</v>
      </c>
      <c r="C21" s="63" t="s">
        <v>80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>
        <v>7</v>
      </c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>
        <v>8</v>
      </c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>
        <v>10</v>
      </c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>
        <v>11</v>
      </c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62" t="s">
        <v>147</v>
      </c>
      <c r="B28" s="163"/>
      <c r="C28" s="163"/>
      <c r="D28" s="163"/>
      <c r="E28" s="163"/>
      <c r="F28" s="163"/>
      <c r="G28" s="163"/>
      <c r="H28" s="163"/>
      <c r="I28" s="164"/>
      <c r="J28" s="24"/>
    </row>
    <row r="29" spans="1:13" ht="15.7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4</v>
      </c>
      <c r="B30" s="118" t="s">
        <v>100</v>
      </c>
      <c r="C30" s="119" t="s">
        <v>83</v>
      </c>
      <c r="D30" s="118" t="s">
        <v>164</v>
      </c>
      <c r="E30" s="113">
        <v>61.5</v>
      </c>
      <c r="F30" s="113">
        <f>SUM(E30*24/1000)</f>
        <v>1.476</v>
      </c>
      <c r="G30" s="113">
        <v>232.4</v>
      </c>
      <c r="H30" s="66">
        <f t="shared" ref="H30:H34" si="3">SUM(F30*G30/1000)</f>
        <v>0.34302240000000001</v>
      </c>
      <c r="I30" s="13">
        <f t="shared" ref="I30:I31" si="4">F30/6*G30</f>
        <v>57.170400000000001</v>
      </c>
      <c r="J30" s="23"/>
      <c r="K30" s="8"/>
      <c r="L30" s="8"/>
      <c r="M30" s="8"/>
    </row>
    <row r="31" spans="1:13" ht="31.5" customHeight="1">
      <c r="A31" s="30">
        <v>5</v>
      </c>
      <c r="B31" s="118" t="s">
        <v>99</v>
      </c>
      <c r="C31" s="119" t="s">
        <v>83</v>
      </c>
      <c r="D31" s="118" t="s">
        <v>171</v>
      </c>
      <c r="E31" s="113">
        <v>35.299999999999997</v>
      </c>
      <c r="F31" s="113">
        <f>SUM(E31*72/1000)</f>
        <v>2.5415999999999999</v>
      </c>
      <c r="G31" s="113">
        <v>385.6</v>
      </c>
      <c r="H31" s="66">
        <f t="shared" si="3"/>
        <v>0.98004096000000007</v>
      </c>
      <c r="I31" s="13">
        <f t="shared" si="4"/>
        <v>163.34016</v>
      </c>
      <c r="J31" s="23"/>
      <c r="K31" s="8"/>
      <c r="L31" s="8"/>
      <c r="M31" s="8"/>
    </row>
    <row r="32" spans="1:13" ht="15.75" customHeight="1">
      <c r="A32" s="30">
        <v>6</v>
      </c>
      <c r="B32" s="118" t="s">
        <v>27</v>
      </c>
      <c r="C32" s="119" t="s">
        <v>83</v>
      </c>
      <c r="D32" s="118" t="s">
        <v>156</v>
      </c>
      <c r="E32" s="113">
        <v>61.5</v>
      </c>
      <c r="F32" s="113">
        <f>SUM(E32/1000)</f>
        <v>6.1499999999999999E-2</v>
      </c>
      <c r="G32" s="113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>
        <v>7</v>
      </c>
      <c r="B33" s="116" t="s">
        <v>178</v>
      </c>
      <c r="C33" s="110" t="s">
        <v>179</v>
      </c>
      <c r="D33" s="118" t="s">
        <v>171</v>
      </c>
      <c r="E33" s="113">
        <v>4</v>
      </c>
      <c r="F33" s="113">
        <f>E33*72/100</f>
        <v>2.88</v>
      </c>
      <c r="G33" s="113">
        <v>1941.17</v>
      </c>
      <c r="H33" s="66">
        <f t="shared" si="3"/>
        <v>5.5905696000000002</v>
      </c>
      <c r="I33" s="13">
        <f>G33*F33/6</f>
        <v>931.76159999999993</v>
      </c>
      <c r="J33" s="24"/>
    </row>
    <row r="34" spans="1:14" ht="15.75" hidden="1" customHeight="1">
      <c r="A34" s="30"/>
      <c r="B34" s="62" t="s">
        <v>64</v>
      </c>
      <c r="C34" s="63" t="s">
        <v>31</v>
      </c>
      <c r="D34" s="62" t="s">
        <v>65</v>
      </c>
      <c r="E34" s="64"/>
      <c r="F34" s="65">
        <v>1</v>
      </c>
      <c r="G34" s="65">
        <v>1413.96</v>
      </c>
      <c r="H34" s="66">
        <f t="shared" si="3"/>
        <v>1.4139600000000001</v>
      </c>
      <c r="I34" s="13">
        <v>0</v>
      </c>
      <c r="J34" s="24"/>
    </row>
    <row r="35" spans="1:14" ht="15.75" hidden="1" customHeight="1">
      <c r="A35" s="30"/>
      <c r="B35" s="81" t="s">
        <v>5</v>
      </c>
      <c r="C35" s="63"/>
      <c r="D35" s="62"/>
      <c r="E35" s="64"/>
      <c r="F35" s="65"/>
      <c r="G35" s="65"/>
      <c r="H35" s="66" t="s">
        <v>114</v>
      </c>
      <c r="I35" s="13"/>
      <c r="J35" s="24"/>
      <c r="L35" s="19"/>
      <c r="M35" s="20"/>
      <c r="N35" s="21"/>
    </row>
    <row r="36" spans="1:14" ht="15.75" hidden="1" customHeight="1">
      <c r="A36" s="30">
        <v>6</v>
      </c>
      <c r="B36" s="62" t="s">
        <v>26</v>
      </c>
      <c r="C36" s="63" t="s">
        <v>31</v>
      </c>
      <c r="D36" s="62"/>
      <c r="E36" s="64"/>
      <c r="F36" s="65">
        <v>3</v>
      </c>
      <c r="G36" s="65">
        <v>1900.37</v>
      </c>
      <c r="H36" s="66">
        <f t="shared" ref="H36:H41" si="5">SUM(F36*G36/1000)</f>
        <v>5.7011099999999999</v>
      </c>
      <c r="I36" s="13">
        <f t="shared" ref="I36:I41" si="6">F36/6*G36</f>
        <v>950.18499999999995</v>
      </c>
      <c r="J36" s="24"/>
      <c r="L36" s="19"/>
      <c r="M36" s="20"/>
      <c r="N36" s="21"/>
    </row>
    <row r="37" spans="1:14" ht="31.5" hidden="1" customHeight="1">
      <c r="A37" s="30">
        <v>7</v>
      </c>
      <c r="B37" s="62" t="s">
        <v>115</v>
      </c>
      <c r="C37" s="63" t="s">
        <v>29</v>
      </c>
      <c r="D37" s="62" t="s">
        <v>81</v>
      </c>
      <c r="E37" s="64">
        <v>35.299999999999997</v>
      </c>
      <c r="F37" s="65">
        <f>E37*30/1000</f>
        <v>1.0589999999999999</v>
      </c>
      <c r="G37" s="65">
        <v>2616.4899999999998</v>
      </c>
      <c r="H37" s="66">
        <f t="shared" si="5"/>
        <v>2.77086291</v>
      </c>
      <c r="I37" s="13">
        <f t="shared" si="6"/>
        <v>461.81048499999991</v>
      </c>
      <c r="J37" s="24"/>
      <c r="L37" s="19"/>
      <c r="M37" s="20"/>
      <c r="N37" s="21"/>
    </row>
    <row r="38" spans="1:14" ht="15.75" hidden="1" customHeight="1">
      <c r="A38" s="30">
        <v>8</v>
      </c>
      <c r="B38" s="62" t="s">
        <v>116</v>
      </c>
      <c r="C38" s="63" t="s">
        <v>29</v>
      </c>
      <c r="D38" s="62" t="s">
        <v>82</v>
      </c>
      <c r="E38" s="64">
        <v>35.299999999999997</v>
      </c>
      <c r="F38" s="65">
        <f>SUM(E38*155/1000)</f>
        <v>5.4714999999999998</v>
      </c>
      <c r="G38" s="65">
        <v>436.45</v>
      </c>
      <c r="H38" s="66">
        <f t="shared" si="5"/>
        <v>2.3880361749999999</v>
      </c>
      <c r="I38" s="13">
        <f t="shared" si="6"/>
        <v>398.00602916666662</v>
      </c>
      <c r="J38" s="24"/>
      <c r="L38" s="19"/>
      <c r="M38" s="20"/>
      <c r="N38" s="21"/>
    </row>
    <row r="39" spans="1:14" ht="47.25" hidden="1" customHeight="1">
      <c r="A39" s="30">
        <v>9</v>
      </c>
      <c r="B39" s="62" t="s">
        <v>117</v>
      </c>
      <c r="C39" s="63" t="s">
        <v>83</v>
      </c>
      <c r="D39" s="62" t="s">
        <v>118</v>
      </c>
      <c r="E39" s="64">
        <v>35.299999999999997</v>
      </c>
      <c r="F39" s="65">
        <f>SUM(E39*24/1000)</f>
        <v>0.84719999999999995</v>
      </c>
      <c r="G39" s="65">
        <v>7221.21</v>
      </c>
      <c r="H39" s="66">
        <f t="shared" si="5"/>
        <v>6.1178091119999998</v>
      </c>
      <c r="I39" s="13">
        <f t="shared" si="6"/>
        <v>1019.6348519999999</v>
      </c>
      <c r="J39" s="24"/>
      <c r="L39" s="19"/>
      <c r="M39" s="20"/>
      <c r="N39" s="21"/>
    </row>
    <row r="40" spans="1:14" ht="15.75" hidden="1" customHeight="1">
      <c r="A40" s="30">
        <v>10</v>
      </c>
      <c r="B40" s="62" t="s">
        <v>119</v>
      </c>
      <c r="C40" s="63" t="s">
        <v>83</v>
      </c>
      <c r="D40" s="62" t="s">
        <v>66</v>
      </c>
      <c r="E40" s="64">
        <v>35.299999999999997</v>
      </c>
      <c r="F40" s="65">
        <f>SUM(E40*45/1000)</f>
        <v>1.5884999999999998</v>
      </c>
      <c r="G40" s="65">
        <v>533.45000000000005</v>
      </c>
      <c r="H40" s="66">
        <f t="shared" si="5"/>
        <v>0.84738532499999997</v>
      </c>
      <c r="I40" s="13">
        <f t="shared" si="6"/>
        <v>141.23088749999999</v>
      </c>
      <c r="J40" s="24"/>
      <c r="L40" s="19"/>
      <c r="M40" s="20"/>
      <c r="N40" s="21"/>
    </row>
    <row r="41" spans="1:14" ht="15.75" hidden="1" customHeight="1">
      <c r="A41" s="30">
        <v>11</v>
      </c>
      <c r="B41" s="62" t="s">
        <v>67</v>
      </c>
      <c r="C41" s="63" t="s">
        <v>32</v>
      </c>
      <c r="D41" s="62"/>
      <c r="E41" s="64"/>
      <c r="F41" s="65">
        <v>0.3</v>
      </c>
      <c r="G41" s="65">
        <v>992.97</v>
      </c>
      <c r="H41" s="66">
        <f t="shared" si="5"/>
        <v>0.29789100000000002</v>
      </c>
      <c r="I41" s="13">
        <f t="shared" si="6"/>
        <v>49.648499999999999</v>
      </c>
      <c r="J41" s="24"/>
      <c r="L41" s="19"/>
      <c r="M41" s="20"/>
      <c r="N41" s="21"/>
    </row>
    <row r="42" spans="1:14" ht="15.75" customHeight="1">
      <c r="A42" s="162" t="s">
        <v>132</v>
      </c>
      <c r="B42" s="163"/>
      <c r="C42" s="163"/>
      <c r="D42" s="163"/>
      <c r="E42" s="163"/>
      <c r="F42" s="163"/>
      <c r="G42" s="163"/>
      <c r="H42" s="163"/>
      <c r="I42" s="164"/>
      <c r="J42" s="24"/>
      <c r="L42" s="19"/>
      <c r="M42" s="20"/>
      <c r="N42" s="21"/>
    </row>
    <row r="43" spans="1:14" ht="15.75" customHeight="1">
      <c r="A43" s="30">
        <v>8</v>
      </c>
      <c r="B43" s="118" t="s">
        <v>101</v>
      </c>
      <c r="C43" s="119" t="s">
        <v>83</v>
      </c>
      <c r="D43" s="118" t="s">
        <v>156</v>
      </c>
      <c r="E43" s="123">
        <v>907.4</v>
      </c>
      <c r="F43" s="113">
        <f>SUM(E43*2/1000)</f>
        <v>1.8148</v>
      </c>
      <c r="G43" s="34">
        <v>1207.24</v>
      </c>
      <c r="H43" s="66">
        <f t="shared" ref="H43:H52" si="7">SUM(F43*G43/1000)</f>
        <v>2.1908991520000001</v>
      </c>
      <c r="I43" s="13">
        <f>F43/2*G43</f>
        <v>1095.449576</v>
      </c>
      <c r="J43" s="24"/>
      <c r="L43" s="19"/>
      <c r="M43" s="20"/>
      <c r="N43" s="21"/>
    </row>
    <row r="44" spans="1:14" ht="15.75" customHeight="1">
      <c r="A44" s="30">
        <v>9</v>
      </c>
      <c r="B44" s="118" t="s">
        <v>35</v>
      </c>
      <c r="C44" s="119" t="s">
        <v>83</v>
      </c>
      <c r="D44" s="118" t="s">
        <v>156</v>
      </c>
      <c r="E44" s="123">
        <v>27</v>
      </c>
      <c r="F44" s="113">
        <f>SUM(E44*2/1000)</f>
        <v>5.3999999999999999E-2</v>
      </c>
      <c r="G44" s="34">
        <v>863.92</v>
      </c>
      <c r="H44" s="66">
        <f t="shared" si="7"/>
        <v>4.6651680000000001E-2</v>
      </c>
      <c r="I44" s="13">
        <f t="shared" ref="I44:I51" si="8">F44/2*G44</f>
        <v>23.325839999999999</v>
      </c>
      <c r="J44" s="24"/>
      <c r="L44" s="19"/>
      <c r="M44" s="20"/>
      <c r="N44" s="21"/>
    </row>
    <row r="45" spans="1:14" ht="15.75" customHeight="1">
      <c r="A45" s="30">
        <v>10</v>
      </c>
      <c r="B45" s="118" t="s">
        <v>36</v>
      </c>
      <c r="C45" s="119" t="s">
        <v>83</v>
      </c>
      <c r="D45" s="118" t="s">
        <v>156</v>
      </c>
      <c r="E45" s="123">
        <v>772</v>
      </c>
      <c r="F45" s="113">
        <f>SUM(E45*2/1000)</f>
        <v>1.544</v>
      </c>
      <c r="G45" s="34">
        <v>863.92</v>
      </c>
      <c r="H45" s="66">
        <f t="shared" si="7"/>
        <v>1.33389248</v>
      </c>
      <c r="I45" s="13">
        <f t="shared" si="8"/>
        <v>666.94623999999999</v>
      </c>
      <c r="J45" s="24"/>
      <c r="L45" s="19"/>
      <c r="M45" s="20"/>
      <c r="N45" s="21"/>
    </row>
    <row r="46" spans="1:14" ht="15.75" customHeight="1">
      <c r="A46" s="30">
        <v>11</v>
      </c>
      <c r="B46" s="118" t="s">
        <v>37</v>
      </c>
      <c r="C46" s="119" t="s">
        <v>83</v>
      </c>
      <c r="D46" s="118" t="s">
        <v>156</v>
      </c>
      <c r="E46" s="123">
        <v>959.4</v>
      </c>
      <c r="F46" s="113">
        <f>SUM(E46*2/1000)</f>
        <v>1.9188000000000001</v>
      </c>
      <c r="G46" s="34">
        <v>904.65</v>
      </c>
      <c r="H46" s="66">
        <f t="shared" si="7"/>
        <v>1.73584242</v>
      </c>
      <c r="I46" s="13">
        <f t="shared" si="8"/>
        <v>867.92120999999997</v>
      </c>
      <c r="J46" s="24"/>
      <c r="L46" s="19"/>
      <c r="M46" s="20"/>
      <c r="N46" s="21"/>
    </row>
    <row r="47" spans="1:14" ht="15.75" customHeight="1">
      <c r="A47" s="30">
        <v>12</v>
      </c>
      <c r="B47" s="118" t="s">
        <v>33</v>
      </c>
      <c r="C47" s="119" t="s">
        <v>34</v>
      </c>
      <c r="D47" s="118" t="s">
        <v>156</v>
      </c>
      <c r="E47" s="123">
        <v>66.02</v>
      </c>
      <c r="F47" s="113">
        <f>SUM(E47*2/100)</f>
        <v>1.3204</v>
      </c>
      <c r="G47" s="34">
        <v>108.55</v>
      </c>
      <c r="H47" s="66">
        <f t="shared" si="7"/>
        <v>0.14332941999999999</v>
      </c>
      <c r="I47" s="13">
        <f t="shared" si="8"/>
        <v>71.664709999999999</v>
      </c>
      <c r="J47" s="24"/>
      <c r="L47" s="19"/>
      <c r="M47" s="20"/>
      <c r="N47" s="21"/>
    </row>
    <row r="48" spans="1:14" ht="14.25" customHeight="1">
      <c r="A48" s="30">
        <v>13</v>
      </c>
      <c r="B48" s="118" t="s">
        <v>55</v>
      </c>
      <c r="C48" s="119" t="s">
        <v>83</v>
      </c>
      <c r="D48" s="118" t="s">
        <v>156</v>
      </c>
      <c r="E48" s="123">
        <v>702.5</v>
      </c>
      <c r="F48" s="113">
        <f>SUM(E48*5/1000)</f>
        <v>3.5125000000000002</v>
      </c>
      <c r="G48" s="34">
        <v>1809.27</v>
      </c>
      <c r="H48" s="66">
        <f t="shared" si="7"/>
        <v>6.3550608750000004</v>
      </c>
      <c r="I48" s="13">
        <f>F48/5*G48</f>
        <v>1271.0121750000001</v>
      </c>
      <c r="J48" s="24"/>
      <c r="L48" s="19"/>
      <c r="M48" s="20"/>
      <c r="N48" s="21"/>
    </row>
    <row r="49" spans="1:22" ht="28.5" customHeight="1">
      <c r="A49" s="30">
        <v>14</v>
      </c>
      <c r="B49" s="118" t="s">
        <v>84</v>
      </c>
      <c r="C49" s="119" t="s">
        <v>83</v>
      </c>
      <c r="D49" s="118" t="s">
        <v>156</v>
      </c>
      <c r="E49" s="123">
        <v>702.5</v>
      </c>
      <c r="F49" s="113">
        <f>SUM(E49*2/1000)</f>
        <v>1.405</v>
      </c>
      <c r="G49" s="34">
        <v>1809.27</v>
      </c>
      <c r="H49" s="66">
        <f t="shared" si="7"/>
        <v>2.5420243500000002</v>
      </c>
      <c r="I49" s="13">
        <f t="shared" si="8"/>
        <v>1271.0121750000001</v>
      </c>
      <c r="J49" s="24"/>
      <c r="L49" s="19"/>
      <c r="M49" s="20"/>
      <c r="N49" s="21"/>
    </row>
    <row r="50" spans="1:22" ht="28.5" customHeight="1">
      <c r="A50" s="30">
        <v>15</v>
      </c>
      <c r="B50" s="118" t="s">
        <v>85</v>
      </c>
      <c r="C50" s="119" t="s">
        <v>38</v>
      </c>
      <c r="D50" s="118" t="s">
        <v>156</v>
      </c>
      <c r="E50" s="123">
        <v>9</v>
      </c>
      <c r="F50" s="113">
        <f>SUM(E50*2/100)</f>
        <v>0.18</v>
      </c>
      <c r="G50" s="34">
        <v>4070.89</v>
      </c>
      <c r="H50" s="66">
        <f t="shared" si="7"/>
        <v>0.73276019999999997</v>
      </c>
      <c r="I50" s="13">
        <f t="shared" si="8"/>
        <v>366.38009999999997</v>
      </c>
      <c r="J50" s="24"/>
      <c r="L50" s="19"/>
      <c r="M50" s="20"/>
      <c r="N50" s="21"/>
    </row>
    <row r="51" spans="1:22" ht="17.25" customHeight="1">
      <c r="A51" s="30">
        <v>16</v>
      </c>
      <c r="B51" s="118" t="s">
        <v>39</v>
      </c>
      <c r="C51" s="119" t="s">
        <v>40</v>
      </c>
      <c r="D51" s="118" t="s">
        <v>156</v>
      </c>
      <c r="E51" s="123">
        <v>1</v>
      </c>
      <c r="F51" s="113">
        <v>0.02</v>
      </c>
      <c r="G51" s="34">
        <v>8426.7199999999993</v>
      </c>
      <c r="H51" s="66">
        <f t="shared" si="7"/>
        <v>0.16853439999999997</v>
      </c>
      <c r="I51" s="13">
        <f t="shared" si="8"/>
        <v>84.267199999999988</v>
      </c>
      <c r="J51" s="24"/>
      <c r="L51" s="19"/>
      <c r="M51" s="20"/>
      <c r="N51" s="21"/>
    </row>
    <row r="52" spans="1:22" ht="15.75" customHeight="1">
      <c r="A52" s="30">
        <v>17</v>
      </c>
      <c r="B52" s="118" t="s">
        <v>41</v>
      </c>
      <c r="C52" s="119" t="s">
        <v>102</v>
      </c>
      <c r="D52" s="122">
        <v>44343</v>
      </c>
      <c r="E52" s="123">
        <v>53</v>
      </c>
      <c r="F52" s="113">
        <v>53</v>
      </c>
      <c r="G52" s="124">
        <v>97.93</v>
      </c>
      <c r="H52" s="66">
        <f t="shared" si="7"/>
        <v>5.1902900000000001</v>
      </c>
      <c r="I52" s="13">
        <f>G52*F52/3</f>
        <v>1730.0966666666666</v>
      </c>
      <c r="J52" s="24"/>
      <c r="L52" s="19"/>
    </row>
    <row r="53" spans="1:22" ht="15.75" customHeight="1">
      <c r="A53" s="162" t="s">
        <v>133</v>
      </c>
      <c r="B53" s="163"/>
      <c r="C53" s="163"/>
      <c r="D53" s="163"/>
      <c r="E53" s="163"/>
      <c r="F53" s="163"/>
      <c r="G53" s="163"/>
      <c r="H53" s="163"/>
      <c r="I53" s="164"/>
    </row>
    <row r="54" spans="1:22" ht="16.5" hidden="1" customHeight="1">
      <c r="A54" s="30"/>
      <c r="B54" s="81" t="s">
        <v>43</v>
      </c>
      <c r="C54" s="63"/>
      <c r="D54" s="62"/>
      <c r="E54" s="64"/>
      <c r="F54" s="65"/>
      <c r="G54" s="65"/>
      <c r="H54" s="66"/>
      <c r="I54" s="13"/>
    </row>
    <row r="55" spans="1:22" ht="18.75" hidden="1" customHeight="1">
      <c r="A55" s="30">
        <v>15</v>
      </c>
      <c r="B55" s="62" t="s">
        <v>103</v>
      </c>
      <c r="C55" s="63" t="s">
        <v>80</v>
      </c>
      <c r="D55" s="62" t="s">
        <v>104</v>
      </c>
      <c r="E55" s="64">
        <v>11.5</v>
      </c>
      <c r="F55" s="65">
        <f>SUM(E55*6/100)</f>
        <v>0.69</v>
      </c>
      <c r="G55" s="13">
        <v>2306.62</v>
      </c>
      <c r="H55" s="66">
        <f>SUM(F55*G55/1000)</f>
        <v>1.5915677999999998</v>
      </c>
      <c r="I55" s="13">
        <f>F55/6*G55</f>
        <v>265.26129999999995</v>
      </c>
    </row>
    <row r="56" spans="1:22" ht="15.75" hidden="1" customHeight="1">
      <c r="A56" s="30">
        <v>26</v>
      </c>
      <c r="B56" s="62" t="s">
        <v>120</v>
      </c>
      <c r="C56" s="63" t="s">
        <v>121</v>
      </c>
      <c r="D56" s="62" t="s">
        <v>65</v>
      </c>
      <c r="E56" s="64"/>
      <c r="F56" s="65">
        <v>2</v>
      </c>
      <c r="G56" s="84">
        <v>1501</v>
      </c>
      <c r="H56" s="66">
        <f>SUM(F56*G56/1000)</f>
        <v>3.0019999999999998</v>
      </c>
      <c r="I56" s="13">
        <f>G56*1</f>
        <v>1501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customHeight="1">
      <c r="A57" s="30"/>
      <c r="B57" s="81" t="s">
        <v>44</v>
      </c>
      <c r="C57" s="63"/>
      <c r="D57" s="62"/>
      <c r="E57" s="64"/>
      <c r="F57" s="65"/>
      <c r="G57" s="85"/>
      <c r="H57" s="66"/>
      <c r="I57" s="13"/>
      <c r="J57" s="26"/>
      <c r="K57" s="26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30"/>
      <c r="B58" s="62" t="s">
        <v>105</v>
      </c>
      <c r="C58" s="63" t="s">
        <v>80</v>
      </c>
      <c r="D58" s="62" t="s">
        <v>53</v>
      </c>
      <c r="E58" s="64">
        <v>148</v>
      </c>
      <c r="F58" s="66">
        <f>E58/100</f>
        <v>1.48</v>
      </c>
      <c r="G58" s="13">
        <v>987.51</v>
      </c>
      <c r="H58" s="71">
        <f>F58*G58/1000</f>
        <v>1.4615148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customHeight="1">
      <c r="A59" s="30">
        <v>18</v>
      </c>
      <c r="B59" s="73" t="s">
        <v>129</v>
      </c>
      <c r="C59" s="72" t="s">
        <v>25</v>
      </c>
      <c r="D59" s="73" t="s">
        <v>156</v>
      </c>
      <c r="E59" s="74">
        <v>140.5</v>
      </c>
      <c r="F59" s="65">
        <f>E59*12</f>
        <v>1686</v>
      </c>
      <c r="G59" s="86">
        <v>1.4</v>
      </c>
      <c r="H59" s="71">
        <f>F59*G59/1000</f>
        <v>2.3603999999999998</v>
      </c>
      <c r="I59" s="13">
        <f>1320/12*G59</f>
        <v>154</v>
      </c>
      <c r="J59" s="5"/>
      <c r="K59" s="5"/>
      <c r="L59" s="5"/>
      <c r="M59" s="5"/>
      <c r="N59" s="5"/>
      <c r="O59" s="5"/>
      <c r="P59" s="5"/>
      <c r="Q59" s="5"/>
      <c r="R59" s="161"/>
      <c r="S59" s="161"/>
      <c r="T59" s="161"/>
      <c r="U59" s="161"/>
    </row>
    <row r="60" spans="1:22" ht="15.75" hidden="1" customHeight="1">
      <c r="A60" s="30"/>
      <c r="B60" s="82" t="s">
        <v>45</v>
      </c>
      <c r="C60" s="72"/>
      <c r="D60" s="73"/>
      <c r="E60" s="74"/>
      <c r="F60" s="75"/>
      <c r="G60" s="75"/>
      <c r="H60" s="76" t="s">
        <v>114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5.75" hidden="1" customHeight="1">
      <c r="A61" s="30">
        <v>16</v>
      </c>
      <c r="B61" s="14" t="s">
        <v>46</v>
      </c>
      <c r="C61" s="16" t="s">
        <v>102</v>
      </c>
      <c r="D61" s="14" t="s">
        <v>65</v>
      </c>
      <c r="E61" s="18">
        <v>2</v>
      </c>
      <c r="F61" s="65">
        <f>E61</f>
        <v>2</v>
      </c>
      <c r="G61" s="13">
        <v>276.74</v>
      </c>
      <c r="H61" s="61">
        <f t="shared" ref="H61:H79" si="9">SUM(F61*G61/1000)</f>
        <v>0.55347999999999997</v>
      </c>
      <c r="I61" s="13">
        <f>G61</f>
        <v>276.74</v>
      </c>
    </row>
    <row r="62" spans="1:22" ht="15.75" hidden="1" customHeight="1">
      <c r="A62" s="30"/>
      <c r="B62" s="14" t="s">
        <v>47</v>
      </c>
      <c r="C62" s="16" t="s">
        <v>102</v>
      </c>
      <c r="D62" s="14" t="s">
        <v>65</v>
      </c>
      <c r="E62" s="18">
        <v>1</v>
      </c>
      <c r="F62" s="65">
        <f>E62</f>
        <v>1</v>
      </c>
      <c r="G62" s="13">
        <v>94.89</v>
      </c>
      <c r="H62" s="61">
        <f t="shared" si="9"/>
        <v>9.4890000000000002E-2</v>
      </c>
      <c r="I62" s="13">
        <v>0</v>
      </c>
    </row>
    <row r="63" spans="1:22" ht="15.75" hidden="1" customHeight="1">
      <c r="A63" s="30">
        <v>29</v>
      </c>
      <c r="B63" s="14" t="s">
        <v>48</v>
      </c>
      <c r="C63" s="16" t="s">
        <v>106</v>
      </c>
      <c r="D63" s="14" t="s">
        <v>53</v>
      </c>
      <c r="E63" s="64">
        <v>6307</v>
      </c>
      <c r="F63" s="13">
        <f>SUM(E63/100)</f>
        <v>63.07</v>
      </c>
      <c r="G63" s="13">
        <v>263.99</v>
      </c>
      <c r="H63" s="61">
        <f t="shared" si="9"/>
        <v>16.649849300000003</v>
      </c>
      <c r="I63" s="13">
        <f>F63*G63</f>
        <v>16649.849300000002</v>
      </c>
    </row>
    <row r="64" spans="1:22" ht="15.75" hidden="1" customHeight="1">
      <c r="A64" s="30">
        <v>30</v>
      </c>
      <c r="B64" s="14" t="s">
        <v>49</v>
      </c>
      <c r="C64" s="16" t="s">
        <v>107</v>
      </c>
      <c r="D64" s="14"/>
      <c r="E64" s="64">
        <v>6307</v>
      </c>
      <c r="F64" s="13">
        <f>SUM(E64/1000)</f>
        <v>6.3070000000000004</v>
      </c>
      <c r="G64" s="13">
        <v>205.57</v>
      </c>
      <c r="H64" s="61">
        <f t="shared" si="9"/>
        <v>1.29652999</v>
      </c>
      <c r="I64" s="13">
        <f t="shared" ref="I64:I67" si="10">F64*G64</f>
        <v>1296.52999</v>
      </c>
    </row>
    <row r="65" spans="1:25" ht="15.75" hidden="1" customHeight="1">
      <c r="A65" s="30">
        <v>31</v>
      </c>
      <c r="B65" s="14" t="s">
        <v>50</v>
      </c>
      <c r="C65" s="16" t="s">
        <v>74</v>
      </c>
      <c r="D65" s="14" t="s">
        <v>53</v>
      </c>
      <c r="E65" s="64">
        <v>1003</v>
      </c>
      <c r="F65" s="13">
        <f>SUM(E65/100)</f>
        <v>10.029999999999999</v>
      </c>
      <c r="G65" s="13">
        <v>2581.5300000000002</v>
      </c>
      <c r="H65" s="61">
        <f t="shared" si="9"/>
        <v>25.892745900000001</v>
      </c>
      <c r="I65" s="13">
        <f t="shared" si="10"/>
        <v>25892.745900000002</v>
      </c>
    </row>
    <row r="66" spans="1:25" ht="15.75" hidden="1" customHeight="1">
      <c r="A66" s="30">
        <v>32</v>
      </c>
      <c r="B66" s="77" t="s">
        <v>108</v>
      </c>
      <c r="C66" s="16" t="s">
        <v>32</v>
      </c>
      <c r="D66" s="14"/>
      <c r="E66" s="64">
        <v>6.6</v>
      </c>
      <c r="F66" s="13">
        <f>SUM(E66)</f>
        <v>6.6</v>
      </c>
      <c r="G66" s="13">
        <v>47.75</v>
      </c>
      <c r="H66" s="61">
        <f t="shared" si="9"/>
        <v>0.31514999999999999</v>
      </c>
      <c r="I66" s="13">
        <f t="shared" si="10"/>
        <v>315.14999999999998</v>
      </c>
    </row>
    <row r="67" spans="1:25" ht="15.75" hidden="1" customHeight="1">
      <c r="A67" s="30">
        <v>33</v>
      </c>
      <c r="B67" s="77" t="s">
        <v>109</v>
      </c>
      <c r="C67" s="16" t="s">
        <v>32</v>
      </c>
      <c r="D67" s="14"/>
      <c r="E67" s="64">
        <v>6.6</v>
      </c>
      <c r="F67" s="13">
        <f>SUM(E67)</f>
        <v>6.6</v>
      </c>
      <c r="G67" s="13">
        <v>44.27</v>
      </c>
      <c r="H67" s="61">
        <f t="shared" si="9"/>
        <v>0.292182</v>
      </c>
      <c r="I67" s="13">
        <f t="shared" si="10"/>
        <v>292.18200000000002</v>
      </c>
    </row>
    <row r="68" spans="1:25" ht="9" hidden="1" customHeight="1">
      <c r="A68" s="30">
        <v>19</v>
      </c>
      <c r="B68" s="14" t="s">
        <v>56</v>
      </c>
      <c r="C68" s="16" t="s">
        <v>57</v>
      </c>
      <c r="D68" s="14" t="s">
        <v>53</v>
      </c>
      <c r="E68" s="18">
        <v>3</v>
      </c>
      <c r="F68" s="65">
        <v>3</v>
      </c>
      <c r="G68" s="13">
        <v>62.07</v>
      </c>
      <c r="H68" s="61">
        <f t="shared" si="9"/>
        <v>0.18621000000000001</v>
      </c>
      <c r="I68" s="13">
        <f>F68*G68</f>
        <v>186.21</v>
      </c>
    </row>
    <row r="69" spans="1:25" ht="22.5" customHeight="1">
      <c r="A69" s="30"/>
      <c r="B69" s="117" t="s">
        <v>157</v>
      </c>
      <c r="C69" s="16"/>
      <c r="D69" s="14"/>
      <c r="E69" s="18"/>
      <c r="F69" s="56"/>
      <c r="G69" s="13"/>
      <c r="H69" s="61"/>
      <c r="I69" s="13"/>
    </row>
    <row r="70" spans="1:25" ht="15.75" customHeight="1">
      <c r="A70" s="30">
        <v>19</v>
      </c>
      <c r="B70" s="133" t="s">
        <v>122</v>
      </c>
      <c r="C70" s="126" t="s">
        <v>123</v>
      </c>
      <c r="D70" s="133" t="s">
        <v>156</v>
      </c>
      <c r="E70" s="17">
        <v>1536.4</v>
      </c>
      <c r="F70" s="134">
        <f>E70*12</f>
        <v>18436.800000000003</v>
      </c>
      <c r="G70" s="34">
        <v>2.6</v>
      </c>
      <c r="H70" s="61">
        <f t="shared" ref="H70" si="11">SUM(F70*G70/1000)</f>
        <v>47.935680000000005</v>
      </c>
      <c r="I70" s="13">
        <f>F70/12*G70</f>
        <v>3994.6400000000008</v>
      </c>
      <c r="Y70" t="s">
        <v>281</v>
      </c>
    </row>
    <row r="71" spans="1:25" ht="15.75" customHeight="1">
      <c r="A71" s="30"/>
      <c r="B71" s="92" t="s">
        <v>69</v>
      </c>
      <c r="C71" s="16"/>
      <c r="D71" s="14"/>
      <c r="E71" s="18"/>
      <c r="F71" s="13"/>
      <c r="G71" s="13"/>
      <c r="H71" s="61" t="s">
        <v>114</v>
      </c>
      <c r="I71" s="13"/>
    </row>
    <row r="72" spans="1:25" ht="15.75" hidden="1" customHeight="1">
      <c r="A72" s="30"/>
      <c r="B72" s="14" t="s">
        <v>124</v>
      </c>
      <c r="C72" s="16" t="s">
        <v>125</v>
      </c>
      <c r="D72" s="14" t="s">
        <v>65</v>
      </c>
      <c r="E72" s="18">
        <v>1</v>
      </c>
      <c r="F72" s="13">
        <f>E72</f>
        <v>1</v>
      </c>
      <c r="G72" s="13">
        <v>976.4</v>
      </c>
      <c r="H72" s="61">
        <f t="shared" ref="H72:H73" si="12">SUM(F72*G72/1000)</f>
        <v>0.97639999999999993</v>
      </c>
      <c r="I72" s="13">
        <v>0</v>
      </c>
    </row>
    <row r="73" spans="1:25" ht="15.75" hidden="1" customHeight="1">
      <c r="A73" s="30"/>
      <c r="B73" s="14" t="s">
        <v>126</v>
      </c>
      <c r="C73" s="16" t="s">
        <v>127</v>
      </c>
      <c r="D73" s="14"/>
      <c r="E73" s="18">
        <v>1</v>
      </c>
      <c r="F73" s="13">
        <v>1</v>
      </c>
      <c r="G73" s="13">
        <v>650</v>
      </c>
      <c r="H73" s="61">
        <f t="shared" si="12"/>
        <v>0.65</v>
      </c>
      <c r="I73" s="13">
        <v>0</v>
      </c>
    </row>
    <row r="74" spans="1:25" ht="15.75" hidden="1" customHeight="1">
      <c r="A74" s="30"/>
      <c r="B74" s="14" t="s">
        <v>70</v>
      </c>
      <c r="C74" s="16" t="s">
        <v>72</v>
      </c>
      <c r="D74" s="14"/>
      <c r="E74" s="18">
        <v>3</v>
      </c>
      <c r="F74" s="13">
        <v>0.3</v>
      </c>
      <c r="G74" s="13">
        <v>624.16999999999996</v>
      </c>
      <c r="H74" s="61">
        <f t="shared" si="9"/>
        <v>0.18725099999999997</v>
      </c>
      <c r="I74" s="13">
        <v>0</v>
      </c>
    </row>
    <row r="75" spans="1:25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56">
        <v>1</v>
      </c>
      <c r="G75" s="13">
        <v>1061.4100000000001</v>
      </c>
      <c r="H75" s="61">
        <f>F75*G75/1000</f>
        <v>1.0614100000000002</v>
      </c>
      <c r="I75" s="13">
        <v>0</v>
      </c>
    </row>
    <row r="76" spans="1:25" ht="15.75" customHeight="1">
      <c r="A76" s="30">
        <v>20</v>
      </c>
      <c r="B76" s="46" t="s">
        <v>173</v>
      </c>
      <c r="C76" s="47" t="s">
        <v>102</v>
      </c>
      <c r="D76" s="133" t="s">
        <v>166</v>
      </c>
      <c r="E76" s="17">
        <v>2</v>
      </c>
      <c r="F76" s="34">
        <f>E76*12</f>
        <v>24</v>
      </c>
      <c r="G76" s="34">
        <v>420</v>
      </c>
      <c r="H76" s="61">
        <f>G76*F76/1000</f>
        <v>10.08</v>
      </c>
      <c r="I76" s="13">
        <f>G76*2</f>
        <v>840</v>
      </c>
    </row>
    <row r="77" spans="1:25" ht="15.75" customHeight="1">
      <c r="A77" s="30">
        <v>21</v>
      </c>
      <c r="B77" s="46" t="s">
        <v>174</v>
      </c>
      <c r="C77" s="47" t="s">
        <v>30</v>
      </c>
      <c r="D77" s="133" t="s">
        <v>166</v>
      </c>
      <c r="E77" s="17">
        <v>1</v>
      </c>
      <c r="F77" s="34">
        <f>E77*12</f>
        <v>12</v>
      </c>
      <c r="G77" s="34">
        <v>1829</v>
      </c>
      <c r="H77" s="61"/>
      <c r="I77" s="13">
        <f>G77*F77/12</f>
        <v>1829</v>
      </c>
    </row>
    <row r="78" spans="1:25" ht="15.75" hidden="1" customHeight="1">
      <c r="A78" s="30"/>
      <c r="B78" s="79" t="s">
        <v>73</v>
      </c>
      <c r="C78" s="16"/>
      <c r="D78" s="14"/>
      <c r="E78" s="18"/>
      <c r="F78" s="13"/>
      <c r="G78" s="13" t="s">
        <v>114</v>
      </c>
      <c r="H78" s="61" t="s">
        <v>114</v>
      </c>
      <c r="I78" s="13" t="str">
        <f>G78</f>
        <v xml:space="preserve"> </v>
      </c>
    </row>
    <row r="79" spans="1:25" ht="15.75" hidden="1" customHeight="1">
      <c r="A79" s="30"/>
      <c r="B79" s="43" t="s">
        <v>128</v>
      </c>
      <c r="C79" s="16" t="s">
        <v>74</v>
      </c>
      <c r="D79" s="14"/>
      <c r="E79" s="18"/>
      <c r="F79" s="13">
        <v>0.1</v>
      </c>
      <c r="G79" s="13">
        <v>3433.69</v>
      </c>
      <c r="H79" s="61">
        <f t="shared" si="9"/>
        <v>0.34336900000000004</v>
      </c>
      <c r="I79" s="13">
        <v>0</v>
      </c>
    </row>
    <row r="80" spans="1:25" ht="15.75" hidden="1" customHeight="1">
      <c r="A80" s="30"/>
      <c r="B80" s="55" t="s">
        <v>86</v>
      </c>
      <c r="C80" s="79"/>
      <c r="D80" s="31"/>
      <c r="E80" s="32"/>
      <c r="F80" s="68"/>
      <c r="G80" s="68"/>
      <c r="H80" s="80">
        <f>SUM(H55:H79)</f>
        <v>114.93062979000001</v>
      </c>
      <c r="I80" s="13"/>
    </row>
    <row r="81" spans="1:9" ht="15.75" hidden="1" customHeight="1">
      <c r="A81" s="30"/>
      <c r="B81" s="62" t="s">
        <v>110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62" t="s">
        <v>134</v>
      </c>
      <c r="B82" s="163"/>
      <c r="C82" s="163"/>
      <c r="D82" s="163"/>
      <c r="E82" s="163"/>
      <c r="F82" s="163"/>
      <c r="G82" s="163"/>
      <c r="H82" s="163"/>
      <c r="I82" s="164"/>
    </row>
    <row r="83" spans="1:9" ht="15.75" customHeight="1">
      <c r="A83" s="30">
        <v>22</v>
      </c>
      <c r="B83" s="118" t="s">
        <v>111</v>
      </c>
      <c r="C83" s="125" t="s">
        <v>54</v>
      </c>
      <c r="D83" s="135"/>
      <c r="E83" s="34">
        <v>1536.4</v>
      </c>
      <c r="F83" s="34">
        <f>SUM(E83*12)</f>
        <v>18436.800000000003</v>
      </c>
      <c r="G83" s="34">
        <v>3.5</v>
      </c>
      <c r="H83" s="61">
        <f>SUM(F83*G83/1000)</f>
        <v>64.528800000000004</v>
      </c>
      <c r="I83" s="13">
        <f>F83/12*G83</f>
        <v>5377.4000000000015</v>
      </c>
    </row>
    <row r="84" spans="1:9" ht="31.5" customHeight="1">
      <c r="A84" s="30">
        <v>23</v>
      </c>
      <c r="B84" s="118" t="s">
        <v>175</v>
      </c>
      <c r="C84" s="125" t="s">
        <v>54</v>
      </c>
      <c r="D84" s="135"/>
      <c r="E84" s="34">
        <v>1536.4</v>
      </c>
      <c r="F84" s="34">
        <f>E84*12</f>
        <v>18436.800000000003</v>
      </c>
      <c r="G84" s="34">
        <v>3.2</v>
      </c>
      <c r="H84" s="61">
        <f>F84*G84/1000</f>
        <v>58.997760000000007</v>
      </c>
      <c r="I84" s="13">
        <f>F84/12*G84</f>
        <v>4916.4800000000014</v>
      </c>
    </row>
    <row r="85" spans="1:9" ht="15.75" customHeight="1">
      <c r="A85" s="30"/>
      <c r="B85" s="36" t="s">
        <v>76</v>
      </c>
      <c r="C85" s="79"/>
      <c r="D85" s="78"/>
      <c r="E85" s="68"/>
      <c r="F85" s="68"/>
      <c r="G85" s="68"/>
      <c r="H85" s="80">
        <f>H84</f>
        <v>58.997760000000007</v>
      </c>
      <c r="I85" s="68">
        <f>I84+I83+I77+I76+I70+I59+I52+I51+I50+I49+I48+I47+I46+I45+I44+I43+I33+I32+I31+I30+I18+I17+I16</f>
        <v>32820.342597666677</v>
      </c>
    </row>
    <row r="86" spans="1:9" ht="15.75" customHeight="1">
      <c r="A86" s="174" t="s">
        <v>59</v>
      </c>
      <c r="B86" s="175"/>
      <c r="C86" s="175"/>
      <c r="D86" s="175"/>
      <c r="E86" s="175"/>
      <c r="F86" s="175"/>
      <c r="G86" s="175"/>
      <c r="H86" s="175"/>
      <c r="I86" s="176"/>
    </row>
    <row r="87" spans="1:9" ht="19.5" customHeight="1">
      <c r="A87" s="139">
        <v>24</v>
      </c>
      <c r="B87" s="157" t="s">
        <v>234</v>
      </c>
      <c r="C87" s="126" t="s">
        <v>88</v>
      </c>
      <c r="D87" s="100"/>
      <c r="E87" s="34"/>
      <c r="F87" s="34">
        <v>0.06</v>
      </c>
      <c r="G87" s="34">
        <v>2787.6</v>
      </c>
      <c r="H87" s="137"/>
      <c r="I87" s="138">
        <f>G87*0.06</f>
        <v>167.256</v>
      </c>
    </row>
    <row r="88" spans="1:9" ht="15.75" customHeight="1">
      <c r="A88" s="30"/>
      <c r="B88" s="41" t="s">
        <v>51</v>
      </c>
      <c r="C88" s="37"/>
      <c r="D88" s="44"/>
      <c r="E88" s="37">
        <v>1</v>
      </c>
      <c r="F88" s="37"/>
      <c r="G88" s="37"/>
      <c r="H88" s="37"/>
      <c r="I88" s="32">
        <f>SUM(I87:I87)</f>
        <v>167.256</v>
      </c>
    </row>
    <row r="89" spans="1:9" ht="15.75" customHeight="1">
      <c r="A89" s="30"/>
      <c r="B89" s="43" t="s">
        <v>75</v>
      </c>
      <c r="C89" s="15"/>
      <c r="D89" s="15"/>
      <c r="E89" s="38"/>
      <c r="F89" s="38"/>
      <c r="G89" s="39"/>
      <c r="H89" s="39"/>
      <c r="I89" s="17">
        <v>0</v>
      </c>
    </row>
    <row r="90" spans="1:9">
      <c r="A90" s="45"/>
      <c r="B90" s="42" t="s">
        <v>150</v>
      </c>
      <c r="C90" s="33"/>
      <c r="D90" s="33"/>
      <c r="E90" s="33"/>
      <c r="F90" s="33"/>
      <c r="G90" s="33"/>
      <c r="H90" s="33"/>
      <c r="I90" s="40">
        <f>I85+I88</f>
        <v>32987.598597666678</v>
      </c>
    </row>
    <row r="91" spans="1:9" ht="15.75">
      <c r="A91" s="182" t="s">
        <v>235</v>
      </c>
      <c r="B91" s="182"/>
      <c r="C91" s="182"/>
      <c r="D91" s="182"/>
      <c r="E91" s="182"/>
      <c r="F91" s="182"/>
      <c r="G91" s="182"/>
      <c r="H91" s="182"/>
      <c r="I91" s="182"/>
    </row>
    <row r="92" spans="1:9" ht="15.75" customHeight="1">
      <c r="A92" s="54"/>
      <c r="B92" s="183" t="s">
        <v>236</v>
      </c>
      <c r="C92" s="183"/>
      <c r="D92" s="183"/>
      <c r="E92" s="183"/>
      <c r="F92" s="183"/>
      <c r="G92" s="183"/>
      <c r="H92" s="60"/>
      <c r="I92" s="3"/>
    </row>
    <row r="93" spans="1:9">
      <c r="A93" s="90"/>
      <c r="B93" s="179" t="s">
        <v>6</v>
      </c>
      <c r="C93" s="179"/>
      <c r="D93" s="179"/>
      <c r="E93" s="179"/>
      <c r="F93" s="179"/>
      <c r="G93" s="179"/>
      <c r="H93" s="25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84" t="s">
        <v>7</v>
      </c>
      <c r="B95" s="184"/>
      <c r="C95" s="184"/>
      <c r="D95" s="184"/>
      <c r="E95" s="184"/>
      <c r="F95" s="184"/>
      <c r="G95" s="184"/>
      <c r="H95" s="184"/>
      <c r="I95" s="184"/>
    </row>
    <row r="96" spans="1:9" ht="15.75" customHeight="1">
      <c r="A96" s="184" t="s">
        <v>8</v>
      </c>
      <c r="B96" s="184"/>
      <c r="C96" s="184"/>
      <c r="D96" s="184"/>
      <c r="E96" s="184"/>
      <c r="F96" s="184"/>
      <c r="G96" s="184"/>
      <c r="H96" s="184"/>
      <c r="I96" s="184"/>
    </row>
    <row r="97" spans="1:9" ht="15.75">
      <c r="A97" s="171" t="s">
        <v>60</v>
      </c>
      <c r="B97" s="171"/>
      <c r="C97" s="171"/>
      <c r="D97" s="171"/>
      <c r="E97" s="171"/>
      <c r="F97" s="171"/>
      <c r="G97" s="171"/>
      <c r="H97" s="171"/>
      <c r="I97" s="171"/>
    </row>
    <row r="98" spans="1:9" ht="15.75">
      <c r="A98" s="11"/>
    </row>
    <row r="99" spans="1:9" ht="15.75">
      <c r="A99" s="177" t="s">
        <v>9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>
      <c r="A100" s="4"/>
    </row>
    <row r="101" spans="1:9" ht="15.75">
      <c r="B101" s="87" t="s">
        <v>10</v>
      </c>
      <c r="C101" s="178" t="s">
        <v>189</v>
      </c>
      <c r="D101" s="178"/>
      <c r="E101" s="178"/>
      <c r="F101" s="58"/>
      <c r="I101" s="89"/>
    </row>
    <row r="102" spans="1:9">
      <c r="A102" s="90"/>
      <c r="C102" s="179" t="s">
        <v>11</v>
      </c>
      <c r="D102" s="179"/>
      <c r="E102" s="179"/>
      <c r="F102" s="25"/>
      <c r="I102" s="88" t="s">
        <v>12</v>
      </c>
    </row>
    <row r="103" spans="1:9" ht="15.75">
      <c r="A103" s="26"/>
      <c r="C103" s="12"/>
      <c r="D103" s="12"/>
      <c r="G103" s="12"/>
      <c r="H103" s="12"/>
    </row>
    <row r="104" spans="1:9" ht="15.75" customHeight="1">
      <c r="B104" s="87" t="s">
        <v>13</v>
      </c>
      <c r="C104" s="180"/>
      <c r="D104" s="180"/>
      <c r="E104" s="180"/>
      <c r="F104" s="59"/>
      <c r="I104" s="89"/>
    </row>
    <row r="105" spans="1:9" ht="15.75" customHeight="1">
      <c r="A105" s="90"/>
      <c r="C105" s="161" t="s">
        <v>11</v>
      </c>
      <c r="D105" s="161"/>
      <c r="E105" s="161"/>
      <c r="F105" s="90"/>
      <c r="I105" s="88" t="s">
        <v>12</v>
      </c>
    </row>
    <row r="106" spans="1:9" ht="15.75" customHeight="1">
      <c r="A106" s="4" t="s">
        <v>14</v>
      </c>
    </row>
    <row r="107" spans="1:9">
      <c r="A107" s="181" t="s">
        <v>15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45" customHeight="1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17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21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15" customHeight="1">
      <c r="A111" s="173" t="s">
        <v>20</v>
      </c>
      <c r="B111" s="173"/>
      <c r="C111" s="173"/>
      <c r="D111" s="173"/>
      <c r="E111" s="173"/>
      <c r="F111" s="173"/>
      <c r="G111" s="173"/>
      <c r="H111" s="173"/>
      <c r="I111" s="173"/>
    </row>
  </sheetData>
  <autoFilter ref="I12:I54"/>
  <mergeCells count="29">
    <mergeCell ref="A107:I107"/>
    <mergeCell ref="A108:I108"/>
    <mergeCell ref="A109:I109"/>
    <mergeCell ref="A110:I110"/>
    <mergeCell ref="A111:I111"/>
    <mergeCell ref="R59:U59"/>
    <mergeCell ref="C105:E105"/>
    <mergeCell ref="A86:I86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2:I42"/>
    <mergeCell ref="A53:I53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9"/>
  <sheetViews>
    <sheetView topLeftCell="A52" workbookViewId="0">
      <selection activeCell="G102" sqref="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142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237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83">
        <v>44377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194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180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customHeight="1">
      <c r="A19" s="30">
        <v>4</v>
      </c>
      <c r="B19" s="118" t="s">
        <v>87</v>
      </c>
      <c r="C19" s="119" t="s">
        <v>88</v>
      </c>
      <c r="D19" s="118" t="s">
        <v>156</v>
      </c>
      <c r="E19" s="123">
        <v>21.6</v>
      </c>
      <c r="F19" s="113">
        <f>SUM(E19/10)</f>
        <v>2.16</v>
      </c>
      <c r="G19" s="113">
        <v>253.7</v>
      </c>
      <c r="H19" s="66">
        <f t="shared" ref="H19:H26" si="1">SUM(F19*G19/1000)</f>
        <v>0.54799199999999992</v>
      </c>
      <c r="I19" s="13">
        <f>F19*G19</f>
        <v>547.99199999999996</v>
      </c>
      <c r="J19" s="23"/>
      <c r="K19" s="8"/>
      <c r="L19" s="8"/>
      <c r="M19" s="8"/>
    </row>
    <row r="20" spans="1:13" ht="15.75" hidden="1" customHeight="1">
      <c r="A20" s="30">
        <v>5</v>
      </c>
      <c r="B20" s="118" t="s">
        <v>90</v>
      </c>
      <c r="C20" s="119" t="s">
        <v>80</v>
      </c>
      <c r="D20" s="118" t="s">
        <v>156</v>
      </c>
      <c r="E20" s="123">
        <v>9.18</v>
      </c>
      <c r="F20" s="113">
        <f>SUM(E20*2/100)</f>
        <v>0.18359999999999999</v>
      </c>
      <c r="G20" s="113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6</v>
      </c>
      <c r="B21" s="118" t="s">
        <v>91</v>
      </c>
      <c r="C21" s="119" t="s">
        <v>80</v>
      </c>
      <c r="D21" s="118" t="s">
        <v>156</v>
      </c>
      <c r="E21" s="123">
        <v>8.1</v>
      </c>
      <c r="F21" s="113">
        <f>SUM(E21*2/100)</f>
        <v>0.16200000000000001</v>
      </c>
      <c r="G21" s="113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>
        <v>7</v>
      </c>
      <c r="B22" s="118" t="s">
        <v>92</v>
      </c>
      <c r="C22" s="119" t="s">
        <v>52</v>
      </c>
      <c r="D22" s="118" t="s">
        <v>156</v>
      </c>
      <c r="E22" s="123">
        <v>220.32</v>
      </c>
      <c r="F22" s="113">
        <f>SUM(E22/100)</f>
        <v>2.2031999999999998</v>
      </c>
      <c r="G22" s="113">
        <v>401.44</v>
      </c>
      <c r="H22" s="66">
        <f t="shared" si="1"/>
        <v>0.88445260799999992</v>
      </c>
      <c r="I22" s="13">
        <f>F22*G22</f>
        <v>884.45260799999994</v>
      </c>
      <c r="J22" s="23"/>
      <c r="K22" s="8"/>
      <c r="L22" s="8"/>
      <c r="M22" s="8"/>
    </row>
    <row r="23" spans="1:13" ht="15.75" hidden="1" customHeight="1">
      <c r="A23" s="30">
        <v>8</v>
      </c>
      <c r="B23" s="118" t="s">
        <v>93</v>
      </c>
      <c r="C23" s="119" t="s">
        <v>52</v>
      </c>
      <c r="D23" s="118" t="s">
        <v>156</v>
      </c>
      <c r="E23" s="141">
        <v>17.64</v>
      </c>
      <c r="F23" s="113">
        <f>SUM(E23/100)</f>
        <v>0.1764</v>
      </c>
      <c r="G23" s="113">
        <v>66.03</v>
      </c>
      <c r="H23" s="66">
        <f t="shared" si="1"/>
        <v>1.1647692000000001E-2</v>
      </c>
      <c r="I23" s="13">
        <f t="shared" ref="I23:I26" si="2">F23*G23</f>
        <v>11.647692000000001</v>
      </c>
      <c r="J23" s="23"/>
      <c r="K23" s="8"/>
      <c r="L23" s="8"/>
      <c r="M23" s="8"/>
    </row>
    <row r="24" spans="1:13" ht="15.75" hidden="1" customHeight="1">
      <c r="A24" s="30">
        <v>9</v>
      </c>
      <c r="B24" s="118" t="s">
        <v>94</v>
      </c>
      <c r="C24" s="119" t="s">
        <v>52</v>
      </c>
      <c r="D24" s="118" t="s">
        <v>156</v>
      </c>
      <c r="E24" s="123">
        <v>7.2</v>
      </c>
      <c r="F24" s="113">
        <f>E24/100</f>
        <v>7.2000000000000008E-2</v>
      </c>
      <c r="G24" s="113">
        <v>581.02</v>
      </c>
      <c r="H24" s="66">
        <f t="shared" si="1"/>
        <v>4.1833440000000006E-2</v>
      </c>
      <c r="I24" s="13">
        <f t="shared" si="2"/>
        <v>41.833440000000003</v>
      </c>
      <c r="J24" s="23"/>
      <c r="K24" s="8"/>
      <c r="L24" s="8"/>
      <c r="M24" s="8"/>
    </row>
    <row r="25" spans="1:13" ht="15.75" hidden="1" customHeight="1">
      <c r="A25" s="30">
        <v>10</v>
      </c>
      <c r="B25" s="118" t="s">
        <v>96</v>
      </c>
      <c r="C25" s="119" t="s">
        <v>52</v>
      </c>
      <c r="D25" s="118" t="s">
        <v>156</v>
      </c>
      <c r="E25" s="123">
        <v>9.4499999999999993</v>
      </c>
      <c r="F25" s="113">
        <f>E25/100</f>
        <v>9.4499999999999987E-2</v>
      </c>
      <c r="G25" s="113">
        <v>322.20999999999998</v>
      </c>
      <c r="H25" s="66">
        <f t="shared" si="1"/>
        <v>3.0448844999999995E-2</v>
      </c>
      <c r="I25" s="13">
        <f t="shared" si="2"/>
        <v>30.448844999999995</v>
      </c>
      <c r="J25" s="23"/>
      <c r="K25" s="8"/>
      <c r="L25" s="8"/>
      <c r="M25" s="8"/>
    </row>
    <row r="26" spans="1:13" ht="15.75" hidden="1" customHeight="1">
      <c r="A26" s="30">
        <v>11</v>
      </c>
      <c r="B26" s="118" t="s">
        <v>97</v>
      </c>
      <c r="C26" s="119" t="s">
        <v>52</v>
      </c>
      <c r="D26" s="118" t="s">
        <v>156</v>
      </c>
      <c r="E26" s="123">
        <v>10.8</v>
      </c>
      <c r="F26" s="113">
        <f>SUM(E26/100)</f>
        <v>0.10800000000000001</v>
      </c>
      <c r="G26" s="113">
        <v>776.46</v>
      </c>
      <c r="H26" s="66">
        <f t="shared" si="1"/>
        <v>8.3857680000000018E-2</v>
      </c>
      <c r="I26" s="13">
        <f t="shared" si="2"/>
        <v>83.857680000000016</v>
      </c>
      <c r="J26" s="23"/>
      <c r="K26" s="8"/>
      <c r="L26" s="8"/>
      <c r="M26" s="8"/>
    </row>
    <row r="27" spans="1:13" ht="15.75" hidden="1" customHeight="1">
      <c r="A27" s="30">
        <v>12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62" t="s">
        <v>147</v>
      </c>
      <c r="B28" s="163"/>
      <c r="C28" s="163"/>
      <c r="D28" s="163"/>
      <c r="E28" s="163"/>
      <c r="F28" s="163"/>
      <c r="G28" s="163"/>
      <c r="H28" s="163"/>
      <c r="I28" s="164"/>
      <c r="J28" s="24"/>
    </row>
    <row r="29" spans="1:13" ht="15.7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5</v>
      </c>
      <c r="B30" s="118" t="s">
        <v>100</v>
      </c>
      <c r="C30" s="119" t="s">
        <v>83</v>
      </c>
      <c r="D30" s="118" t="s">
        <v>164</v>
      </c>
      <c r="E30" s="113">
        <v>61.5</v>
      </c>
      <c r="F30" s="113">
        <f>SUM(E30*24/1000)</f>
        <v>1.476</v>
      </c>
      <c r="G30" s="113">
        <v>232.4</v>
      </c>
      <c r="H30" s="66">
        <f t="shared" ref="H30:H33" si="3">SUM(F30*G30/1000)</f>
        <v>0.34302240000000001</v>
      </c>
      <c r="I30" s="13">
        <f t="shared" ref="I30:I31" si="4">F30/6*G30</f>
        <v>57.170400000000001</v>
      </c>
      <c r="J30" s="23"/>
      <c r="K30" s="8"/>
      <c r="L30" s="8"/>
      <c r="M30" s="8"/>
    </row>
    <row r="31" spans="1:13" ht="31.5" customHeight="1">
      <c r="A31" s="30">
        <v>6</v>
      </c>
      <c r="B31" s="118" t="s">
        <v>99</v>
      </c>
      <c r="C31" s="119" t="s">
        <v>83</v>
      </c>
      <c r="D31" s="118" t="s">
        <v>171</v>
      </c>
      <c r="E31" s="113">
        <v>35.299999999999997</v>
      </c>
      <c r="F31" s="113">
        <f>SUM(E31*72/1000)</f>
        <v>2.5415999999999999</v>
      </c>
      <c r="G31" s="113">
        <v>385.6</v>
      </c>
      <c r="H31" s="66">
        <f t="shared" si="3"/>
        <v>0.98004096000000007</v>
      </c>
      <c r="I31" s="13">
        <f t="shared" si="4"/>
        <v>163.34016</v>
      </c>
      <c r="J31" s="23"/>
      <c r="K31" s="8"/>
      <c r="L31" s="8"/>
      <c r="M31" s="8"/>
    </row>
    <row r="32" spans="1:13" ht="15.75" hidden="1" customHeight="1">
      <c r="A32" s="30">
        <v>16</v>
      </c>
      <c r="B32" s="118" t="s">
        <v>27</v>
      </c>
      <c r="C32" s="119" t="s">
        <v>83</v>
      </c>
      <c r="D32" s="118" t="s">
        <v>156</v>
      </c>
      <c r="E32" s="113">
        <v>61.5</v>
      </c>
      <c r="F32" s="113">
        <f>SUM(E32/1000)</f>
        <v>6.1499999999999999E-2</v>
      </c>
      <c r="G32" s="113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>
        <v>7</v>
      </c>
      <c r="B33" s="116" t="s">
        <v>178</v>
      </c>
      <c r="C33" s="110" t="s">
        <v>179</v>
      </c>
      <c r="D33" s="118" t="s">
        <v>171</v>
      </c>
      <c r="E33" s="113">
        <v>4</v>
      </c>
      <c r="F33" s="113">
        <f>E33*72/100</f>
        <v>2.88</v>
      </c>
      <c r="G33" s="113">
        <v>1941.17</v>
      </c>
      <c r="H33" s="66">
        <f t="shared" si="3"/>
        <v>5.5905696000000002</v>
      </c>
      <c r="I33" s="13">
        <f>G33*F33/6</f>
        <v>931.76159999999993</v>
      </c>
      <c r="J33" s="24"/>
    </row>
    <row r="34" spans="1:14" ht="15.75" hidden="1" customHeight="1">
      <c r="A34" s="30"/>
      <c r="B34" s="81" t="s">
        <v>5</v>
      </c>
      <c r="C34" s="63"/>
      <c r="D34" s="62"/>
      <c r="E34" s="64"/>
      <c r="F34" s="65"/>
      <c r="G34" s="65"/>
      <c r="H34" s="66" t="s">
        <v>114</v>
      </c>
      <c r="I34" s="13"/>
      <c r="J34" s="24"/>
      <c r="L34" s="19"/>
      <c r="M34" s="20"/>
      <c r="N34" s="21"/>
    </row>
    <row r="35" spans="1:14" ht="15.75" hidden="1" customHeight="1">
      <c r="A35" s="30">
        <v>6</v>
      </c>
      <c r="B35" s="62" t="s">
        <v>26</v>
      </c>
      <c r="C35" s="63" t="s">
        <v>31</v>
      </c>
      <c r="D35" s="62"/>
      <c r="E35" s="64"/>
      <c r="F35" s="65">
        <v>3</v>
      </c>
      <c r="G35" s="65">
        <v>1900.37</v>
      </c>
      <c r="H35" s="66">
        <f t="shared" ref="H35:H40" si="5">SUM(F35*G35/1000)</f>
        <v>5.7011099999999999</v>
      </c>
      <c r="I35" s="13">
        <f t="shared" ref="I35:I40" si="6">F35/6*G35</f>
        <v>950.18499999999995</v>
      </c>
      <c r="J35" s="24"/>
      <c r="L35" s="19"/>
      <c r="M35" s="20"/>
      <c r="N35" s="21"/>
    </row>
    <row r="36" spans="1:14" ht="31.5" hidden="1" customHeight="1">
      <c r="A36" s="30">
        <v>7</v>
      </c>
      <c r="B36" s="62" t="s">
        <v>115</v>
      </c>
      <c r="C36" s="63" t="s">
        <v>29</v>
      </c>
      <c r="D36" s="62" t="s">
        <v>81</v>
      </c>
      <c r="E36" s="64">
        <v>35.299999999999997</v>
      </c>
      <c r="F36" s="65">
        <f>E36*30/1000</f>
        <v>1.0589999999999999</v>
      </c>
      <c r="G36" s="65">
        <v>2616.4899999999998</v>
      </c>
      <c r="H36" s="66">
        <f t="shared" si="5"/>
        <v>2.77086291</v>
      </c>
      <c r="I36" s="13">
        <f t="shared" si="6"/>
        <v>461.81048499999991</v>
      </c>
      <c r="J36" s="24"/>
      <c r="L36" s="19"/>
      <c r="M36" s="20"/>
      <c r="N36" s="21"/>
    </row>
    <row r="37" spans="1:14" ht="15.75" hidden="1" customHeight="1">
      <c r="A37" s="30">
        <v>8</v>
      </c>
      <c r="B37" s="62" t="s">
        <v>116</v>
      </c>
      <c r="C37" s="63" t="s">
        <v>29</v>
      </c>
      <c r="D37" s="62" t="s">
        <v>82</v>
      </c>
      <c r="E37" s="64">
        <v>35.299999999999997</v>
      </c>
      <c r="F37" s="65">
        <f>SUM(E37*155/1000)</f>
        <v>5.4714999999999998</v>
      </c>
      <c r="G37" s="65">
        <v>436.45</v>
      </c>
      <c r="H37" s="66">
        <f t="shared" si="5"/>
        <v>2.3880361749999999</v>
      </c>
      <c r="I37" s="13">
        <f t="shared" si="6"/>
        <v>398.00602916666662</v>
      </c>
      <c r="J37" s="24"/>
      <c r="L37" s="19"/>
      <c r="M37" s="20"/>
      <c r="N37" s="21"/>
    </row>
    <row r="38" spans="1:14" ht="47.25" hidden="1" customHeight="1">
      <c r="A38" s="30">
        <v>9</v>
      </c>
      <c r="B38" s="62" t="s">
        <v>117</v>
      </c>
      <c r="C38" s="63" t="s">
        <v>83</v>
      </c>
      <c r="D38" s="62" t="s">
        <v>118</v>
      </c>
      <c r="E38" s="64">
        <v>35.299999999999997</v>
      </c>
      <c r="F38" s="65">
        <f>SUM(E38*24/1000)</f>
        <v>0.84719999999999995</v>
      </c>
      <c r="G38" s="65">
        <v>7221.21</v>
      </c>
      <c r="H38" s="66">
        <f t="shared" si="5"/>
        <v>6.1178091119999998</v>
      </c>
      <c r="I38" s="13">
        <f t="shared" si="6"/>
        <v>1019.6348519999999</v>
      </c>
      <c r="J38" s="24"/>
      <c r="L38" s="19"/>
      <c r="M38" s="20"/>
      <c r="N38" s="21"/>
    </row>
    <row r="39" spans="1:14" ht="15.75" hidden="1" customHeight="1">
      <c r="A39" s="30">
        <v>10</v>
      </c>
      <c r="B39" s="62" t="s">
        <v>119</v>
      </c>
      <c r="C39" s="63" t="s">
        <v>83</v>
      </c>
      <c r="D39" s="62" t="s">
        <v>66</v>
      </c>
      <c r="E39" s="64">
        <v>35.299999999999997</v>
      </c>
      <c r="F39" s="65">
        <f>SUM(E39*45/1000)</f>
        <v>1.5884999999999998</v>
      </c>
      <c r="G39" s="65">
        <v>533.45000000000005</v>
      </c>
      <c r="H39" s="66">
        <f t="shared" si="5"/>
        <v>0.84738532499999997</v>
      </c>
      <c r="I39" s="13">
        <f t="shared" si="6"/>
        <v>141.23088749999999</v>
      </c>
      <c r="J39" s="24"/>
      <c r="L39" s="19"/>
      <c r="M39" s="20"/>
      <c r="N39" s="21"/>
    </row>
    <row r="40" spans="1:14" ht="15.75" hidden="1" customHeight="1">
      <c r="A40" s="30">
        <v>11</v>
      </c>
      <c r="B40" s="62" t="s">
        <v>67</v>
      </c>
      <c r="C40" s="63" t="s">
        <v>32</v>
      </c>
      <c r="D40" s="62"/>
      <c r="E40" s="64"/>
      <c r="F40" s="65">
        <v>0.3</v>
      </c>
      <c r="G40" s="65">
        <v>992.97</v>
      </c>
      <c r="H40" s="66">
        <f t="shared" si="5"/>
        <v>0.29789100000000002</v>
      </c>
      <c r="I40" s="13">
        <f t="shared" si="6"/>
        <v>49.648499999999999</v>
      </c>
      <c r="J40" s="24"/>
      <c r="L40" s="19"/>
      <c r="M40" s="20"/>
      <c r="N40" s="21"/>
    </row>
    <row r="41" spans="1:14" ht="15.75" hidden="1" customHeight="1">
      <c r="A41" s="162" t="s">
        <v>132</v>
      </c>
      <c r="B41" s="163"/>
      <c r="C41" s="163"/>
      <c r="D41" s="163"/>
      <c r="E41" s="163"/>
      <c r="F41" s="163"/>
      <c r="G41" s="163"/>
      <c r="H41" s="163"/>
      <c r="I41" s="164"/>
      <c r="J41" s="24"/>
      <c r="L41" s="19"/>
      <c r="M41" s="20"/>
      <c r="N41" s="21"/>
    </row>
    <row r="42" spans="1:14" ht="15.75" hidden="1" customHeight="1">
      <c r="A42" s="30">
        <v>18</v>
      </c>
      <c r="B42" s="62" t="s">
        <v>101</v>
      </c>
      <c r="C42" s="63" t="s">
        <v>83</v>
      </c>
      <c r="D42" s="62" t="s">
        <v>42</v>
      </c>
      <c r="E42" s="64">
        <v>907.4</v>
      </c>
      <c r="F42" s="65">
        <f>SUM(E42*2/1000)</f>
        <v>1.8148</v>
      </c>
      <c r="G42" s="13">
        <v>1283.46</v>
      </c>
      <c r="H42" s="66">
        <f t="shared" ref="H42:H51" si="7">SUM(F42*G42/1000)</f>
        <v>2.3292232079999997</v>
      </c>
      <c r="I42" s="13">
        <f>F42/2*G42</f>
        <v>1164.6116039999999</v>
      </c>
      <c r="J42" s="24"/>
      <c r="L42" s="19"/>
      <c r="M42" s="20"/>
      <c r="N42" s="21"/>
    </row>
    <row r="43" spans="1:14" ht="15.75" hidden="1" customHeight="1">
      <c r="A43" s="30">
        <v>19</v>
      </c>
      <c r="B43" s="62" t="s">
        <v>35</v>
      </c>
      <c r="C43" s="63" t="s">
        <v>83</v>
      </c>
      <c r="D43" s="62" t="s">
        <v>42</v>
      </c>
      <c r="E43" s="64">
        <v>27</v>
      </c>
      <c r="F43" s="65">
        <f>SUM(E43*2/1000)</f>
        <v>5.3999999999999999E-2</v>
      </c>
      <c r="G43" s="13">
        <v>4192.6400000000003</v>
      </c>
      <c r="H43" s="66">
        <f t="shared" si="7"/>
        <v>0.22640256000000003</v>
      </c>
      <c r="I43" s="13">
        <f t="shared" ref="I43:I50" si="8">F43/2*G43</f>
        <v>113.20128000000001</v>
      </c>
      <c r="J43" s="24"/>
      <c r="L43" s="19"/>
      <c r="M43" s="20"/>
      <c r="N43" s="21"/>
    </row>
    <row r="44" spans="1:14" ht="15.75" hidden="1" customHeight="1">
      <c r="A44" s="30">
        <v>20</v>
      </c>
      <c r="B44" s="62" t="s">
        <v>36</v>
      </c>
      <c r="C44" s="63" t="s">
        <v>83</v>
      </c>
      <c r="D44" s="62" t="s">
        <v>42</v>
      </c>
      <c r="E44" s="64">
        <v>772</v>
      </c>
      <c r="F44" s="65">
        <f>SUM(E44*2/1000)</f>
        <v>1.544</v>
      </c>
      <c r="G44" s="13">
        <v>1711.28</v>
      </c>
      <c r="H44" s="66">
        <f t="shared" si="7"/>
        <v>2.6422163200000002</v>
      </c>
      <c r="I44" s="13">
        <f t="shared" si="8"/>
        <v>1321.10816</v>
      </c>
      <c r="J44" s="24"/>
      <c r="L44" s="19"/>
      <c r="M44" s="20"/>
      <c r="N44" s="21"/>
    </row>
    <row r="45" spans="1:14" ht="15.75" hidden="1" customHeight="1">
      <c r="A45" s="30">
        <v>21</v>
      </c>
      <c r="B45" s="62" t="s">
        <v>37</v>
      </c>
      <c r="C45" s="63" t="s">
        <v>83</v>
      </c>
      <c r="D45" s="62" t="s">
        <v>42</v>
      </c>
      <c r="E45" s="64">
        <v>959.4</v>
      </c>
      <c r="F45" s="65">
        <f>SUM(E45*2/1000)</f>
        <v>1.9188000000000001</v>
      </c>
      <c r="G45" s="13">
        <v>1179.73</v>
      </c>
      <c r="H45" s="66">
        <f t="shared" si="7"/>
        <v>2.2636659240000001</v>
      </c>
      <c r="I45" s="13">
        <f t="shared" si="8"/>
        <v>1131.832962</v>
      </c>
      <c r="J45" s="24"/>
      <c r="L45" s="19"/>
      <c r="M45" s="20"/>
      <c r="N45" s="21"/>
    </row>
    <row r="46" spans="1:14" ht="15.75" hidden="1" customHeight="1">
      <c r="A46" s="30">
        <v>22</v>
      </c>
      <c r="B46" s="62" t="s">
        <v>33</v>
      </c>
      <c r="C46" s="63" t="s">
        <v>34</v>
      </c>
      <c r="D46" s="62" t="s">
        <v>42</v>
      </c>
      <c r="E46" s="64">
        <v>66.02</v>
      </c>
      <c r="F46" s="65">
        <f>SUM(E46*2/100)</f>
        <v>1.3204</v>
      </c>
      <c r="G46" s="13">
        <v>90.61</v>
      </c>
      <c r="H46" s="66">
        <f t="shared" si="7"/>
        <v>0.11964144400000001</v>
      </c>
      <c r="I46" s="13">
        <f t="shared" si="8"/>
        <v>59.820722000000004</v>
      </c>
      <c r="J46" s="24"/>
      <c r="L46" s="19"/>
      <c r="M46" s="20"/>
      <c r="N46" s="21"/>
    </row>
    <row r="47" spans="1:14" ht="15.75" hidden="1" customHeight="1">
      <c r="A47" s="30">
        <v>23</v>
      </c>
      <c r="B47" s="62" t="s">
        <v>55</v>
      </c>
      <c r="C47" s="63" t="s">
        <v>83</v>
      </c>
      <c r="D47" s="62" t="s">
        <v>131</v>
      </c>
      <c r="E47" s="64">
        <v>1536.4</v>
      </c>
      <c r="F47" s="65">
        <f>SUM(E47*5/1000)</f>
        <v>7.6820000000000004</v>
      </c>
      <c r="G47" s="13">
        <v>1711.28</v>
      </c>
      <c r="H47" s="66">
        <f t="shared" si="7"/>
        <v>13.14605296</v>
      </c>
      <c r="I47" s="13">
        <f>F47/5*G47</f>
        <v>2629.2105919999999</v>
      </c>
      <c r="J47" s="24"/>
      <c r="L47" s="19"/>
      <c r="M47" s="20"/>
      <c r="N47" s="21"/>
    </row>
    <row r="48" spans="1:14" ht="32.25" hidden="1" customHeight="1">
      <c r="A48" s="30">
        <v>12</v>
      </c>
      <c r="B48" s="62" t="s">
        <v>84</v>
      </c>
      <c r="C48" s="63" t="s">
        <v>83</v>
      </c>
      <c r="D48" s="62" t="s">
        <v>42</v>
      </c>
      <c r="E48" s="64">
        <v>1536.4</v>
      </c>
      <c r="F48" s="65">
        <f>SUM(E48*2/1000)</f>
        <v>3.0728</v>
      </c>
      <c r="G48" s="13">
        <v>1510.06</v>
      </c>
      <c r="H48" s="66">
        <f t="shared" si="7"/>
        <v>4.6401123680000005</v>
      </c>
      <c r="I48" s="13">
        <f t="shared" si="8"/>
        <v>2320.056184</v>
      </c>
      <c r="J48" s="24"/>
      <c r="L48" s="19"/>
      <c r="M48" s="20"/>
      <c r="N48" s="21"/>
    </row>
    <row r="49" spans="1:22" ht="32.25" hidden="1" customHeight="1">
      <c r="A49" s="30">
        <v>13</v>
      </c>
      <c r="B49" s="62" t="s">
        <v>85</v>
      </c>
      <c r="C49" s="63" t="s">
        <v>38</v>
      </c>
      <c r="D49" s="62" t="s">
        <v>42</v>
      </c>
      <c r="E49" s="64">
        <v>9</v>
      </c>
      <c r="F49" s="65">
        <f>SUM(E49*2/100)</f>
        <v>0.18</v>
      </c>
      <c r="G49" s="13">
        <v>3850.4</v>
      </c>
      <c r="H49" s="66">
        <f t="shared" si="7"/>
        <v>0.69307200000000002</v>
      </c>
      <c r="I49" s="13">
        <f t="shared" si="8"/>
        <v>346.536</v>
      </c>
      <c r="J49" s="24"/>
      <c r="L49" s="19"/>
      <c r="M49" s="20"/>
      <c r="N49" s="21"/>
    </row>
    <row r="50" spans="1:22" ht="15.75" hidden="1" customHeight="1">
      <c r="A50" s="30">
        <v>14</v>
      </c>
      <c r="B50" s="62" t="s">
        <v>39</v>
      </c>
      <c r="C50" s="63" t="s">
        <v>40</v>
      </c>
      <c r="D50" s="62" t="s">
        <v>42</v>
      </c>
      <c r="E50" s="64">
        <v>1</v>
      </c>
      <c r="F50" s="65">
        <v>0.02</v>
      </c>
      <c r="G50" s="13">
        <v>7033.13</v>
      </c>
      <c r="H50" s="66">
        <f t="shared" si="7"/>
        <v>0.1406626</v>
      </c>
      <c r="I50" s="13">
        <f t="shared" si="8"/>
        <v>70.331299999999999</v>
      </c>
      <c r="J50" s="24"/>
      <c r="L50" s="19"/>
      <c r="M50" s="20"/>
      <c r="N50" s="21"/>
    </row>
    <row r="51" spans="1:22" ht="15.75" hidden="1" customHeight="1">
      <c r="A51" s="30">
        <v>24</v>
      </c>
      <c r="B51" s="62" t="s">
        <v>41</v>
      </c>
      <c r="C51" s="63" t="s">
        <v>102</v>
      </c>
      <c r="D51" s="62" t="s">
        <v>68</v>
      </c>
      <c r="E51" s="64">
        <v>53</v>
      </c>
      <c r="F51" s="65">
        <f>53*3</f>
        <v>159</v>
      </c>
      <c r="G51" s="13">
        <v>81.73</v>
      </c>
      <c r="H51" s="66">
        <f t="shared" si="7"/>
        <v>12.995070000000002</v>
      </c>
      <c r="I51" s="13">
        <f>F51/3*G51</f>
        <v>4331.6900000000005</v>
      </c>
      <c r="J51" s="24"/>
      <c r="L51" s="19"/>
    </row>
    <row r="52" spans="1:22" ht="15.75" customHeight="1">
      <c r="A52" s="162" t="s">
        <v>138</v>
      </c>
      <c r="B52" s="163"/>
      <c r="C52" s="163"/>
      <c r="D52" s="163"/>
      <c r="E52" s="163"/>
      <c r="F52" s="163"/>
      <c r="G52" s="163"/>
      <c r="H52" s="163"/>
      <c r="I52" s="164"/>
    </row>
    <row r="53" spans="1:22" ht="15.75" hidden="1" customHeight="1">
      <c r="A53" s="30"/>
      <c r="B53" s="81" t="s">
        <v>43</v>
      </c>
      <c r="C53" s="63"/>
      <c r="D53" s="62"/>
      <c r="E53" s="64"/>
      <c r="F53" s="65"/>
      <c r="G53" s="65"/>
      <c r="H53" s="66"/>
      <c r="I53" s="13"/>
    </row>
    <row r="54" spans="1:22" ht="31.5" hidden="1" customHeight="1">
      <c r="A54" s="30">
        <v>15</v>
      </c>
      <c r="B54" s="62" t="s">
        <v>103</v>
      </c>
      <c r="C54" s="63" t="s">
        <v>80</v>
      </c>
      <c r="D54" s="62" t="s">
        <v>104</v>
      </c>
      <c r="E54" s="64">
        <v>11.5</v>
      </c>
      <c r="F54" s="65">
        <f>SUM(E54*6/100)</f>
        <v>0.69</v>
      </c>
      <c r="G54" s="13">
        <v>2306.62</v>
      </c>
      <c r="H54" s="66">
        <f>SUM(F54*G54/1000)</f>
        <v>1.5915677999999998</v>
      </c>
      <c r="I54" s="13">
        <f>F54/6*G54</f>
        <v>265.26129999999995</v>
      </c>
    </row>
    <row r="55" spans="1:22" ht="15.75" hidden="1" customHeight="1">
      <c r="A55" s="30"/>
      <c r="B55" s="62" t="s">
        <v>120</v>
      </c>
      <c r="C55" s="63" t="s">
        <v>121</v>
      </c>
      <c r="D55" s="62" t="s">
        <v>65</v>
      </c>
      <c r="E55" s="64"/>
      <c r="F55" s="65">
        <v>2</v>
      </c>
      <c r="G55" s="84">
        <v>1501</v>
      </c>
      <c r="H55" s="66">
        <f>SUM(F55*G55/1000)</f>
        <v>3.0019999999999998</v>
      </c>
      <c r="I55" s="13">
        <v>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9"/>
    </row>
    <row r="56" spans="1:22" ht="15.75" customHeight="1">
      <c r="A56" s="30"/>
      <c r="B56" s="81" t="s">
        <v>44</v>
      </c>
      <c r="C56" s="63"/>
      <c r="D56" s="62"/>
      <c r="E56" s="64"/>
      <c r="F56" s="65"/>
      <c r="G56" s="85"/>
      <c r="H56" s="66"/>
      <c r="I56" s="13"/>
      <c r="J56" s="26"/>
      <c r="K56" s="26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2" ht="15.75" hidden="1" customHeight="1">
      <c r="A57" s="30"/>
      <c r="B57" s="62" t="s">
        <v>105</v>
      </c>
      <c r="C57" s="63" t="s">
        <v>80</v>
      </c>
      <c r="D57" s="62" t="s">
        <v>53</v>
      </c>
      <c r="E57" s="64">
        <v>148</v>
      </c>
      <c r="F57" s="66">
        <f>E57/100</f>
        <v>1.48</v>
      </c>
      <c r="G57" s="13">
        <v>987.51</v>
      </c>
      <c r="H57" s="71">
        <f>F57*G57/1000</f>
        <v>1.4615148</v>
      </c>
      <c r="I57" s="13">
        <v>0</v>
      </c>
      <c r="J57" s="3"/>
      <c r="K57" s="3"/>
      <c r="L57" s="3"/>
      <c r="M57" s="3"/>
      <c r="N57" s="3"/>
      <c r="O57" s="3"/>
      <c r="P57" s="3"/>
      <c r="Q57" s="3"/>
      <c r="S57" s="3"/>
      <c r="T57" s="3"/>
      <c r="U57" s="3"/>
    </row>
    <row r="58" spans="1:22" ht="15.75" customHeight="1">
      <c r="A58" s="30">
        <v>8</v>
      </c>
      <c r="B58" s="73" t="s">
        <v>129</v>
      </c>
      <c r="C58" s="72" t="s">
        <v>25</v>
      </c>
      <c r="D58" s="73" t="s">
        <v>156</v>
      </c>
      <c r="E58" s="74">
        <v>140.5</v>
      </c>
      <c r="F58" s="65">
        <f>E58*12</f>
        <v>1686</v>
      </c>
      <c r="G58" s="86">
        <v>1.4</v>
      </c>
      <c r="H58" s="71">
        <f>F58*G58/1000</f>
        <v>2.3603999999999998</v>
      </c>
      <c r="I58" s="13">
        <f>1320/12*G58</f>
        <v>154</v>
      </c>
      <c r="J58" s="5"/>
      <c r="K58" s="5"/>
      <c r="L58" s="5"/>
      <c r="M58" s="5"/>
      <c r="N58" s="5"/>
      <c r="O58" s="5"/>
      <c r="P58" s="5"/>
      <c r="Q58" s="5"/>
      <c r="R58" s="161"/>
      <c r="S58" s="161"/>
      <c r="T58" s="161"/>
      <c r="U58" s="161"/>
    </row>
    <row r="59" spans="1:22" ht="15.75" customHeight="1">
      <c r="A59" s="30"/>
      <c r="B59" s="82" t="s">
        <v>45</v>
      </c>
      <c r="C59" s="72"/>
      <c r="D59" s="73"/>
      <c r="E59" s="74"/>
      <c r="F59" s="75"/>
      <c r="G59" s="75"/>
      <c r="H59" s="76" t="s">
        <v>114</v>
      </c>
      <c r="I59" s="13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2" ht="21" hidden="1" customHeight="1">
      <c r="A60" s="30">
        <v>8</v>
      </c>
      <c r="B60" s="14" t="s">
        <v>46</v>
      </c>
      <c r="C60" s="16" t="s">
        <v>102</v>
      </c>
      <c r="D60" s="14" t="s">
        <v>161</v>
      </c>
      <c r="E60" s="18">
        <v>2</v>
      </c>
      <c r="F60" s="65">
        <f>E60</f>
        <v>2</v>
      </c>
      <c r="G60" s="13">
        <v>276.74</v>
      </c>
      <c r="H60" s="61">
        <f t="shared" ref="H60:H78" si="9">SUM(F60*G60/1000)</f>
        <v>0.55347999999999997</v>
      </c>
      <c r="I60" s="13">
        <f>G60*2</f>
        <v>553.48</v>
      </c>
    </row>
    <row r="61" spans="1:22" ht="26.25" hidden="1" customHeight="1">
      <c r="A61" s="30"/>
      <c r="B61" s="14" t="s">
        <v>47</v>
      </c>
      <c r="C61" s="16" t="s">
        <v>102</v>
      </c>
      <c r="D61" s="14" t="s">
        <v>65</v>
      </c>
      <c r="E61" s="18">
        <v>1</v>
      </c>
      <c r="F61" s="65">
        <f>E61</f>
        <v>1</v>
      </c>
      <c r="G61" s="13">
        <v>94.89</v>
      </c>
      <c r="H61" s="61">
        <f t="shared" si="9"/>
        <v>9.4890000000000002E-2</v>
      </c>
      <c r="I61" s="13">
        <v>0</v>
      </c>
    </row>
    <row r="62" spans="1:22" ht="17.25" customHeight="1">
      <c r="A62" s="30">
        <v>9</v>
      </c>
      <c r="B62" s="145" t="s">
        <v>48</v>
      </c>
      <c r="C62" s="146" t="s">
        <v>106</v>
      </c>
      <c r="D62" s="133"/>
      <c r="E62" s="123">
        <v>6307</v>
      </c>
      <c r="F62" s="124">
        <f>SUM(E62/100)</f>
        <v>63.07</v>
      </c>
      <c r="G62" s="34">
        <v>316.3</v>
      </c>
      <c r="H62" s="61">
        <f t="shared" si="9"/>
        <v>19.949041000000001</v>
      </c>
      <c r="I62" s="13">
        <f>F62*G62</f>
        <v>19949.041000000001</v>
      </c>
    </row>
    <row r="63" spans="1:22" ht="18.75" customHeight="1">
      <c r="A63" s="30">
        <v>10</v>
      </c>
      <c r="B63" s="145" t="s">
        <v>49</v>
      </c>
      <c r="C63" s="125" t="s">
        <v>107</v>
      </c>
      <c r="D63" s="133"/>
      <c r="E63" s="123">
        <v>6307</v>
      </c>
      <c r="F63" s="34">
        <f>SUM(E63/1000)</f>
        <v>6.3070000000000004</v>
      </c>
      <c r="G63" s="34">
        <v>246.31</v>
      </c>
      <c r="H63" s="61">
        <f t="shared" si="9"/>
        <v>1.5534771700000001</v>
      </c>
      <c r="I63" s="13">
        <f t="shared" ref="I63:I66" si="10">F63*G63</f>
        <v>1553.4771700000001</v>
      </c>
    </row>
    <row r="64" spans="1:22" ht="21" customHeight="1">
      <c r="A64" s="30">
        <v>11</v>
      </c>
      <c r="B64" s="145" t="s">
        <v>50</v>
      </c>
      <c r="C64" s="125" t="s">
        <v>74</v>
      </c>
      <c r="D64" s="133"/>
      <c r="E64" s="123">
        <v>1003</v>
      </c>
      <c r="F64" s="34">
        <f>SUM(E64/100)</f>
        <v>10.029999999999999</v>
      </c>
      <c r="G64" s="34">
        <v>3093.06</v>
      </c>
      <c r="H64" s="61">
        <f t="shared" si="9"/>
        <v>31.023391799999999</v>
      </c>
      <c r="I64" s="13">
        <f t="shared" si="10"/>
        <v>31023.391799999998</v>
      </c>
    </row>
    <row r="65" spans="1:9" ht="19.5" customHeight="1">
      <c r="A65" s="30">
        <v>12</v>
      </c>
      <c r="B65" s="147" t="s">
        <v>108</v>
      </c>
      <c r="C65" s="125" t="s">
        <v>32</v>
      </c>
      <c r="D65" s="133"/>
      <c r="E65" s="123">
        <v>6.6</v>
      </c>
      <c r="F65" s="34">
        <f>SUM(E65)</f>
        <v>6.6</v>
      </c>
      <c r="G65" s="34">
        <v>49.36</v>
      </c>
      <c r="H65" s="61">
        <f t="shared" si="9"/>
        <v>0.32577599999999995</v>
      </c>
      <c r="I65" s="13">
        <f t="shared" si="10"/>
        <v>325.77599999999995</v>
      </c>
    </row>
    <row r="66" spans="1:9" ht="17.25" customHeight="1">
      <c r="A66" s="30">
        <v>13</v>
      </c>
      <c r="B66" s="147" t="s">
        <v>109</v>
      </c>
      <c r="C66" s="125" t="s">
        <v>32</v>
      </c>
      <c r="D66" s="133"/>
      <c r="E66" s="123">
        <v>6.6</v>
      </c>
      <c r="F66" s="34">
        <f>SUM(E66)</f>
        <v>6.6</v>
      </c>
      <c r="G66" s="34">
        <v>56.66</v>
      </c>
      <c r="H66" s="61">
        <f t="shared" si="9"/>
        <v>0.37395599999999996</v>
      </c>
      <c r="I66" s="13">
        <f t="shared" si="10"/>
        <v>373.95599999999996</v>
      </c>
    </row>
    <row r="67" spans="1:9" ht="18.75" hidden="1" customHeight="1">
      <c r="A67" s="30">
        <v>11</v>
      </c>
      <c r="B67" s="142" t="s">
        <v>56</v>
      </c>
      <c r="C67" s="143" t="s">
        <v>57</v>
      </c>
      <c r="D67" s="142" t="s">
        <v>53</v>
      </c>
      <c r="E67" s="144">
        <v>3</v>
      </c>
      <c r="F67" s="140">
        <v>3</v>
      </c>
      <c r="G67" s="115">
        <v>74.37</v>
      </c>
      <c r="H67" s="61">
        <f t="shared" si="9"/>
        <v>0.22311</v>
      </c>
      <c r="I67" s="13">
        <f>F67*G67</f>
        <v>223.11</v>
      </c>
    </row>
    <row r="68" spans="1:9" ht="18.75" customHeight="1">
      <c r="A68" s="30"/>
      <c r="B68" s="148" t="s">
        <v>157</v>
      </c>
      <c r="C68" s="143"/>
      <c r="D68" s="142"/>
      <c r="E68" s="144"/>
      <c r="F68" s="128"/>
      <c r="G68" s="115"/>
      <c r="H68" s="61"/>
      <c r="I68" s="13"/>
    </row>
    <row r="69" spans="1:9" ht="15.75" customHeight="1">
      <c r="A69" s="30">
        <v>14</v>
      </c>
      <c r="B69" s="133" t="s">
        <v>122</v>
      </c>
      <c r="C69" s="126" t="s">
        <v>123</v>
      </c>
      <c r="D69" s="133" t="s">
        <v>156</v>
      </c>
      <c r="E69" s="17">
        <v>1536.4</v>
      </c>
      <c r="F69" s="134">
        <f>E69*12</f>
        <v>18436.800000000003</v>
      </c>
      <c r="G69" s="34">
        <v>2.6</v>
      </c>
      <c r="H69" s="61">
        <f t="shared" ref="H69" si="11">SUM(F69*G69/1000)</f>
        <v>47.935680000000005</v>
      </c>
      <c r="I69" s="13">
        <f>F69/12*G69</f>
        <v>3994.6400000000008</v>
      </c>
    </row>
    <row r="70" spans="1:9" ht="15.75" customHeight="1">
      <c r="A70" s="30"/>
      <c r="B70" s="92" t="s">
        <v>69</v>
      </c>
      <c r="C70" s="16"/>
      <c r="D70" s="14"/>
      <c r="E70" s="18"/>
      <c r="F70" s="13"/>
      <c r="G70" s="13"/>
      <c r="H70" s="61" t="s">
        <v>114</v>
      </c>
      <c r="I70" s="13"/>
    </row>
    <row r="71" spans="1:9" ht="15.75" hidden="1" customHeight="1">
      <c r="A71" s="30"/>
      <c r="B71" s="14" t="s">
        <v>124</v>
      </c>
      <c r="C71" s="16" t="s">
        <v>125</v>
      </c>
      <c r="D71" s="14" t="s">
        <v>65</v>
      </c>
      <c r="E71" s="18">
        <v>1</v>
      </c>
      <c r="F71" s="13">
        <f>E71</f>
        <v>1</v>
      </c>
      <c r="G71" s="13">
        <v>976.4</v>
      </c>
      <c r="H71" s="61">
        <f t="shared" ref="H71:H72" si="12">SUM(F71*G71/1000)</f>
        <v>0.97639999999999993</v>
      </c>
      <c r="I71" s="13">
        <v>0</v>
      </c>
    </row>
    <row r="72" spans="1:9" ht="15.75" hidden="1" customHeight="1">
      <c r="A72" s="30"/>
      <c r="B72" s="14" t="s">
        <v>126</v>
      </c>
      <c r="C72" s="16" t="s">
        <v>127</v>
      </c>
      <c r="D72" s="14"/>
      <c r="E72" s="18">
        <v>1</v>
      </c>
      <c r="F72" s="13">
        <v>1</v>
      </c>
      <c r="G72" s="13">
        <v>650</v>
      </c>
      <c r="H72" s="61">
        <f t="shared" si="12"/>
        <v>0.65</v>
      </c>
      <c r="I72" s="13">
        <v>0</v>
      </c>
    </row>
    <row r="73" spans="1:9" ht="15.75" hidden="1" customHeight="1">
      <c r="A73" s="30">
        <v>11</v>
      </c>
      <c r="B73" s="14" t="s">
        <v>70</v>
      </c>
      <c r="C73" s="16" t="s">
        <v>72</v>
      </c>
      <c r="D73" s="14"/>
      <c r="E73" s="18">
        <v>3</v>
      </c>
      <c r="F73" s="13">
        <v>0.3</v>
      </c>
      <c r="G73" s="13">
        <v>624.16999999999996</v>
      </c>
      <c r="H73" s="61">
        <f t="shared" si="9"/>
        <v>0.18725099999999997</v>
      </c>
      <c r="I73" s="13">
        <f>G73*0.3</f>
        <v>187.25099999999998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56">
        <v>1</v>
      </c>
      <c r="G74" s="13">
        <v>1061.4100000000001</v>
      </c>
      <c r="H74" s="61">
        <f>F74*G74/1000</f>
        <v>1.0614100000000002</v>
      </c>
      <c r="I74" s="13">
        <v>0</v>
      </c>
    </row>
    <row r="75" spans="1:9" ht="15.75" customHeight="1">
      <c r="A75" s="30">
        <v>15</v>
      </c>
      <c r="B75" s="46" t="s">
        <v>173</v>
      </c>
      <c r="C75" s="47" t="s">
        <v>102</v>
      </c>
      <c r="D75" s="133" t="s">
        <v>166</v>
      </c>
      <c r="E75" s="17">
        <v>2</v>
      </c>
      <c r="F75" s="34">
        <f>E75*12</f>
        <v>24</v>
      </c>
      <c r="G75" s="34">
        <v>420</v>
      </c>
      <c r="H75" s="61">
        <f>G75*F75/1000</f>
        <v>10.08</v>
      </c>
      <c r="I75" s="13">
        <f>G75*2</f>
        <v>840</v>
      </c>
    </row>
    <row r="76" spans="1:9" ht="15.75" customHeight="1">
      <c r="A76" s="30">
        <v>16</v>
      </c>
      <c r="B76" s="46" t="s">
        <v>174</v>
      </c>
      <c r="C76" s="47" t="s">
        <v>30</v>
      </c>
      <c r="D76" s="133" t="s">
        <v>166</v>
      </c>
      <c r="E76" s="17">
        <v>1</v>
      </c>
      <c r="F76" s="34">
        <f>E76*12</f>
        <v>12</v>
      </c>
      <c r="G76" s="34">
        <v>1829</v>
      </c>
      <c r="H76" s="61"/>
      <c r="I76" s="13">
        <f>G76*F76/12</f>
        <v>1829</v>
      </c>
    </row>
    <row r="77" spans="1:9" ht="20.25" hidden="1" customHeight="1">
      <c r="A77" s="30"/>
      <c r="B77" s="79" t="s">
        <v>73</v>
      </c>
      <c r="C77" s="16"/>
      <c r="D77" s="14"/>
      <c r="E77" s="18"/>
      <c r="F77" s="13"/>
      <c r="G77" s="13" t="s">
        <v>114</v>
      </c>
      <c r="H77" s="61" t="s">
        <v>114</v>
      </c>
      <c r="I77" s="13" t="str">
        <f>G77</f>
        <v xml:space="preserve"> </v>
      </c>
    </row>
    <row r="78" spans="1:9" ht="20.25" hidden="1" customHeight="1">
      <c r="A78" s="30"/>
      <c r="B78" s="43" t="s">
        <v>128</v>
      </c>
      <c r="C78" s="16" t="s">
        <v>74</v>
      </c>
      <c r="D78" s="14"/>
      <c r="E78" s="18"/>
      <c r="F78" s="13">
        <v>0.1</v>
      </c>
      <c r="G78" s="13">
        <v>3433.69</v>
      </c>
      <c r="H78" s="61">
        <f t="shared" si="9"/>
        <v>0.34336900000000004</v>
      </c>
      <c r="I78" s="13">
        <v>0</v>
      </c>
    </row>
    <row r="79" spans="1:9" ht="24.75" hidden="1" customHeight="1">
      <c r="A79" s="30"/>
      <c r="B79" s="55" t="s">
        <v>86</v>
      </c>
      <c r="C79" s="79"/>
      <c r="D79" s="31"/>
      <c r="E79" s="32"/>
      <c r="F79" s="68"/>
      <c r="G79" s="68"/>
      <c r="H79" s="80">
        <f>SUM(H54:H78)</f>
        <v>123.74671456999999</v>
      </c>
      <c r="I79" s="13"/>
    </row>
    <row r="80" spans="1:9" ht="18.75" hidden="1" customHeight="1">
      <c r="A80" s="30">
        <v>13</v>
      </c>
      <c r="B80" s="62" t="s">
        <v>110</v>
      </c>
      <c r="C80" s="16"/>
      <c r="D80" s="14"/>
      <c r="E80" s="57"/>
      <c r="F80" s="13">
        <v>1</v>
      </c>
      <c r="G80" s="35">
        <v>6486.6</v>
      </c>
      <c r="H80" s="61">
        <f>G80*F80/1000</f>
        <v>6.4866000000000001</v>
      </c>
      <c r="I80" s="13">
        <f>G80</f>
        <v>6486.6</v>
      </c>
    </row>
    <row r="81" spans="1:9" ht="15.75" customHeight="1">
      <c r="A81" s="162" t="s">
        <v>139</v>
      </c>
      <c r="B81" s="163"/>
      <c r="C81" s="163"/>
      <c r="D81" s="163"/>
      <c r="E81" s="163"/>
      <c r="F81" s="163"/>
      <c r="G81" s="163"/>
      <c r="H81" s="163"/>
      <c r="I81" s="164"/>
    </row>
    <row r="82" spans="1:9" ht="15.75" customHeight="1">
      <c r="A82" s="30">
        <v>17</v>
      </c>
      <c r="B82" s="118" t="s">
        <v>111</v>
      </c>
      <c r="C82" s="125" t="s">
        <v>54</v>
      </c>
      <c r="D82" s="135"/>
      <c r="E82" s="34">
        <v>1536.4</v>
      </c>
      <c r="F82" s="34">
        <f>SUM(E82*12)</f>
        <v>18436.800000000003</v>
      </c>
      <c r="G82" s="34">
        <v>3.5</v>
      </c>
      <c r="H82" s="61">
        <f>SUM(F82*G82/1000)</f>
        <v>64.528800000000004</v>
      </c>
      <c r="I82" s="13">
        <f>F82/12*G82</f>
        <v>5377.4000000000015</v>
      </c>
    </row>
    <row r="83" spans="1:9" ht="31.5" customHeight="1">
      <c r="A83" s="30">
        <v>18</v>
      </c>
      <c r="B83" s="118" t="s">
        <v>175</v>
      </c>
      <c r="C83" s="125" t="s">
        <v>54</v>
      </c>
      <c r="D83" s="135"/>
      <c r="E83" s="34">
        <v>1536.4</v>
      </c>
      <c r="F83" s="34">
        <f>E83*12</f>
        <v>18436.800000000003</v>
      </c>
      <c r="G83" s="34">
        <v>3.2</v>
      </c>
      <c r="H83" s="61">
        <f>F83*G83/1000</f>
        <v>58.997760000000007</v>
      </c>
      <c r="I83" s="13">
        <f>F83/12*G83</f>
        <v>4916.4800000000014</v>
      </c>
    </row>
    <row r="84" spans="1:9" ht="15.75" customHeight="1">
      <c r="A84" s="30"/>
      <c r="B84" s="36" t="s">
        <v>76</v>
      </c>
      <c r="C84" s="79"/>
      <c r="D84" s="78"/>
      <c r="E84" s="68"/>
      <c r="F84" s="68"/>
      <c r="G84" s="68"/>
      <c r="H84" s="80">
        <f>H83</f>
        <v>58.997760000000007</v>
      </c>
      <c r="I84" s="68">
        <f>I83+I82+I76+I75+I69+I66+I65+I64+I63+I62+I58+I33+I19+I18+I17+I16+I31+I30</f>
        <v>78868.96802</v>
      </c>
    </row>
    <row r="85" spans="1:9" ht="15.75" customHeight="1">
      <c r="A85" s="174" t="s">
        <v>59</v>
      </c>
      <c r="B85" s="175"/>
      <c r="C85" s="175"/>
      <c r="D85" s="175"/>
      <c r="E85" s="175"/>
      <c r="F85" s="175"/>
      <c r="G85" s="175"/>
      <c r="H85" s="175"/>
      <c r="I85" s="176"/>
    </row>
    <row r="86" spans="1:9" ht="15.75" customHeight="1">
      <c r="A86" s="30"/>
      <c r="B86" s="41" t="s">
        <v>51</v>
      </c>
      <c r="C86" s="37"/>
      <c r="D86" s="44"/>
      <c r="E86" s="37">
        <v>1</v>
      </c>
      <c r="F86" s="37"/>
      <c r="G86" s="37"/>
      <c r="H86" s="37"/>
      <c r="I86" s="32">
        <v>0</v>
      </c>
    </row>
    <row r="87" spans="1:9" ht="15.75" customHeight="1">
      <c r="A87" s="30"/>
      <c r="B87" s="43" t="s">
        <v>75</v>
      </c>
      <c r="C87" s="15"/>
      <c r="D87" s="15"/>
      <c r="E87" s="38"/>
      <c r="F87" s="38"/>
      <c r="G87" s="39"/>
      <c r="H87" s="39"/>
      <c r="I87" s="17">
        <v>0</v>
      </c>
    </row>
    <row r="88" spans="1:9">
      <c r="A88" s="45"/>
      <c r="B88" s="42" t="s">
        <v>150</v>
      </c>
      <c r="C88" s="33"/>
      <c r="D88" s="33"/>
      <c r="E88" s="33"/>
      <c r="F88" s="33"/>
      <c r="G88" s="33"/>
      <c r="H88" s="33"/>
      <c r="I88" s="40">
        <f>I84+I86</f>
        <v>78868.96802</v>
      </c>
    </row>
    <row r="89" spans="1:9" ht="15.75">
      <c r="A89" s="182" t="s">
        <v>238</v>
      </c>
      <c r="B89" s="182"/>
      <c r="C89" s="182"/>
      <c r="D89" s="182"/>
      <c r="E89" s="182"/>
      <c r="F89" s="182"/>
      <c r="G89" s="182"/>
      <c r="H89" s="182"/>
      <c r="I89" s="182"/>
    </row>
    <row r="90" spans="1:9" ht="15.75" customHeight="1">
      <c r="A90" s="54"/>
      <c r="B90" s="183" t="s">
        <v>239</v>
      </c>
      <c r="C90" s="183"/>
      <c r="D90" s="183"/>
      <c r="E90" s="183"/>
      <c r="F90" s="183"/>
      <c r="G90" s="183"/>
      <c r="H90" s="60"/>
      <c r="I90" s="3"/>
    </row>
    <row r="91" spans="1:9">
      <c r="A91" s="90"/>
      <c r="B91" s="179" t="s">
        <v>6</v>
      </c>
      <c r="C91" s="179"/>
      <c r="D91" s="179"/>
      <c r="E91" s="179"/>
      <c r="F91" s="179"/>
      <c r="G91" s="179"/>
      <c r="H91" s="25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84" t="s">
        <v>7</v>
      </c>
      <c r="B93" s="184"/>
      <c r="C93" s="184"/>
      <c r="D93" s="184"/>
      <c r="E93" s="184"/>
      <c r="F93" s="184"/>
      <c r="G93" s="184"/>
      <c r="H93" s="184"/>
      <c r="I93" s="184"/>
    </row>
    <row r="94" spans="1:9" ht="15.75" customHeight="1">
      <c r="A94" s="184" t="s">
        <v>8</v>
      </c>
      <c r="B94" s="184"/>
      <c r="C94" s="184"/>
      <c r="D94" s="184"/>
      <c r="E94" s="184"/>
      <c r="F94" s="184"/>
      <c r="G94" s="184"/>
      <c r="H94" s="184"/>
      <c r="I94" s="184"/>
    </row>
    <row r="95" spans="1:9" ht="15.75">
      <c r="A95" s="171" t="s">
        <v>60</v>
      </c>
      <c r="B95" s="171"/>
      <c r="C95" s="171"/>
      <c r="D95" s="171"/>
      <c r="E95" s="171"/>
      <c r="F95" s="171"/>
      <c r="G95" s="171"/>
      <c r="H95" s="171"/>
      <c r="I95" s="171"/>
    </row>
    <row r="96" spans="1:9" ht="15.75">
      <c r="A96" s="11"/>
    </row>
    <row r="97" spans="1:9" ht="15.75">
      <c r="A97" s="177" t="s">
        <v>9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>
      <c r="A98" s="4"/>
    </row>
    <row r="99" spans="1:9" ht="15.75">
      <c r="B99" s="87" t="s">
        <v>10</v>
      </c>
      <c r="C99" s="178" t="s">
        <v>189</v>
      </c>
      <c r="D99" s="178"/>
      <c r="E99" s="178"/>
      <c r="F99" s="58"/>
      <c r="I99" s="89"/>
    </row>
    <row r="100" spans="1:9">
      <c r="A100" s="90"/>
      <c r="C100" s="179" t="s">
        <v>11</v>
      </c>
      <c r="D100" s="179"/>
      <c r="E100" s="179"/>
      <c r="F100" s="25"/>
      <c r="I100" s="88" t="s">
        <v>12</v>
      </c>
    </row>
    <row r="101" spans="1:9" ht="15.75">
      <c r="A101" s="26"/>
      <c r="C101" s="12"/>
      <c r="D101" s="12"/>
      <c r="G101" s="12"/>
      <c r="H101" s="12"/>
    </row>
    <row r="102" spans="1:9" ht="15.75" customHeight="1">
      <c r="B102" s="87" t="s">
        <v>13</v>
      </c>
      <c r="C102" s="180"/>
      <c r="D102" s="180"/>
      <c r="E102" s="180"/>
      <c r="F102" s="59"/>
      <c r="I102" s="89"/>
    </row>
    <row r="103" spans="1:9" ht="15.75" customHeight="1">
      <c r="A103" s="90"/>
      <c r="C103" s="161" t="s">
        <v>11</v>
      </c>
      <c r="D103" s="161"/>
      <c r="E103" s="161"/>
      <c r="F103" s="90"/>
      <c r="I103" s="88" t="s">
        <v>12</v>
      </c>
    </row>
    <row r="104" spans="1:9" ht="15.75" customHeight="1">
      <c r="A104" s="4" t="s">
        <v>14</v>
      </c>
    </row>
    <row r="105" spans="1:9">
      <c r="A105" s="181" t="s">
        <v>15</v>
      </c>
      <c r="B105" s="181"/>
      <c r="C105" s="181"/>
      <c r="D105" s="181"/>
      <c r="E105" s="181"/>
      <c r="F105" s="181"/>
      <c r="G105" s="181"/>
      <c r="H105" s="181"/>
      <c r="I105" s="181"/>
    </row>
    <row r="106" spans="1:9" ht="45" customHeight="1">
      <c r="A106" s="173" t="s">
        <v>16</v>
      </c>
      <c r="B106" s="173"/>
      <c r="C106" s="173"/>
      <c r="D106" s="173"/>
      <c r="E106" s="173"/>
      <c r="F106" s="173"/>
      <c r="G106" s="173"/>
      <c r="H106" s="173"/>
      <c r="I106" s="173"/>
    </row>
    <row r="107" spans="1:9" ht="30" customHeight="1">
      <c r="A107" s="173" t="s">
        <v>17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21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15" customHeight="1">
      <c r="A109" s="173" t="s">
        <v>20</v>
      </c>
      <c r="B109" s="173"/>
      <c r="C109" s="173"/>
      <c r="D109" s="173"/>
      <c r="E109" s="173"/>
      <c r="F109" s="173"/>
      <c r="G109" s="173"/>
      <c r="H109" s="173"/>
      <c r="I109" s="173"/>
    </row>
  </sheetData>
  <autoFilter ref="I12:I53"/>
  <mergeCells count="29">
    <mergeCell ref="A105:I105"/>
    <mergeCell ref="A106:I106"/>
    <mergeCell ref="A107:I107"/>
    <mergeCell ref="A108:I108"/>
    <mergeCell ref="A109:I109"/>
    <mergeCell ref="R58:U58"/>
    <mergeCell ref="C103:E103"/>
    <mergeCell ref="A85:I85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1:I41"/>
    <mergeCell ref="A52:I52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0"/>
  <sheetViews>
    <sheetView topLeftCell="A70" workbookViewId="0">
      <selection activeCell="A94" sqref="A94: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143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240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83">
        <v>44408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241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180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customHeight="1">
      <c r="A20" s="30">
        <v>4</v>
      </c>
      <c r="B20" s="118" t="s">
        <v>90</v>
      </c>
      <c r="C20" s="119" t="s">
        <v>80</v>
      </c>
      <c r="D20" s="118" t="s">
        <v>156</v>
      </c>
      <c r="E20" s="123">
        <v>9.18</v>
      </c>
      <c r="F20" s="113">
        <f>SUM(E20*2/100)</f>
        <v>0.18359999999999999</v>
      </c>
      <c r="G20" s="113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customHeight="1">
      <c r="A21" s="30">
        <v>5</v>
      </c>
      <c r="B21" s="118" t="s">
        <v>91</v>
      </c>
      <c r="C21" s="119" t="s">
        <v>80</v>
      </c>
      <c r="D21" s="118" t="s">
        <v>156</v>
      </c>
      <c r="E21" s="123">
        <v>8.1</v>
      </c>
      <c r="F21" s="113">
        <f>SUM(E21*2/100)</f>
        <v>0.16200000000000001</v>
      </c>
      <c r="G21" s="113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customHeight="1">
      <c r="A22" s="30">
        <v>6</v>
      </c>
      <c r="B22" s="118" t="s">
        <v>92</v>
      </c>
      <c r="C22" s="119" t="s">
        <v>52</v>
      </c>
      <c r="D22" s="118" t="s">
        <v>156</v>
      </c>
      <c r="E22" s="123">
        <v>220.32</v>
      </c>
      <c r="F22" s="113">
        <f>SUM(E22/100)</f>
        <v>2.2031999999999998</v>
      </c>
      <c r="G22" s="113">
        <v>401.44</v>
      </c>
      <c r="H22" s="66">
        <f t="shared" si="1"/>
        <v>0.88445260799999992</v>
      </c>
      <c r="I22" s="13">
        <f>F22*G22</f>
        <v>884.45260799999994</v>
      </c>
      <c r="J22" s="23"/>
      <c r="K22" s="8"/>
      <c r="L22" s="8"/>
      <c r="M22" s="8"/>
    </row>
    <row r="23" spans="1:13" ht="15.75" customHeight="1">
      <c r="A23" s="30">
        <v>7</v>
      </c>
      <c r="B23" s="118" t="s">
        <v>93</v>
      </c>
      <c r="C23" s="119" t="s">
        <v>52</v>
      </c>
      <c r="D23" s="118" t="s">
        <v>242</v>
      </c>
      <c r="E23" s="141">
        <v>17.64</v>
      </c>
      <c r="F23" s="113">
        <f>SUM(E23/100)</f>
        <v>0.1764</v>
      </c>
      <c r="G23" s="113">
        <v>66.03</v>
      </c>
      <c r="H23" s="66">
        <f t="shared" si="1"/>
        <v>1.1647692000000001E-2</v>
      </c>
      <c r="I23" s="13">
        <f t="shared" ref="I23:I26" si="2">F23*G23</f>
        <v>11.647692000000001</v>
      </c>
      <c r="J23" s="23"/>
      <c r="K23" s="8"/>
      <c r="L23" s="8"/>
      <c r="M23" s="8"/>
    </row>
    <row r="24" spans="1:13" ht="15.75" customHeight="1">
      <c r="A24" s="30">
        <v>8</v>
      </c>
      <c r="B24" s="118" t="s">
        <v>94</v>
      </c>
      <c r="C24" s="119" t="s">
        <v>52</v>
      </c>
      <c r="D24" s="118" t="s">
        <v>156</v>
      </c>
      <c r="E24" s="123">
        <v>7.2</v>
      </c>
      <c r="F24" s="113">
        <f>E24/100</f>
        <v>7.2000000000000008E-2</v>
      </c>
      <c r="G24" s="113">
        <v>581.02</v>
      </c>
      <c r="H24" s="66">
        <f t="shared" si="1"/>
        <v>4.1833440000000006E-2</v>
      </c>
      <c r="I24" s="13">
        <f t="shared" si="2"/>
        <v>41.833440000000003</v>
      </c>
      <c r="J24" s="23"/>
      <c r="K24" s="8"/>
      <c r="L24" s="8"/>
      <c r="M24" s="8"/>
    </row>
    <row r="25" spans="1:13" ht="15.75" customHeight="1">
      <c r="A25" s="30">
        <v>9</v>
      </c>
      <c r="B25" s="118" t="s">
        <v>96</v>
      </c>
      <c r="C25" s="119" t="s">
        <v>52</v>
      </c>
      <c r="D25" s="118" t="s">
        <v>156</v>
      </c>
      <c r="E25" s="123">
        <v>9.4499999999999993</v>
      </c>
      <c r="F25" s="113">
        <f>E25/100</f>
        <v>9.4499999999999987E-2</v>
      </c>
      <c r="G25" s="113">
        <v>322.20999999999998</v>
      </c>
      <c r="H25" s="66">
        <f t="shared" si="1"/>
        <v>3.0448844999999995E-2</v>
      </c>
      <c r="I25" s="13">
        <f t="shared" si="2"/>
        <v>30.448844999999995</v>
      </c>
      <c r="J25" s="23"/>
      <c r="K25" s="8"/>
      <c r="L25" s="8"/>
      <c r="M25" s="8"/>
    </row>
    <row r="26" spans="1:13" ht="15.75" customHeight="1">
      <c r="A26" s="30">
        <v>10</v>
      </c>
      <c r="B26" s="118" t="s">
        <v>97</v>
      </c>
      <c r="C26" s="119" t="s">
        <v>52</v>
      </c>
      <c r="D26" s="118" t="s">
        <v>242</v>
      </c>
      <c r="E26" s="123">
        <v>10.8</v>
      </c>
      <c r="F26" s="113">
        <f>SUM(E26/100)</f>
        <v>0.10800000000000001</v>
      </c>
      <c r="G26" s="113">
        <v>776.46</v>
      </c>
      <c r="H26" s="66">
        <f t="shared" si="1"/>
        <v>8.3857680000000018E-2</v>
      </c>
      <c r="I26" s="13">
        <f t="shared" si="2"/>
        <v>83.857680000000016</v>
      </c>
      <c r="J26" s="23"/>
      <c r="K26" s="8"/>
      <c r="L26" s="8"/>
      <c r="M26" s="8"/>
    </row>
    <row r="27" spans="1:13" ht="15.75" hidden="1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s="99" customFormat="1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102"/>
    </row>
    <row r="29" spans="1:13" ht="15.75" customHeight="1">
      <c r="A29" s="162" t="s">
        <v>147</v>
      </c>
      <c r="B29" s="163"/>
      <c r="C29" s="163"/>
      <c r="D29" s="163"/>
      <c r="E29" s="163"/>
      <c r="F29" s="163"/>
      <c r="G29" s="163"/>
      <c r="H29" s="163"/>
      <c r="I29" s="164"/>
      <c r="J29" s="24"/>
    </row>
    <row r="30" spans="1:13" ht="15.75" customHeight="1">
      <c r="A30" s="30"/>
      <c r="B30" s="81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customHeight="1">
      <c r="A31" s="30">
        <v>11</v>
      </c>
      <c r="B31" s="118" t="s">
        <v>100</v>
      </c>
      <c r="C31" s="119" t="s">
        <v>83</v>
      </c>
      <c r="D31" s="118" t="s">
        <v>164</v>
      </c>
      <c r="E31" s="113">
        <v>61.5</v>
      </c>
      <c r="F31" s="113">
        <f>SUM(E31*24/1000)</f>
        <v>1.476</v>
      </c>
      <c r="G31" s="113">
        <v>232.4</v>
      </c>
      <c r="H31" s="66">
        <f t="shared" ref="H31:H34" si="3">SUM(F31*G31/1000)</f>
        <v>0.34302240000000001</v>
      </c>
      <c r="I31" s="13">
        <f t="shared" ref="I31:I32" si="4">F31/6*G31</f>
        <v>57.170400000000001</v>
      </c>
      <c r="J31" s="23"/>
      <c r="K31" s="8"/>
      <c r="L31" s="8"/>
      <c r="M31" s="8"/>
    </row>
    <row r="32" spans="1:13" ht="31.5" customHeight="1">
      <c r="A32" s="30">
        <v>12</v>
      </c>
      <c r="B32" s="118" t="s">
        <v>99</v>
      </c>
      <c r="C32" s="119" t="s">
        <v>83</v>
      </c>
      <c r="D32" s="118" t="s">
        <v>171</v>
      </c>
      <c r="E32" s="113">
        <v>35.299999999999997</v>
      </c>
      <c r="F32" s="113">
        <f>SUM(E32*72/1000)</f>
        <v>2.5415999999999999</v>
      </c>
      <c r="G32" s="113">
        <v>385.6</v>
      </c>
      <c r="H32" s="66">
        <f t="shared" si="3"/>
        <v>0.98004096000000007</v>
      </c>
      <c r="I32" s="13">
        <f t="shared" si="4"/>
        <v>163.34016</v>
      </c>
      <c r="J32" s="23"/>
      <c r="K32" s="8"/>
      <c r="L32" s="8"/>
      <c r="M32" s="8"/>
    </row>
    <row r="33" spans="1:14" ht="15.75" hidden="1" customHeight="1">
      <c r="A33" s="30">
        <v>16</v>
      </c>
      <c r="B33" s="118" t="s">
        <v>27</v>
      </c>
      <c r="C33" s="119" t="s">
        <v>83</v>
      </c>
      <c r="D33" s="118" t="s">
        <v>156</v>
      </c>
      <c r="E33" s="113">
        <v>61.5</v>
      </c>
      <c r="F33" s="113">
        <f>SUM(E33/1000)</f>
        <v>6.1499999999999999E-2</v>
      </c>
      <c r="G33" s="113">
        <v>4502.97</v>
      </c>
      <c r="H33" s="66">
        <f t="shared" si="3"/>
        <v>0.27693265500000003</v>
      </c>
      <c r="I33" s="13">
        <f>F33*G33</f>
        <v>276.93265500000001</v>
      </c>
      <c r="J33" s="23"/>
      <c r="K33" s="8"/>
      <c r="L33" s="8"/>
      <c r="M33" s="8"/>
    </row>
    <row r="34" spans="1:14" ht="15.75" customHeight="1">
      <c r="A34" s="30">
        <v>13</v>
      </c>
      <c r="B34" s="116" t="s">
        <v>178</v>
      </c>
      <c r="C34" s="110" t="s">
        <v>179</v>
      </c>
      <c r="D34" s="118" t="s">
        <v>171</v>
      </c>
      <c r="E34" s="113">
        <v>4</v>
      </c>
      <c r="F34" s="113">
        <f>E34*72/100</f>
        <v>2.88</v>
      </c>
      <c r="G34" s="113">
        <v>1941.17</v>
      </c>
      <c r="H34" s="66">
        <f t="shared" si="3"/>
        <v>5.5905696000000002</v>
      </c>
      <c r="I34" s="13">
        <f>G34*F34/6</f>
        <v>931.76159999999993</v>
      </c>
      <c r="J34" s="24"/>
    </row>
    <row r="35" spans="1:14" ht="15.75" hidden="1" customHeight="1">
      <c r="A35" s="30"/>
      <c r="B35" s="62" t="s">
        <v>64</v>
      </c>
      <c r="C35" s="63" t="s">
        <v>31</v>
      </c>
      <c r="D35" s="62" t="s">
        <v>65</v>
      </c>
      <c r="E35" s="64"/>
      <c r="F35" s="65">
        <v>1</v>
      </c>
      <c r="G35" s="65">
        <v>1413.96</v>
      </c>
      <c r="H35" s="66">
        <f t="shared" ref="H35" si="5">SUM(F35*G35/1000)</f>
        <v>1.4139600000000001</v>
      </c>
      <c r="I35" s="13">
        <v>0</v>
      </c>
      <c r="J35" s="24"/>
    </row>
    <row r="36" spans="1:14" ht="15.75" hidden="1" customHeight="1">
      <c r="A36" s="30"/>
      <c r="B36" s="81" t="s">
        <v>5</v>
      </c>
      <c r="C36" s="63"/>
      <c r="D36" s="62"/>
      <c r="E36" s="64"/>
      <c r="F36" s="65"/>
      <c r="G36" s="65"/>
      <c r="H36" s="66" t="s">
        <v>114</v>
      </c>
      <c r="I36" s="13"/>
      <c r="J36" s="24"/>
      <c r="L36" s="19"/>
      <c r="M36" s="20"/>
      <c r="N36" s="21"/>
    </row>
    <row r="37" spans="1:14" ht="15.75" hidden="1" customHeight="1">
      <c r="A37" s="30">
        <v>6</v>
      </c>
      <c r="B37" s="62" t="s">
        <v>26</v>
      </c>
      <c r="C37" s="63" t="s">
        <v>31</v>
      </c>
      <c r="D37" s="62"/>
      <c r="E37" s="64"/>
      <c r="F37" s="65">
        <v>3</v>
      </c>
      <c r="G37" s="65">
        <v>1900.37</v>
      </c>
      <c r="H37" s="66">
        <f t="shared" ref="H37:H42" si="6">SUM(F37*G37/1000)</f>
        <v>5.7011099999999999</v>
      </c>
      <c r="I37" s="13">
        <f t="shared" ref="I37:I42" si="7">F37/6*G37</f>
        <v>950.18499999999995</v>
      </c>
      <c r="J37" s="24"/>
      <c r="L37" s="19"/>
      <c r="M37" s="20"/>
      <c r="N37" s="21"/>
    </row>
    <row r="38" spans="1:14" ht="31.5" hidden="1" customHeight="1">
      <c r="A38" s="30">
        <v>7</v>
      </c>
      <c r="B38" s="62" t="s">
        <v>115</v>
      </c>
      <c r="C38" s="63" t="s">
        <v>29</v>
      </c>
      <c r="D38" s="62" t="s">
        <v>81</v>
      </c>
      <c r="E38" s="64">
        <v>35.299999999999997</v>
      </c>
      <c r="F38" s="65">
        <f>E38*30/1000</f>
        <v>1.0589999999999999</v>
      </c>
      <c r="G38" s="65">
        <v>2616.4899999999998</v>
      </c>
      <c r="H38" s="66">
        <f t="shared" si="6"/>
        <v>2.77086291</v>
      </c>
      <c r="I38" s="13">
        <f t="shared" si="7"/>
        <v>461.81048499999991</v>
      </c>
      <c r="J38" s="24"/>
      <c r="L38" s="19"/>
      <c r="M38" s="20"/>
      <c r="N38" s="21"/>
    </row>
    <row r="39" spans="1:14" ht="15.75" hidden="1" customHeight="1">
      <c r="A39" s="30">
        <v>8</v>
      </c>
      <c r="B39" s="62" t="s">
        <v>116</v>
      </c>
      <c r="C39" s="63" t="s">
        <v>29</v>
      </c>
      <c r="D39" s="62" t="s">
        <v>82</v>
      </c>
      <c r="E39" s="64">
        <v>35.299999999999997</v>
      </c>
      <c r="F39" s="65">
        <f>SUM(E39*155/1000)</f>
        <v>5.4714999999999998</v>
      </c>
      <c r="G39" s="65">
        <v>436.45</v>
      </c>
      <c r="H39" s="66">
        <f t="shared" si="6"/>
        <v>2.3880361749999999</v>
      </c>
      <c r="I39" s="13">
        <f t="shared" si="7"/>
        <v>398.00602916666662</v>
      </c>
      <c r="J39" s="24"/>
      <c r="L39" s="19"/>
      <c r="M39" s="20"/>
      <c r="N39" s="21"/>
    </row>
    <row r="40" spans="1:14" ht="47.25" hidden="1" customHeight="1">
      <c r="A40" s="30">
        <v>9</v>
      </c>
      <c r="B40" s="62" t="s">
        <v>117</v>
      </c>
      <c r="C40" s="63" t="s">
        <v>83</v>
      </c>
      <c r="D40" s="62" t="s">
        <v>118</v>
      </c>
      <c r="E40" s="64">
        <v>35.299999999999997</v>
      </c>
      <c r="F40" s="65">
        <f>SUM(E40*24/1000)</f>
        <v>0.84719999999999995</v>
      </c>
      <c r="G40" s="65">
        <v>7221.21</v>
      </c>
      <c r="H40" s="66">
        <f t="shared" si="6"/>
        <v>6.1178091119999998</v>
      </c>
      <c r="I40" s="13">
        <f t="shared" si="7"/>
        <v>1019.6348519999999</v>
      </c>
      <c r="J40" s="24"/>
      <c r="L40" s="19"/>
      <c r="M40" s="20"/>
      <c r="N40" s="21"/>
    </row>
    <row r="41" spans="1:14" ht="15.75" hidden="1" customHeight="1">
      <c r="A41" s="30">
        <v>10</v>
      </c>
      <c r="B41" s="62" t="s">
        <v>119</v>
      </c>
      <c r="C41" s="63" t="s">
        <v>83</v>
      </c>
      <c r="D41" s="62" t="s">
        <v>66</v>
      </c>
      <c r="E41" s="64">
        <v>35.299999999999997</v>
      </c>
      <c r="F41" s="65">
        <f>SUM(E41*45/1000)</f>
        <v>1.5884999999999998</v>
      </c>
      <c r="G41" s="65">
        <v>533.45000000000005</v>
      </c>
      <c r="H41" s="66">
        <f t="shared" si="6"/>
        <v>0.84738532499999997</v>
      </c>
      <c r="I41" s="13">
        <f t="shared" si="7"/>
        <v>141.23088749999999</v>
      </c>
      <c r="J41" s="24"/>
      <c r="L41" s="19"/>
      <c r="M41" s="20"/>
      <c r="N41" s="21"/>
    </row>
    <row r="42" spans="1:14" ht="15.75" hidden="1" customHeight="1">
      <c r="A42" s="30">
        <v>11</v>
      </c>
      <c r="B42" s="62" t="s">
        <v>67</v>
      </c>
      <c r="C42" s="63" t="s">
        <v>32</v>
      </c>
      <c r="D42" s="62"/>
      <c r="E42" s="64"/>
      <c r="F42" s="65">
        <v>0.3</v>
      </c>
      <c r="G42" s="65">
        <v>992.97</v>
      </c>
      <c r="H42" s="66">
        <f t="shared" si="6"/>
        <v>0.29789100000000002</v>
      </c>
      <c r="I42" s="13">
        <f t="shared" si="7"/>
        <v>49.648499999999999</v>
      </c>
      <c r="J42" s="24"/>
      <c r="L42" s="19"/>
      <c r="M42" s="20"/>
      <c r="N42" s="21"/>
    </row>
    <row r="43" spans="1:14" ht="15.75" hidden="1" customHeight="1">
      <c r="A43" s="162" t="s">
        <v>132</v>
      </c>
      <c r="B43" s="163"/>
      <c r="C43" s="163"/>
      <c r="D43" s="163"/>
      <c r="E43" s="163"/>
      <c r="F43" s="163"/>
      <c r="G43" s="163"/>
      <c r="H43" s="163"/>
      <c r="I43" s="164"/>
      <c r="J43" s="24"/>
      <c r="L43" s="19"/>
      <c r="M43" s="20"/>
      <c r="N43" s="21"/>
    </row>
    <row r="44" spans="1:14" ht="15.75" hidden="1" customHeight="1">
      <c r="A44" s="30">
        <v>18</v>
      </c>
      <c r="B44" s="62" t="s">
        <v>101</v>
      </c>
      <c r="C44" s="63" t="s">
        <v>83</v>
      </c>
      <c r="D44" s="62" t="s">
        <v>42</v>
      </c>
      <c r="E44" s="64">
        <v>907.4</v>
      </c>
      <c r="F44" s="65">
        <f>SUM(E44*2/1000)</f>
        <v>1.8148</v>
      </c>
      <c r="G44" s="13">
        <v>1283.46</v>
      </c>
      <c r="H44" s="66">
        <f t="shared" ref="H44:H53" si="8">SUM(F44*G44/1000)</f>
        <v>2.3292232079999997</v>
      </c>
      <c r="I44" s="13">
        <f>F44/2*G44</f>
        <v>1164.6116039999999</v>
      </c>
      <c r="J44" s="24"/>
      <c r="L44" s="19"/>
      <c r="M44" s="20"/>
      <c r="N44" s="21"/>
    </row>
    <row r="45" spans="1:14" ht="15.75" hidden="1" customHeight="1">
      <c r="A45" s="30">
        <v>19</v>
      </c>
      <c r="B45" s="62" t="s">
        <v>35</v>
      </c>
      <c r="C45" s="63" t="s">
        <v>83</v>
      </c>
      <c r="D45" s="62" t="s">
        <v>42</v>
      </c>
      <c r="E45" s="64">
        <v>27</v>
      </c>
      <c r="F45" s="65">
        <f>SUM(E45*2/1000)</f>
        <v>5.3999999999999999E-2</v>
      </c>
      <c r="G45" s="13">
        <v>4192.6400000000003</v>
      </c>
      <c r="H45" s="66">
        <f t="shared" si="8"/>
        <v>0.22640256000000003</v>
      </c>
      <c r="I45" s="13">
        <f t="shared" ref="I45:I52" si="9">F45/2*G45</f>
        <v>113.20128000000001</v>
      </c>
      <c r="J45" s="24"/>
      <c r="L45" s="19"/>
      <c r="M45" s="20"/>
      <c r="N45" s="21"/>
    </row>
    <row r="46" spans="1:14" ht="15.75" hidden="1" customHeight="1">
      <c r="A46" s="30">
        <v>20</v>
      </c>
      <c r="B46" s="62" t="s">
        <v>36</v>
      </c>
      <c r="C46" s="63" t="s">
        <v>83</v>
      </c>
      <c r="D46" s="62" t="s">
        <v>42</v>
      </c>
      <c r="E46" s="64">
        <v>772</v>
      </c>
      <c r="F46" s="65">
        <f>SUM(E46*2/1000)</f>
        <v>1.544</v>
      </c>
      <c r="G46" s="13">
        <v>1711.28</v>
      </c>
      <c r="H46" s="66">
        <f t="shared" si="8"/>
        <v>2.6422163200000002</v>
      </c>
      <c r="I46" s="13">
        <f t="shared" si="9"/>
        <v>1321.10816</v>
      </c>
      <c r="J46" s="24"/>
      <c r="L46" s="19"/>
      <c r="M46" s="20"/>
      <c r="N46" s="21"/>
    </row>
    <row r="47" spans="1:14" ht="15.75" hidden="1" customHeight="1">
      <c r="A47" s="30">
        <v>21</v>
      </c>
      <c r="B47" s="62" t="s">
        <v>37</v>
      </c>
      <c r="C47" s="63" t="s">
        <v>83</v>
      </c>
      <c r="D47" s="62" t="s">
        <v>42</v>
      </c>
      <c r="E47" s="64">
        <v>959.4</v>
      </c>
      <c r="F47" s="65">
        <f>SUM(E47*2/1000)</f>
        <v>1.9188000000000001</v>
      </c>
      <c r="G47" s="13">
        <v>1179.73</v>
      </c>
      <c r="H47" s="66">
        <f t="shared" si="8"/>
        <v>2.2636659240000001</v>
      </c>
      <c r="I47" s="13">
        <f t="shared" si="9"/>
        <v>1131.832962</v>
      </c>
      <c r="J47" s="24"/>
      <c r="L47" s="19"/>
      <c r="M47" s="20"/>
      <c r="N47" s="21"/>
    </row>
    <row r="48" spans="1:14" ht="15.75" hidden="1" customHeight="1">
      <c r="A48" s="30">
        <v>22</v>
      </c>
      <c r="B48" s="62" t="s">
        <v>33</v>
      </c>
      <c r="C48" s="63" t="s">
        <v>34</v>
      </c>
      <c r="D48" s="62" t="s">
        <v>42</v>
      </c>
      <c r="E48" s="64">
        <v>66.02</v>
      </c>
      <c r="F48" s="65">
        <f>SUM(E48*2/100)</f>
        <v>1.3204</v>
      </c>
      <c r="G48" s="13">
        <v>90.61</v>
      </c>
      <c r="H48" s="66">
        <f t="shared" si="8"/>
        <v>0.11964144400000001</v>
      </c>
      <c r="I48" s="13">
        <f t="shared" si="9"/>
        <v>59.820722000000004</v>
      </c>
      <c r="J48" s="24"/>
      <c r="L48" s="19"/>
      <c r="M48" s="20"/>
      <c r="N48" s="21"/>
    </row>
    <row r="49" spans="1:22" ht="15.75" hidden="1" customHeight="1">
      <c r="A49" s="30">
        <v>23</v>
      </c>
      <c r="B49" s="62" t="s">
        <v>55</v>
      </c>
      <c r="C49" s="63" t="s">
        <v>83</v>
      </c>
      <c r="D49" s="62" t="s">
        <v>131</v>
      </c>
      <c r="E49" s="64">
        <v>1536.4</v>
      </c>
      <c r="F49" s="65">
        <f>SUM(E49*5/1000)</f>
        <v>7.6820000000000004</v>
      </c>
      <c r="G49" s="13">
        <v>1711.28</v>
      </c>
      <c r="H49" s="66">
        <f t="shared" si="8"/>
        <v>13.14605296</v>
      </c>
      <c r="I49" s="13">
        <f>F49/5*G49</f>
        <v>2629.2105919999999</v>
      </c>
      <c r="J49" s="24"/>
      <c r="L49" s="19"/>
      <c r="M49" s="20"/>
      <c r="N49" s="21"/>
    </row>
    <row r="50" spans="1:22" ht="32.25" hidden="1" customHeight="1">
      <c r="A50" s="30">
        <v>12</v>
      </c>
      <c r="B50" s="62" t="s">
        <v>84</v>
      </c>
      <c r="C50" s="63" t="s">
        <v>83</v>
      </c>
      <c r="D50" s="62" t="s">
        <v>42</v>
      </c>
      <c r="E50" s="64">
        <v>1536.4</v>
      </c>
      <c r="F50" s="65">
        <f>SUM(E50*2/1000)</f>
        <v>3.0728</v>
      </c>
      <c r="G50" s="13">
        <v>1510.06</v>
      </c>
      <c r="H50" s="66">
        <f t="shared" si="8"/>
        <v>4.6401123680000005</v>
      </c>
      <c r="I50" s="13">
        <f t="shared" si="9"/>
        <v>2320.056184</v>
      </c>
      <c r="J50" s="24"/>
      <c r="L50" s="19"/>
      <c r="M50" s="20"/>
      <c r="N50" s="21"/>
    </row>
    <row r="51" spans="1:22" ht="32.25" hidden="1" customHeight="1">
      <c r="A51" s="30">
        <v>13</v>
      </c>
      <c r="B51" s="62" t="s">
        <v>85</v>
      </c>
      <c r="C51" s="63" t="s">
        <v>38</v>
      </c>
      <c r="D51" s="62" t="s">
        <v>42</v>
      </c>
      <c r="E51" s="64">
        <v>9</v>
      </c>
      <c r="F51" s="65">
        <f>SUM(E51*2/100)</f>
        <v>0.18</v>
      </c>
      <c r="G51" s="13">
        <v>3850.4</v>
      </c>
      <c r="H51" s="66">
        <f t="shared" si="8"/>
        <v>0.69307200000000002</v>
      </c>
      <c r="I51" s="13">
        <f t="shared" si="9"/>
        <v>346.536</v>
      </c>
      <c r="J51" s="24"/>
      <c r="L51" s="19"/>
      <c r="M51" s="20"/>
      <c r="N51" s="21"/>
    </row>
    <row r="52" spans="1:22" ht="15.75" hidden="1" customHeight="1">
      <c r="A52" s="30">
        <v>14</v>
      </c>
      <c r="B52" s="62" t="s">
        <v>39</v>
      </c>
      <c r="C52" s="63" t="s">
        <v>40</v>
      </c>
      <c r="D52" s="62" t="s">
        <v>42</v>
      </c>
      <c r="E52" s="64">
        <v>1</v>
      </c>
      <c r="F52" s="65">
        <v>0.02</v>
      </c>
      <c r="G52" s="13">
        <v>7033.13</v>
      </c>
      <c r="H52" s="66">
        <f t="shared" si="8"/>
        <v>0.1406626</v>
      </c>
      <c r="I52" s="13">
        <f t="shared" si="9"/>
        <v>70.331299999999999</v>
      </c>
      <c r="J52" s="24"/>
      <c r="L52" s="19"/>
      <c r="M52" s="20"/>
      <c r="N52" s="21"/>
    </row>
    <row r="53" spans="1:22" ht="15.75" hidden="1" customHeight="1">
      <c r="A53" s="30">
        <v>24</v>
      </c>
      <c r="B53" s="62" t="s">
        <v>41</v>
      </c>
      <c r="C53" s="63" t="s">
        <v>102</v>
      </c>
      <c r="D53" s="62" t="s">
        <v>68</v>
      </c>
      <c r="E53" s="64">
        <v>53</v>
      </c>
      <c r="F53" s="65">
        <f>53*3</f>
        <v>159</v>
      </c>
      <c r="G53" s="13">
        <v>81.73</v>
      </c>
      <c r="H53" s="66">
        <f t="shared" si="8"/>
        <v>12.995070000000002</v>
      </c>
      <c r="I53" s="13">
        <f>F53/3*G53</f>
        <v>4331.6900000000005</v>
      </c>
      <c r="J53" s="24"/>
      <c r="L53" s="19"/>
    </row>
    <row r="54" spans="1:22" ht="15.75" customHeight="1">
      <c r="A54" s="162" t="s">
        <v>138</v>
      </c>
      <c r="B54" s="163"/>
      <c r="C54" s="163"/>
      <c r="D54" s="163"/>
      <c r="E54" s="163"/>
      <c r="F54" s="163"/>
      <c r="G54" s="163"/>
      <c r="H54" s="163"/>
      <c r="I54" s="164"/>
    </row>
    <row r="55" spans="1:22" ht="15.75" hidden="1" customHeight="1">
      <c r="A55" s="30"/>
      <c r="B55" s="81" t="s">
        <v>43</v>
      </c>
      <c r="C55" s="63"/>
      <c r="D55" s="62"/>
      <c r="E55" s="64"/>
      <c r="F55" s="65"/>
      <c r="G55" s="65"/>
      <c r="H55" s="66"/>
      <c r="I55" s="13"/>
    </row>
    <row r="56" spans="1:22" ht="17.25" hidden="1" customHeight="1">
      <c r="A56" s="30">
        <v>15</v>
      </c>
      <c r="B56" s="62" t="s">
        <v>103</v>
      </c>
      <c r="C56" s="63" t="s">
        <v>80</v>
      </c>
      <c r="D56" s="62" t="s">
        <v>104</v>
      </c>
      <c r="E56" s="64">
        <v>11.5</v>
      </c>
      <c r="F56" s="65">
        <f>SUM(E56*6/100)</f>
        <v>0.69</v>
      </c>
      <c r="G56" s="13">
        <v>2306.62</v>
      </c>
      <c r="H56" s="66">
        <f>SUM(F56*G56/1000)</f>
        <v>1.5915677999999998</v>
      </c>
      <c r="I56" s="13">
        <f>F56/6*G56</f>
        <v>265.26129999999995</v>
      </c>
    </row>
    <row r="57" spans="1:22" ht="20.25" hidden="1" customHeight="1">
      <c r="A57" s="30">
        <v>7</v>
      </c>
      <c r="B57" s="62" t="s">
        <v>120</v>
      </c>
      <c r="C57" s="63" t="s">
        <v>121</v>
      </c>
      <c r="D57" s="62" t="s">
        <v>168</v>
      </c>
      <c r="E57" s="64"/>
      <c r="F57" s="65">
        <v>2</v>
      </c>
      <c r="G57" s="84">
        <v>1501</v>
      </c>
      <c r="H57" s="66">
        <f>SUM(F57*G57/1000)</f>
        <v>3.0019999999999998</v>
      </c>
      <c r="I57" s="13">
        <f>G57*1.5</f>
        <v>2251.5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customHeight="1">
      <c r="A58" s="30"/>
      <c r="B58" s="81" t="s">
        <v>44</v>
      </c>
      <c r="C58" s="63"/>
      <c r="D58" s="62"/>
      <c r="E58" s="64"/>
      <c r="F58" s="65"/>
      <c r="G58" s="85"/>
      <c r="H58" s="66"/>
      <c r="I58" s="13"/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21.75" hidden="1" customHeight="1">
      <c r="A59" s="30"/>
      <c r="B59" s="62" t="s">
        <v>105</v>
      </c>
      <c r="C59" s="63" t="s">
        <v>80</v>
      </c>
      <c r="D59" s="62" t="s">
        <v>53</v>
      </c>
      <c r="E59" s="64">
        <v>148</v>
      </c>
      <c r="F59" s="66">
        <f>E59/100</f>
        <v>1.48</v>
      </c>
      <c r="G59" s="13">
        <v>987.51</v>
      </c>
      <c r="H59" s="71">
        <f>F59*G59/1000</f>
        <v>1.4615148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>
        <v>14</v>
      </c>
      <c r="B60" s="73" t="s">
        <v>129</v>
      </c>
      <c r="C60" s="72" t="s">
        <v>25</v>
      </c>
      <c r="D60" s="73" t="s">
        <v>156</v>
      </c>
      <c r="E60" s="74">
        <v>140.5</v>
      </c>
      <c r="F60" s="65">
        <v>1320</v>
      </c>
      <c r="G60" s="86">
        <v>1.4</v>
      </c>
      <c r="H60" s="71">
        <f>F60*G60/1000</f>
        <v>1.8479999999999999</v>
      </c>
      <c r="I60" s="13">
        <f>F60/12*G60</f>
        <v>154</v>
      </c>
      <c r="J60" s="5"/>
      <c r="K60" s="5"/>
      <c r="L60" s="5"/>
      <c r="M60" s="5"/>
      <c r="N60" s="5"/>
      <c r="O60" s="5"/>
      <c r="P60" s="5"/>
      <c r="Q60" s="5"/>
      <c r="R60" s="161"/>
      <c r="S60" s="161"/>
      <c r="T60" s="161"/>
      <c r="U60" s="161"/>
    </row>
    <row r="61" spans="1:22" ht="15.75" customHeight="1">
      <c r="A61" s="30"/>
      <c r="B61" s="82" t="s">
        <v>45</v>
      </c>
      <c r="C61" s="72"/>
      <c r="D61" s="73"/>
      <c r="E61" s="74"/>
      <c r="F61" s="75"/>
      <c r="G61" s="75"/>
      <c r="H61" s="76" t="s">
        <v>114</v>
      </c>
      <c r="I61" s="1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customHeight="1">
      <c r="A62" s="30">
        <v>15</v>
      </c>
      <c r="B62" s="14" t="s">
        <v>46</v>
      </c>
      <c r="C62" s="16" t="s">
        <v>102</v>
      </c>
      <c r="D62" s="14" t="s">
        <v>161</v>
      </c>
      <c r="E62" s="18">
        <v>2</v>
      </c>
      <c r="F62" s="65">
        <f>E62</f>
        <v>2</v>
      </c>
      <c r="G62" s="115">
        <v>331.57</v>
      </c>
      <c r="H62" s="61">
        <f t="shared" ref="H62:H79" si="10">SUM(F62*G62/1000)</f>
        <v>0.66313999999999995</v>
      </c>
      <c r="I62" s="13">
        <f>G62*2</f>
        <v>663.14</v>
      </c>
    </row>
    <row r="63" spans="1:22" ht="15.75" hidden="1" customHeight="1">
      <c r="A63" s="30"/>
      <c r="B63" s="14" t="s">
        <v>47</v>
      </c>
      <c r="C63" s="16" t="s">
        <v>102</v>
      </c>
      <c r="D63" s="14" t="s">
        <v>65</v>
      </c>
      <c r="E63" s="18">
        <v>1</v>
      </c>
      <c r="F63" s="65">
        <f>E63</f>
        <v>1</v>
      </c>
      <c r="G63" s="13">
        <v>94.89</v>
      </c>
      <c r="H63" s="61">
        <f t="shared" si="10"/>
        <v>9.4890000000000002E-2</v>
      </c>
      <c r="I63" s="13">
        <v>0</v>
      </c>
    </row>
    <row r="64" spans="1:22" ht="15.75" hidden="1" customHeight="1">
      <c r="A64" s="30">
        <v>26</v>
      </c>
      <c r="B64" s="14" t="s">
        <v>48</v>
      </c>
      <c r="C64" s="16" t="s">
        <v>106</v>
      </c>
      <c r="D64" s="14" t="s">
        <v>53</v>
      </c>
      <c r="E64" s="64">
        <v>6307</v>
      </c>
      <c r="F64" s="13">
        <f>SUM(E64/100)</f>
        <v>63.07</v>
      </c>
      <c r="G64" s="13">
        <v>263.99</v>
      </c>
      <c r="H64" s="61">
        <f t="shared" si="10"/>
        <v>16.649849300000003</v>
      </c>
      <c r="I64" s="13">
        <f>F64*G64</f>
        <v>16649.849300000002</v>
      </c>
    </row>
    <row r="65" spans="1:9" ht="15.75" hidden="1" customHeight="1">
      <c r="A65" s="30">
        <v>27</v>
      </c>
      <c r="B65" s="14" t="s">
        <v>49</v>
      </c>
      <c r="C65" s="16" t="s">
        <v>107</v>
      </c>
      <c r="D65" s="14"/>
      <c r="E65" s="64">
        <v>6307</v>
      </c>
      <c r="F65" s="13">
        <f>SUM(E65/1000)</f>
        <v>6.3070000000000004</v>
      </c>
      <c r="G65" s="13">
        <v>205.57</v>
      </c>
      <c r="H65" s="61">
        <f t="shared" si="10"/>
        <v>1.29652999</v>
      </c>
      <c r="I65" s="13">
        <f t="shared" ref="I65:I68" si="11">F65*G65</f>
        <v>1296.52999</v>
      </c>
    </row>
    <row r="66" spans="1:9" ht="15.75" hidden="1" customHeight="1">
      <c r="A66" s="30">
        <v>28</v>
      </c>
      <c r="B66" s="14" t="s">
        <v>50</v>
      </c>
      <c r="C66" s="16" t="s">
        <v>74</v>
      </c>
      <c r="D66" s="14" t="s">
        <v>53</v>
      </c>
      <c r="E66" s="64">
        <v>1003</v>
      </c>
      <c r="F66" s="13">
        <f>SUM(E66/100)</f>
        <v>10.029999999999999</v>
      </c>
      <c r="G66" s="13">
        <v>2581.5300000000002</v>
      </c>
      <c r="H66" s="61">
        <f t="shared" si="10"/>
        <v>25.892745900000001</v>
      </c>
      <c r="I66" s="13">
        <f t="shared" si="11"/>
        <v>25892.745900000002</v>
      </c>
    </row>
    <row r="67" spans="1:9" ht="15.75" hidden="1" customHeight="1">
      <c r="A67" s="30">
        <v>29</v>
      </c>
      <c r="B67" s="77" t="s">
        <v>108</v>
      </c>
      <c r="C67" s="16" t="s">
        <v>32</v>
      </c>
      <c r="D67" s="14"/>
      <c r="E67" s="64">
        <v>6.6</v>
      </c>
      <c r="F67" s="13">
        <f>SUM(E67)</f>
        <v>6.6</v>
      </c>
      <c r="G67" s="13">
        <v>47.75</v>
      </c>
      <c r="H67" s="61">
        <f t="shared" si="10"/>
        <v>0.31514999999999999</v>
      </c>
      <c r="I67" s="13">
        <f t="shared" si="11"/>
        <v>315.14999999999998</v>
      </c>
    </row>
    <row r="68" spans="1:9" ht="15.75" hidden="1" customHeight="1">
      <c r="A68" s="30">
        <v>30</v>
      </c>
      <c r="B68" s="77" t="s">
        <v>109</v>
      </c>
      <c r="C68" s="16" t="s">
        <v>32</v>
      </c>
      <c r="D68" s="14"/>
      <c r="E68" s="64">
        <v>6.6</v>
      </c>
      <c r="F68" s="13">
        <f>SUM(E68)</f>
        <v>6.6</v>
      </c>
      <c r="G68" s="13">
        <v>44.27</v>
      </c>
      <c r="H68" s="61">
        <f t="shared" si="10"/>
        <v>0.292182</v>
      </c>
      <c r="I68" s="13">
        <f t="shared" si="11"/>
        <v>292.18200000000002</v>
      </c>
    </row>
    <row r="69" spans="1:9" ht="15.75" hidden="1" customHeight="1">
      <c r="A69" s="30">
        <v>19</v>
      </c>
      <c r="B69" s="14" t="s">
        <v>56</v>
      </c>
      <c r="C69" s="16" t="s">
        <v>57</v>
      </c>
      <c r="D69" s="14" t="s">
        <v>53</v>
      </c>
      <c r="E69" s="18">
        <v>3</v>
      </c>
      <c r="F69" s="65">
        <v>3</v>
      </c>
      <c r="G69" s="13">
        <v>62.07</v>
      </c>
      <c r="H69" s="61">
        <f t="shared" si="10"/>
        <v>0.18621000000000001</v>
      </c>
      <c r="I69" s="13">
        <f>F69*G69</f>
        <v>186.21</v>
      </c>
    </row>
    <row r="70" spans="1:9" ht="19.5" customHeight="1">
      <c r="A70" s="30">
        <v>16</v>
      </c>
      <c r="B70" s="133" t="s">
        <v>122</v>
      </c>
      <c r="C70" s="126" t="s">
        <v>123</v>
      </c>
      <c r="D70" s="133" t="s">
        <v>156</v>
      </c>
      <c r="E70" s="17">
        <v>1536.4</v>
      </c>
      <c r="F70" s="134">
        <f>E70*12</f>
        <v>18436.800000000003</v>
      </c>
      <c r="G70" s="34">
        <v>2.6</v>
      </c>
      <c r="H70" s="61">
        <f t="shared" si="10"/>
        <v>47.935680000000005</v>
      </c>
      <c r="I70" s="13">
        <f>F70/12*G70</f>
        <v>3994.6400000000008</v>
      </c>
    </row>
    <row r="71" spans="1:9" ht="15.75" customHeight="1">
      <c r="A71" s="30"/>
      <c r="B71" s="92" t="s">
        <v>69</v>
      </c>
      <c r="C71" s="16"/>
      <c r="D71" s="14"/>
      <c r="E71" s="18"/>
      <c r="F71" s="13"/>
      <c r="G71" s="13"/>
      <c r="H71" s="61" t="s">
        <v>114</v>
      </c>
      <c r="I71" s="13"/>
    </row>
    <row r="72" spans="1:9" ht="15.75" hidden="1" customHeight="1">
      <c r="A72" s="30"/>
      <c r="B72" s="14" t="s">
        <v>124</v>
      </c>
      <c r="C72" s="16" t="s">
        <v>125</v>
      </c>
      <c r="D72" s="14" t="s">
        <v>65</v>
      </c>
      <c r="E72" s="18">
        <v>1</v>
      </c>
      <c r="F72" s="13">
        <f>E72</f>
        <v>1</v>
      </c>
      <c r="G72" s="13">
        <v>976.4</v>
      </c>
      <c r="H72" s="61">
        <f t="shared" ref="H72:H73" si="12">SUM(F72*G72/1000)</f>
        <v>0.97639999999999993</v>
      </c>
      <c r="I72" s="13">
        <v>0</v>
      </c>
    </row>
    <row r="73" spans="1:9" ht="15.75" hidden="1" customHeight="1">
      <c r="A73" s="30"/>
      <c r="B73" s="14" t="s">
        <v>126</v>
      </c>
      <c r="C73" s="16" t="s">
        <v>127</v>
      </c>
      <c r="D73" s="14"/>
      <c r="E73" s="18">
        <v>1</v>
      </c>
      <c r="F73" s="13">
        <v>1</v>
      </c>
      <c r="G73" s="13">
        <v>650</v>
      </c>
      <c r="H73" s="61">
        <f t="shared" si="12"/>
        <v>0.65</v>
      </c>
      <c r="I73" s="13">
        <v>0</v>
      </c>
    </row>
    <row r="74" spans="1:9" ht="15.75" hidden="1" customHeight="1">
      <c r="A74" s="30">
        <v>11</v>
      </c>
      <c r="B74" s="14" t="s">
        <v>70</v>
      </c>
      <c r="C74" s="16" t="s">
        <v>72</v>
      </c>
      <c r="D74" s="14"/>
      <c r="E74" s="18">
        <v>3</v>
      </c>
      <c r="F74" s="13">
        <v>0.3</v>
      </c>
      <c r="G74" s="13">
        <v>624.16999999999996</v>
      </c>
      <c r="H74" s="61">
        <f t="shared" si="10"/>
        <v>0.18725099999999997</v>
      </c>
      <c r="I74" s="13">
        <f>G74*0.3</f>
        <v>187.25099999999998</v>
      </c>
    </row>
    <row r="75" spans="1:9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56">
        <v>1</v>
      </c>
      <c r="G75" s="13">
        <v>1061.4100000000001</v>
      </c>
      <c r="H75" s="61">
        <f>F75*G75/1000</f>
        <v>1.0614100000000002</v>
      </c>
      <c r="I75" s="13">
        <v>0</v>
      </c>
    </row>
    <row r="76" spans="1:9" ht="32.25" customHeight="1">
      <c r="A76" s="30">
        <v>17</v>
      </c>
      <c r="B76" s="46" t="s">
        <v>173</v>
      </c>
      <c r="C76" s="47" t="s">
        <v>102</v>
      </c>
      <c r="D76" s="133" t="s">
        <v>166</v>
      </c>
      <c r="E76" s="17">
        <v>2</v>
      </c>
      <c r="F76" s="34">
        <f>E76*12</f>
        <v>24</v>
      </c>
      <c r="G76" s="34">
        <v>420</v>
      </c>
      <c r="H76" s="61">
        <f>G76*F76/1000</f>
        <v>10.08</v>
      </c>
      <c r="I76" s="13">
        <f>G76*2</f>
        <v>840</v>
      </c>
    </row>
    <row r="77" spans="1:9" ht="32.25" customHeight="1">
      <c r="A77" s="30">
        <v>18</v>
      </c>
      <c r="B77" s="46" t="s">
        <v>174</v>
      </c>
      <c r="C77" s="47" t="s">
        <v>30</v>
      </c>
      <c r="D77" s="133" t="s">
        <v>166</v>
      </c>
      <c r="E77" s="17">
        <v>1</v>
      </c>
      <c r="F77" s="34">
        <f>E77*12</f>
        <v>12</v>
      </c>
      <c r="G77" s="34">
        <v>1829</v>
      </c>
      <c r="H77" s="61"/>
      <c r="I77" s="13">
        <f>G77*F77/12</f>
        <v>1829</v>
      </c>
    </row>
    <row r="78" spans="1:9" ht="15.75" hidden="1" customHeight="1">
      <c r="A78" s="30"/>
      <c r="B78" s="79" t="s">
        <v>73</v>
      </c>
      <c r="C78" s="16"/>
      <c r="D78" s="14"/>
      <c r="E78" s="18"/>
      <c r="F78" s="13"/>
      <c r="G78" s="13" t="s">
        <v>114</v>
      </c>
      <c r="H78" s="61" t="s">
        <v>114</v>
      </c>
      <c r="I78" s="13" t="str">
        <f>G78</f>
        <v xml:space="preserve"> </v>
      </c>
    </row>
    <row r="79" spans="1:9" ht="15.75" hidden="1" customHeight="1">
      <c r="A79" s="30"/>
      <c r="B79" s="43" t="s">
        <v>128</v>
      </c>
      <c r="C79" s="16" t="s">
        <v>74</v>
      </c>
      <c r="D79" s="14"/>
      <c r="E79" s="18"/>
      <c r="F79" s="13">
        <v>0.1</v>
      </c>
      <c r="G79" s="13">
        <v>3433.69</v>
      </c>
      <c r="H79" s="61">
        <f t="shared" si="10"/>
        <v>0.34336900000000004</v>
      </c>
      <c r="I79" s="13">
        <v>0</v>
      </c>
    </row>
    <row r="80" spans="1:9" ht="21.75" hidden="1" customHeight="1">
      <c r="A80" s="30"/>
      <c r="B80" s="55" t="s">
        <v>86</v>
      </c>
      <c r="C80" s="79"/>
      <c r="D80" s="31"/>
      <c r="E80" s="32"/>
      <c r="F80" s="68"/>
      <c r="G80" s="68"/>
      <c r="H80" s="80">
        <f>SUM(H56:H79)</f>
        <v>114.52788979</v>
      </c>
      <c r="I80" s="13"/>
    </row>
    <row r="81" spans="1:9" ht="20.25" hidden="1" customHeight="1">
      <c r="A81" s="30">
        <v>13</v>
      </c>
      <c r="B81" s="62" t="s">
        <v>110</v>
      </c>
      <c r="C81" s="16"/>
      <c r="D81" s="14"/>
      <c r="E81" s="57"/>
      <c r="F81" s="13">
        <v>1</v>
      </c>
      <c r="G81" s="35">
        <v>3790.6</v>
      </c>
      <c r="H81" s="61">
        <f>G81*F81/1000</f>
        <v>3.7906</v>
      </c>
      <c r="I81" s="13">
        <f>G81</f>
        <v>3790.6</v>
      </c>
    </row>
    <row r="82" spans="1:9" ht="15.75" customHeight="1">
      <c r="A82" s="162" t="s">
        <v>139</v>
      </c>
      <c r="B82" s="163"/>
      <c r="C82" s="163"/>
      <c r="D82" s="163"/>
      <c r="E82" s="163"/>
      <c r="F82" s="163"/>
      <c r="G82" s="163"/>
      <c r="H82" s="163"/>
      <c r="I82" s="164"/>
    </row>
    <row r="83" spans="1:9" ht="15.75" customHeight="1">
      <c r="A83" s="30">
        <v>19</v>
      </c>
      <c r="B83" s="118" t="s">
        <v>111</v>
      </c>
      <c r="C83" s="125" t="s">
        <v>54</v>
      </c>
      <c r="D83" s="135"/>
      <c r="E83" s="34">
        <v>1536.4</v>
      </c>
      <c r="F83" s="34">
        <f>SUM(E83*12)</f>
        <v>18436.800000000003</v>
      </c>
      <c r="G83" s="34">
        <v>3.5</v>
      </c>
      <c r="H83" s="61">
        <f>SUM(F83*G83/1000)</f>
        <v>64.528800000000004</v>
      </c>
      <c r="I83" s="13">
        <f>F83/12*G83</f>
        <v>5377.4000000000015</v>
      </c>
    </row>
    <row r="84" spans="1:9" ht="31.5" customHeight="1">
      <c r="A84" s="30">
        <v>20</v>
      </c>
      <c r="B84" s="118" t="s">
        <v>175</v>
      </c>
      <c r="C84" s="125" t="s">
        <v>54</v>
      </c>
      <c r="D84" s="135"/>
      <c r="E84" s="34">
        <v>1536.4</v>
      </c>
      <c r="F84" s="34">
        <f>E84*12</f>
        <v>18436.800000000003</v>
      </c>
      <c r="G84" s="34">
        <v>3.2</v>
      </c>
      <c r="H84" s="61">
        <f>F84*G84/1000</f>
        <v>58.997760000000007</v>
      </c>
      <c r="I84" s="13">
        <f>F84/12*G84</f>
        <v>4916.4800000000014</v>
      </c>
    </row>
    <row r="85" spans="1:9" ht="15.75" customHeight="1">
      <c r="A85" s="30"/>
      <c r="B85" s="36" t="s">
        <v>76</v>
      </c>
      <c r="C85" s="79"/>
      <c r="D85" s="78"/>
      <c r="E85" s="68"/>
      <c r="F85" s="68"/>
      <c r="G85" s="68"/>
      <c r="H85" s="80">
        <f>H84</f>
        <v>58.997760000000007</v>
      </c>
      <c r="I85" s="68">
        <f>I84+I83+I77+I76+I70+I62+I60+I34+I32+I31+I26+I25+I24+I23+I22++I21+I20+I18+I17+I16</f>
        <v>26866.633637000003</v>
      </c>
    </row>
    <row r="86" spans="1:9" ht="15.75" customHeight="1">
      <c r="A86" s="174" t="s">
        <v>59</v>
      </c>
      <c r="B86" s="175"/>
      <c r="C86" s="175"/>
      <c r="D86" s="175"/>
      <c r="E86" s="175"/>
      <c r="F86" s="175"/>
      <c r="G86" s="175"/>
      <c r="H86" s="175"/>
      <c r="I86" s="176"/>
    </row>
    <row r="87" spans="1:9" ht="15.75" customHeight="1">
      <c r="A87" s="30"/>
      <c r="B87" s="41" t="s">
        <v>51</v>
      </c>
      <c r="C87" s="37"/>
      <c r="D87" s="44"/>
      <c r="E87" s="37">
        <v>1</v>
      </c>
      <c r="F87" s="37"/>
      <c r="G87" s="37"/>
      <c r="H87" s="37"/>
      <c r="I87" s="32">
        <v>0</v>
      </c>
    </row>
    <row r="88" spans="1:9" ht="15.75" customHeight="1">
      <c r="A88" s="30"/>
      <c r="B88" s="43" t="s">
        <v>75</v>
      </c>
      <c r="C88" s="15"/>
      <c r="D88" s="15"/>
      <c r="E88" s="38"/>
      <c r="F88" s="38"/>
      <c r="G88" s="39"/>
      <c r="H88" s="39"/>
      <c r="I88" s="17">
        <v>0</v>
      </c>
    </row>
    <row r="89" spans="1:9">
      <c r="A89" s="45"/>
      <c r="B89" s="42" t="s">
        <v>150</v>
      </c>
      <c r="C89" s="33"/>
      <c r="D89" s="33"/>
      <c r="E89" s="33"/>
      <c r="F89" s="33"/>
      <c r="G89" s="33"/>
      <c r="H89" s="33"/>
      <c r="I89" s="40">
        <f>I85+I87</f>
        <v>26866.633637000003</v>
      </c>
    </row>
    <row r="90" spans="1:9" ht="15.75">
      <c r="A90" s="182" t="s">
        <v>243</v>
      </c>
      <c r="B90" s="182"/>
      <c r="C90" s="182"/>
      <c r="D90" s="182"/>
      <c r="E90" s="182"/>
      <c r="F90" s="182"/>
      <c r="G90" s="182"/>
      <c r="H90" s="182"/>
      <c r="I90" s="182"/>
    </row>
    <row r="91" spans="1:9" ht="15.75" customHeight="1">
      <c r="A91" s="54"/>
      <c r="B91" s="183" t="s">
        <v>244</v>
      </c>
      <c r="C91" s="183"/>
      <c r="D91" s="183"/>
      <c r="E91" s="183"/>
      <c r="F91" s="183"/>
      <c r="G91" s="183"/>
      <c r="H91" s="60"/>
      <c r="I91" s="3"/>
    </row>
    <row r="92" spans="1:9">
      <c r="A92" s="90"/>
      <c r="B92" s="179" t="s">
        <v>6</v>
      </c>
      <c r="C92" s="179"/>
      <c r="D92" s="179"/>
      <c r="E92" s="179"/>
      <c r="F92" s="179"/>
      <c r="G92" s="179"/>
      <c r="H92" s="25"/>
      <c r="I92" s="5"/>
    </row>
    <row r="93" spans="1:9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84" t="s">
        <v>7</v>
      </c>
      <c r="B94" s="184"/>
      <c r="C94" s="184"/>
      <c r="D94" s="184"/>
      <c r="E94" s="184"/>
      <c r="F94" s="184"/>
      <c r="G94" s="184"/>
      <c r="H94" s="184"/>
      <c r="I94" s="184"/>
    </row>
    <row r="95" spans="1:9" ht="15.75" customHeight="1">
      <c r="A95" s="184" t="s">
        <v>8</v>
      </c>
      <c r="B95" s="184"/>
      <c r="C95" s="184"/>
      <c r="D95" s="184"/>
      <c r="E95" s="184"/>
      <c r="F95" s="184"/>
      <c r="G95" s="184"/>
      <c r="H95" s="184"/>
      <c r="I95" s="184"/>
    </row>
    <row r="96" spans="1:9" ht="15.75">
      <c r="A96" s="171" t="s">
        <v>60</v>
      </c>
      <c r="B96" s="171"/>
      <c r="C96" s="171"/>
      <c r="D96" s="171"/>
      <c r="E96" s="171"/>
      <c r="F96" s="171"/>
      <c r="G96" s="171"/>
      <c r="H96" s="171"/>
      <c r="I96" s="171"/>
    </row>
    <row r="97" spans="1:9" ht="15.75">
      <c r="A97" s="11"/>
    </row>
    <row r="98" spans="1:9" ht="15.75">
      <c r="A98" s="177" t="s">
        <v>9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>
      <c r="A99" s="4"/>
    </row>
    <row r="100" spans="1:9" ht="15.75">
      <c r="B100" s="87" t="s">
        <v>10</v>
      </c>
      <c r="C100" s="178" t="s">
        <v>189</v>
      </c>
      <c r="D100" s="178"/>
      <c r="E100" s="178"/>
      <c r="F100" s="58"/>
      <c r="I100" s="89"/>
    </row>
    <row r="101" spans="1:9">
      <c r="A101" s="90"/>
      <c r="C101" s="179" t="s">
        <v>11</v>
      </c>
      <c r="D101" s="179"/>
      <c r="E101" s="179"/>
      <c r="F101" s="25"/>
      <c r="I101" s="88" t="s">
        <v>12</v>
      </c>
    </row>
    <row r="102" spans="1:9" ht="15.75">
      <c r="A102" s="26"/>
      <c r="C102" s="12"/>
      <c r="D102" s="12"/>
      <c r="G102" s="12"/>
      <c r="H102" s="12"/>
    </row>
    <row r="103" spans="1:9" ht="15.75" customHeight="1">
      <c r="B103" s="87" t="s">
        <v>13</v>
      </c>
      <c r="C103" s="180"/>
      <c r="D103" s="180"/>
      <c r="E103" s="180"/>
      <c r="F103" s="59"/>
      <c r="I103" s="89"/>
    </row>
    <row r="104" spans="1:9" ht="15.75" customHeight="1">
      <c r="A104" s="90"/>
      <c r="C104" s="161" t="s">
        <v>11</v>
      </c>
      <c r="D104" s="161"/>
      <c r="E104" s="161"/>
      <c r="F104" s="90"/>
      <c r="I104" s="88" t="s">
        <v>12</v>
      </c>
    </row>
    <row r="105" spans="1:9" ht="15.75" customHeight="1">
      <c r="A105" s="4" t="s">
        <v>14</v>
      </c>
    </row>
    <row r="106" spans="1:9">
      <c r="A106" s="181" t="s">
        <v>15</v>
      </c>
      <c r="B106" s="181"/>
      <c r="C106" s="181"/>
      <c r="D106" s="181"/>
      <c r="E106" s="181"/>
      <c r="F106" s="181"/>
      <c r="G106" s="181"/>
      <c r="H106" s="181"/>
      <c r="I106" s="181"/>
    </row>
    <row r="107" spans="1:9" ht="45" customHeight="1">
      <c r="A107" s="173" t="s">
        <v>16</v>
      </c>
      <c r="B107" s="173"/>
      <c r="C107" s="173"/>
      <c r="D107" s="173"/>
      <c r="E107" s="173"/>
      <c r="F107" s="173"/>
      <c r="G107" s="173"/>
      <c r="H107" s="173"/>
      <c r="I107" s="173"/>
    </row>
    <row r="108" spans="1:9" ht="30" customHeight="1">
      <c r="A108" s="173" t="s">
        <v>17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21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15" customHeight="1">
      <c r="A110" s="173" t="s">
        <v>20</v>
      </c>
      <c r="B110" s="173"/>
      <c r="C110" s="173"/>
      <c r="D110" s="173"/>
      <c r="E110" s="173"/>
      <c r="F110" s="173"/>
      <c r="G110" s="173"/>
      <c r="H110" s="173"/>
      <c r="I110" s="173"/>
    </row>
  </sheetData>
  <autoFilter ref="I12:I55"/>
  <mergeCells count="29">
    <mergeCell ref="A106:I106"/>
    <mergeCell ref="A107:I107"/>
    <mergeCell ref="A108:I108"/>
    <mergeCell ref="A109:I109"/>
    <mergeCell ref="A110:I110"/>
    <mergeCell ref="R60:U60"/>
    <mergeCell ref="C104:E104"/>
    <mergeCell ref="A86:I86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2:I82"/>
    <mergeCell ref="A3:I3"/>
    <mergeCell ref="A4:I4"/>
    <mergeCell ref="A5:I5"/>
    <mergeCell ref="A8:I8"/>
    <mergeCell ref="A10:I10"/>
    <mergeCell ref="A14:I14"/>
    <mergeCell ref="A15:I15"/>
    <mergeCell ref="A29:I29"/>
    <mergeCell ref="A43:I43"/>
    <mergeCell ref="A54:I54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2"/>
  <sheetViews>
    <sheetView topLeftCell="A69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151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245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94"/>
      <c r="C6" s="94"/>
      <c r="D6" s="94"/>
      <c r="E6" s="94"/>
      <c r="F6" s="94"/>
      <c r="G6" s="94"/>
      <c r="H6" s="94"/>
      <c r="I6" s="83">
        <v>44439</v>
      </c>
      <c r="J6" s="2"/>
      <c r="K6" s="2"/>
      <c r="L6" s="2"/>
      <c r="M6" s="2"/>
    </row>
    <row r="7" spans="1:13" ht="15.75">
      <c r="B7" s="96"/>
      <c r="C7" s="96"/>
      <c r="D7" s="9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194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180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5</v>
      </c>
      <c r="B20" s="62" t="s">
        <v>90</v>
      </c>
      <c r="C20" s="63" t="s">
        <v>80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6</v>
      </c>
      <c r="B21" s="62" t="s">
        <v>91</v>
      </c>
      <c r="C21" s="63" t="s">
        <v>80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>
        <v>7</v>
      </c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>
        <v>8</v>
      </c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>
        <v>10</v>
      </c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>
        <v>11</v>
      </c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62" t="s">
        <v>147</v>
      </c>
      <c r="B28" s="163"/>
      <c r="C28" s="163"/>
      <c r="D28" s="163"/>
      <c r="E28" s="163"/>
      <c r="F28" s="163"/>
      <c r="G28" s="163"/>
      <c r="H28" s="163"/>
      <c r="I28" s="164"/>
      <c r="J28" s="24"/>
    </row>
    <row r="29" spans="1:13" ht="15.7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4</v>
      </c>
      <c r="B30" s="118" t="s">
        <v>100</v>
      </c>
      <c r="C30" s="119" t="s">
        <v>83</v>
      </c>
      <c r="D30" s="118" t="s">
        <v>164</v>
      </c>
      <c r="E30" s="113">
        <v>61.5</v>
      </c>
      <c r="F30" s="113">
        <f>SUM(E30*24/1000)</f>
        <v>1.476</v>
      </c>
      <c r="G30" s="113">
        <v>232.4</v>
      </c>
      <c r="H30" s="66">
        <f t="shared" ref="H30:H33" si="3">SUM(F30*G30/1000)</f>
        <v>0.34302240000000001</v>
      </c>
      <c r="I30" s="13">
        <f t="shared" ref="I30:I31" si="4">F30/6*G30</f>
        <v>57.170400000000001</v>
      </c>
      <c r="J30" s="23"/>
      <c r="K30" s="8"/>
      <c r="L30" s="8"/>
      <c r="M30" s="8"/>
    </row>
    <row r="31" spans="1:13" ht="31.5" customHeight="1">
      <c r="A31" s="30">
        <v>5</v>
      </c>
      <c r="B31" s="118" t="s">
        <v>99</v>
      </c>
      <c r="C31" s="119" t="s">
        <v>83</v>
      </c>
      <c r="D31" s="118" t="s">
        <v>171</v>
      </c>
      <c r="E31" s="113">
        <v>35.299999999999997</v>
      </c>
      <c r="F31" s="113">
        <f>SUM(E31*72/1000)</f>
        <v>2.5415999999999999</v>
      </c>
      <c r="G31" s="113">
        <v>385.6</v>
      </c>
      <c r="H31" s="66">
        <f t="shared" si="3"/>
        <v>0.98004096000000007</v>
      </c>
      <c r="I31" s="13">
        <f t="shared" si="4"/>
        <v>163.34016</v>
      </c>
      <c r="J31" s="23"/>
      <c r="K31" s="8"/>
      <c r="L31" s="8"/>
      <c r="M31" s="8"/>
    </row>
    <row r="32" spans="1:13" ht="15.75" hidden="1" customHeight="1">
      <c r="A32" s="30">
        <v>16</v>
      </c>
      <c r="B32" s="118" t="s">
        <v>27</v>
      </c>
      <c r="C32" s="119" t="s">
        <v>83</v>
      </c>
      <c r="D32" s="118" t="s">
        <v>156</v>
      </c>
      <c r="E32" s="113">
        <v>61.5</v>
      </c>
      <c r="F32" s="113">
        <f>SUM(E32/1000)</f>
        <v>6.1499999999999999E-2</v>
      </c>
      <c r="G32" s="113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/>
      <c r="B33" s="116" t="s">
        <v>178</v>
      </c>
      <c r="C33" s="110" t="s">
        <v>179</v>
      </c>
      <c r="D33" s="118" t="s">
        <v>171</v>
      </c>
      <c r="E33" s="113">
        <v>4</v>
      </c>
      <c r="F33" s="113">
        <f>E33*72/100</f>
        <v>2.88</v>
      </c>
      <c r="G33" s="113">
        <v>1941.17</v>
      </c>
      <c r="H33" s="66">
        <f t="shared" si="3"/>
        <v>5.5905696000000002</v>
      </c>
      <c r="I33" s="13">
        <f>G33*F33/6</f>
        <v>931.76159999999993</v>
      </c>
      <c r="J33" s="24"/>
    </row>
    <row r="34" spans="1:14" ht="15.75" hidden="1" customHeight="1">
      <c r="A34" s="30"/>
      <c r="B34" s="62" t="s">
        <v>64</v>
      </c>
      <c r="C34" s="63" t="s">
        <v>31</v>
      </c>
      <c r="D34" s="62" t="s">
        <v>65</v>
      </c>
      <c r="E34" s="64"/>
      <c r="F34" s="65">
        <v>1</v>
      </c>
      <c r="G34" s="65">
        <v>1413.96</v>
      </c>
      <c r="H34" s="66">
        <f t="shared" ref="H34" si="5">SUM(F34*G34/1000)</f>
        <v>1.4139600000000001</v>
      </c>
      <c r="I34" s="13">
        <v>0</v>
      </c>
      <c r="J34" s="24"/>
    </row>
    <row r="35" spans="1:14" ht="15.75" hidden="1" customHeight="1">
      <c r="A35" s="30"/>
      <c r="B35" s="81" t="s">
        <v>5</v>
      </c>
      <c r="C35" s="63"/>
      <c r="D35" s="62"/>
      <c r="E35" s="64"/>
      <c r="F35" s="65"/>
      <c r="G35" s="65"/>
      <c r="H35" s="66" t="s">
        <v>114</v>
      </c>
      <c r="I35" s="13"/>
      <c r="J35" s="24"/>
      <c r="L35" s="19"/>
      <c r="M35" s="20"/>
      <c r="N35" s="21"/>
    </row>
    <row r="36" spans="1:14" ht="15.75" hidden="1" customHeight="1">
      <c r="A36" s="30">
        <v>6</v>
      </c>
      <c r="B36" s="62" t="s">
        <v>26</v>
      </c>
      <c r="C36" s="63" t="s">
        <v>31</v>
      </c>
      <c r="D36" s="62"/>
      <c r="E36" s="64"/>
      <c r="F36" s="65">
        <v>3</v>
      </c>
      <c r="G36" s="65">
        <v>1900.37</v>
      </c>
      <c r="H36" s="66">
        <f t="shared" ref="H36:H41" si="6">SUM(F36*G36/1000)</f>
        <v>5.7011099999999999</v>
      </c>
      <c r="I36" s="13">
        <f t="shared" ref="I36:I41" si="7">F36/6*G36</f>
        <v>950.18499999999995</v>
      </c>
      <c r="J36" s="24"/>
      <c r="L36" s="19"/>
      <c r="M36" s="20"/>
      <c r="N36" s="21"/>
    </row>
    <row r="37" spans="1:14" ht="31.5" hidden="1" customHeight="1">
      <c r="A37" s="30">
        <v>7</v>
      </c>
      <c r="B37" s="62" t="s">
        <v>115</v>
      </c>
      <c r="C37" s="63" t="s">
        <v>29</v>
      </c>
      <c r="D37" s="62" t="s">
        <v>81</v>
      </c>
      <c r="E37" s="64">
        <v>35.299999999999997</v>
      </c>
      <c r="F37" s="65">
        <f>E37*30/1000</f>
        <v>1.0589999999999999</v>
      </c>
      <c r="G37" s="65">
        <v>2616.4899999999998</v>
      </c>
      <c r="H37" s="66">
        <f t="shared" si="6"/>
        <v>2.77086291</v>
      </c>
      <c r="I37" s="13">
        <f t="shared" si="7"/>
        <v>461.81048499999991</v>
      </c>
      <c r="J37" s="24"/>
      <c r="L37" s="19"/>
      <c r="M37" s="20"/>
      <c r="N37" s="21"/>
    </row>
    <row r="38" spans="1:14" ht="15.75" hidden="1" customHeight="1">
      <c r="A38" s="30">
        <v>8</v>
      </c>
      <c r="B38" s="62" t="s">
        <v>116</v>
      </c>
      <c r="C38" s="63" t="s">
        <v>29</v>
      </c>
      <c r="D38" s="62" t="s">
        <v>82</v>
      </c>
      <c r="E38" s="64">
        <v>35.299999999999997</v>
      </c>
      <c r="F38" s="65">
        <f>SUM(E38*155/1000)</f>
        <v>5.4714999999999998</v>
      </c>
      <c r="G38" s="65">
        <v>436.45</v>
      </c>
      <c r="H38" s="66">
        <f t="shared" si="6"/>
        <v>2.3880361749999999</v>
      </c>
      <c r="I38" s="13">
        <f t="shared" si="7"/>
        <v>398.00602916666662</v>
      </c>
      <c r="J38" s="24"/>
      <c r="L38" s="19"/>
      <c r="M38" s="20"/>
      <c r="N38" s="21"/>
    </row>
    <row r="39" spans="1:14" ht="47.25" hidden="1" customHeight="1">
      <c r="A39" s="30">
        <v>9</v>
      </c>
      <c r="B39" s="62" t="s">
        <v>117</v>
      </c>
      <c r="C39" s="63" t="s">
        <v>83</v>
      </c>
      <c r="D39" s="62" t="s">
        <v>118</v>
      </c>
      <c r="E39" s="64">
        <v>35.299999999999997</v>
      </c>
      <c r="F39" s="65">
        <f>SUM(E39*24/1000)</f>
        <v>0.84719999999999995</v>
      </c>
      <c r="G39" s="65">
        <v>7221.21</v>
      </c>
      <c r="H39" s="66">
        <f t="shared" si="6"/>
        <v>6.1178091119999998</v>
      </c>
      <c r="I39" s="13">
        <f t="shared" si="7"/>
        <v>1019.6348519999999</v>
      </c>
      <c r="J39" s="24"/>
      <c r="L39" s="19"/>
      <c r="M39" s="20"/>
      <c r="N39" s="21"/>
    </row>
    <row r="40" spans="1:14" ht="15.75" hidden="1" customHeight="1">
      <c r="A40" s="30">
        <v>10</v>
      </c>
      <c r="B40" s="62" t="s">
        <v>119</v>
      </c>
      <c r="C40" s="63" t="s">
        <v>83</v>
      </c>
      <c r="D40" s="62" t="s">
        <v>66</v>
      </c>
      <c r="E40" s="64">
        <v>35.299999999999997</v>
      </c>
      <c r="F40" s="65">
        <f>SUM(E40*45/1000)</f>
        <v>1.5884999999999998</v>
      </c>
      <c r="G40" s="65">
        <v>533.45000000000005</v>
      </c>
      <c r="H40" s="66">
        <f t="shared" si="6"/>
        <v>0.84738532499999997</v>
      </c>
      <c r="I40" s="13">
        <f t="shared" si="7"/>
        <v>141.23088749999999</v>
      </c>
      <c r="J40" s="24"/>
      <c r="L40" s="19"/>
      <c r="M40" s="20"/>
      <c r="N40" s="21"/>
    </row>
    <row r="41" spans="1:14" ht="15.75" hidden="1" customHeight="1">
      <c r="A41" s="30">
        <v>11</v>
      </c>
      <c r="B41" s="62" t="s">
        <v>67</v>
      </c>
      <c r="C41" s="63" t="s">
        <v>32</v>
      </c>
      <c r="D41" s="62"/>
      <c r="E41" s="64"/>
      <c r="F41" s="65">
        <v>0.3</v>
      </c>
      <c r="G41" s="65">
        <v>992.97</v>
      </c>
      <c r="H41" s="66">
        <f t="shared" si="6"/>
        <v>0.29789100000000002</v>
      </c>
      <c r="I41" s="13">
        <f t="shared" si="7"/>
        <v>49.648499999999999</v>
      </c>
      <c r="J41" s="24"/>
      <c r="L41" s="19"/>
      <c r="M41" s="20"/>
      <c r="N41" s="21"/>
    </row>
    <row r="42" spans="1:14" ht="15.75" customHeight="1">
      <c r="A42" s="162" t="s">
        <v>132</v>
      </c>
      <c r="B42" s="163"/>
      <c r="C42" s="163"/>
      <c r="D42" s="163"/>
      <c r="E42" s="163"/>
      <c r="F42" s="163"/>
      <c r="G42" s="163"/>
      <c r="H42" s="163"/>
      <c r="I42" s="164"/>
      <c r="J42" s="24"/>
      <c r="L42" s="19"/>
      <c r="M42" s="20"/>
      <c r="N42" s="21"/>
    </row>
    <row r="43" spans="1:14" ht="15.75" hidden="1" customHeight="1">
      <c r="A43" s="30">
        <v>18</v>
      </c>
      <c r="B43" s="62" t="s">
        <v>101</v>
      </c>
      <c r="C43" s="63" t="s">
        <v>83</v>
      </c>
      <c r="D43" s="62" t="s">
        <v>42</v>
      </c>
      <c r="E43" s="64">
        <v>907.4</v>
      </c>
      <c r="F43" s="65">
        <f>SUM(E43*2/1000)</f>
        <v>1.8148</v>
      </c>
      <c r="G43" s="13">
        <v>1283.46</v>
      </c>
      <c r="H43" s="66">
        <f t="shared" ref="H43:H52" si="8">SUM(F43*G43/1000)</f>
        <v>2.3292232079999997</v>
      </c>
      <c r="I43" s="13">
        <f>F43/2*G43</f>
        <v>1164.6116039999999</v>
      </c>
      <c r="J43" s="24"/>
      <c r="L43" s="19"/>
      <c r="M43" s="20"/>
      <c r="N43" s="21"/>
    </row>
    <row r="44" spans="1:14" ht="15.75" hidden="1" customHeight="1">
      <c r="A44" s="30">
        <v>19</v>
      </c>
      <c r="B44" s="62" t="s">
        <v>35</v>
      </c>
      <c r="C44" s="63" t="s">
        <v>83</v>
      </c>
      <c r="D44" s="62" t="s">
        <v>42</v>
      </c>
      <c r="E44" s="64">
        <v>27</v>
      </c>
      <c r="F44" s="65">
        <f>SUM(E44*2/1000)</f>
        <v>5.3999999999999999E-2</v>
      </c>
      <c r="G44" s="13">
        <v>4192.6400000000003</v>
      </c>
      <c r="H44" s="66">
        <f t="shared" si="8"/>
        <v>0.22640256000000003</v>
      </c>
      <c r="I44" s="13">
        <f t="shared" ref="I44:I51" si="9">F44/2*G44</f>
        <v>113.20128000000001</v>
      </c>
      <c r="J44" s="24"/>
      <c r="L44" s="19"/>
      <c r="M44" s="20"/>
      <c r="N44" s="21"/>
    </row>
    <row r="45" spans="1:14" ht="15.75" hidden="1" customHeight="1">
      <c r="A45" s="30">
        <v>20</v>
      </c>
      <c r="B45" s="62" t="s">
        <v>36</v>
      </c>
      <c r="C45" s="63" t="s">
        <v>83</v>
      </c>
      <c r="D45" s="62" t="s">
        <v>42</v>
      </c>
      <c r="E45" s="64">
        <v>772</v>
      </c>
      <c r="F45" s="65">
        <f>SUM(E45*2/1000)</f>
        <v>1.544</v>
      </c>
      <c r="G45" s="13">
        <v>1711.28</v>
      </c>
      <c r="H45" s="66">
        <f t="shared" si="8"/>
        <v>2.6422163200000002</v>
      </c>
      <c r="I45" s="13">
        <f t="shared" si="9"/>
        <v>1321.10816</v>
      </c>
      <c r="J45" s="24"/>
      <c r="L45" s="19"/>
      <c r="M45" s="20"/>
      <c r="N45" s="21"/>
    </row>
    <row r="46" spans="1:14" ht="15.75" hidden="1" customHeight="1">
      <c r="A46" s="30">
        <v>21</v>
      </c>
      <c r="B46" s="62" t="s">
        <v>37</v>
      </c>
      <c r="C46" s="63" t="s">
        <v>83</v>
      </c>
      <c r="D46" s="62" t="s">
        <v>42</v>
      </c>
      <c r="E46" s="64">
        <v>959.4</v>
      </c>
      <c r="F46" s="65">
        <f>SUM(E46*2/1000)</f>
        <v>1.9188000000000001</v>
      </c>
      <c r="G46" s="13">
        <v>1179.73</v>
      </c>
      <c r="H46" s="66">
        <f t="shared" si="8"/>
        <v>2.2636659240000001</v>
      </c>
      <c r="I46" s="13">
        <f t="shared" si="9"/>
        <v>1131.832962</v>
      </c>
      <c r="J46" s="24"/>
      <c r="L46" s="19"/>
      <c r="M46" s="20"/>
      <c r="N46" s="21"/>
    </row>
    <row r="47" spans="1:14" ht="15.75" hidden="1" customHeight="1">
      <c r="A47" s="30">
        <v>22</v>
      </c>
      <c r="B47" s="62" t="s">
        <v>33</v>
      </c>
      <c r="C47" s="63" t="s">
        <v>34</v>
      </c>
      <c r="D47" s="62" t="s">
        <v>42</v>
      </c>
      <c r="E47" s="64">
        <v>66.02</v>
      </c>
      <c r="F47" s="65">
        <f>SUM(E47*2/100)</f>
        <v>1.3204</v>
      </c>
      <c r="G47" s="13">
        <v>90.61</v>
      </c>
      <c r="H47" s="66">
        <f t="shared" si="8"/>
        <v>0.11964144400000001</v>
      </c>
      <c r="I47" s="13">
        <f t="shared" si="9"/>
        <v>59.820722000000004</v>
      </c>
      <c r="J47" s="24"/>
      <c r="L47" s="19"/>
      <c r="M47" s="20"/>
      <c r="N47" s="21"/>
    </row>
    <row r="48" spans="1:14" ht="15.75" hidden="1" customHeight="1">
      <c r="A48" s="30">
        <v>23</v>
      </c>
      <c r="B48" s="62" t="s">
        <v>55</v>
      </c>
      <c r="C48" s="63" t="s">
        <v>83</v>
      </c>
      <c r="D48" s="62" t="s">
        <v>131</v>
      </c>
      <c r="E48" s="64">
        <v>1536.4</v>
      </c>
      <c r="F48" s="65">
        <f>SUM(E48*5/1000)</f>
        <v>7.6820000000000004</v>
      </c>
      <c r="G48" s="13">
        <v>1711.28</v>
      </c>
      <c r="H48" s="66">
        <f t="shared" si="8"/>
        <v>13.14605296</v>
      </c>
      <c r="I48" s="13">
        <f>F48/5*G48</f>
        <v>2629.2105919999999</v>
      </c>
      <c r="J48" s="24"/>
      <c r="L48" s="19"/>
      <c r="M48" s="20"/>
      <c r="N48" s="21"/>
    </row>
    <row r="49" spans="1:22" ht="32.25" hidden="1" customHeight="1">
      <c r="A49" s="30">
        <v>12</v>
      </c>
      <c r="B49" s="62" t="s">
        <v>84</v>
      </c>
      <c r="C49" s="63" t="s">
        <v>83</v>
      </c>
      <c r="D49" s="62" t="s">
        <v>42</v>
      </c>
      <c r="E49" s="64">
        <v>1536.4</v>
      </c>
      <c r="F49" s="65">
        <f>SUM(E49*2/1000)</f>
        <v>3.0728</v>
      </c>
      <c r="G49" s="13">
        <v>1510.06</v>
      </c>
      <c r="H49" s="66">
        <f t="shared" si="8"/>
        <v>4.6401123680000005</v>
      </c>
      <c r="I49" s="13">
        <f t="shared" si="9"/>
        <v>2320.056184</v>
      </c>
      <c r="J49" s="24"/>
      <c r="L49" s="19"/>
      <c r="M49" s="20"/>
      <c r="N49" s="21"/>
    </row>
    <row r="50" spans="1:22" ht="32.25" hidden="1" customHeight="1">
      <c r="A50" s="30">
        <v>13</v>
      </c>
      <c r="B50" s="62" t="s">
        <v>85</v>
      </c>
      <c r="C50" s="63" t="s">
        <v>38</v>
      </c>
      <c r="D50" s="62" t="s">
        <v>42</v>
      </c>
      <c r="E50" s="64">
        <v>9</v>
      </c>
      <c r="F50" s="65">
        <f>SUM(E50*2/100)</f>
        <v>0.18</v>
      </c>
      <c r="G50" s="13">
        <v>3850.4</v>
      </c>
      <c r="H50" s="66">
        <f t="shared" si="8"/>
        <v>0.69307200000000002</v>
      </c>
      <c r="I50" s="13">
        <f t="shared" si="9"/>
        <v>346.536</v>
      </c>
      <c r="J50" s="24"/>
      <c r="L50" s="19"/>
      <c r="M50" s="20"/>
      <c r="N50" s="21"/>
    </row>
    <row r="51" spans="1:22" ht="15.75" hidden="1" customHeight="1">
      <c r="A51" s="30">
        <v>14</v>
      </c>
      <c r="B51" s="62" t="s">
        <v>39</v>
      </c>
      <c r="C51" s="63" t="s">
        <v>40</v>
      </c>
      <c r="D51" s="62" t="s">
        <v>42</v>
      </c>
      <c r="E51" s="64">
        <v>1</v>
      </c>
      <c r="F51" s="65">
        <v>0.02</v>
      </c>
      <c r="G51" s="13">
        <v>7033.13</v>
      </c>
      <c r="H51" s="66">
        <f t="shared" si="8"/>
        <v>0.1406626</v>
      </c>
      <c r="I51" s="13">
        <f t="shared" si="9"/>
        <v>70.331299999999999</v>
      </c>
      <c r="J51" s="24"/>
      <c r="L51" s="19"/>
      <c r="M51" s="20"/>
      <c r="N51" s="21"/>
    </row>
    <row r="52" spans="1:22" ht="15.75" customHeight="1">
      <c r="A52" s="30">
        <v>6</v>
      </c>
      <c r="B52" s="118" t="s">
        <v>41</v>
      </c>
      <c r="C52" s="119" t="s">
        <v>102</v>
      </c>
      <c r="D52" s="122">
        <v>44069</v>
      </c>
      <c r="E52" s="123">
        <v>53</v>
      </c>
      <c r="F52" s="113">
        <v>53</v>
      </c>
      <c r="G52" s="151">
        <v>97.93</v>
      </c>
      <c r="H52" s="66">
        <f t="shared" si="8"/>
        <v>5.1902900000000001</v>
      </c>
      <c r="I52" s="13">
        <f>F52/3*G52</f>
        <v>1730.0966666666668</v>
      </c>
      <c r="J52" s="24"/>
      <c r="L52" s="19"/>
    </row>
    <row r="53" spans="1:22" ht="15.75" customHeight="1">
      <c r="A53" s="162" t="s">
        <v>133</v>
      </c>
      <c r="B53" s="163"/>
      <c r="C53" s="163"/>
      <c r="D53" s="163"/>
      <c r="E53" s="163"/>
      <c r="F53" s="163"/>
      <c r="G53" s="163"/>
      <c r="H53" s="163"/>
      <c r="I53" s="164"/>
    </row>
    <row r="54" spans="1:22" ht="15.75" hidden="1" customHeight="1">
      <c r="A54" s="30"/>
      <c r="B54" s="81" t="s">
        <v>43</v>
      </c>
      <c r="C54" s="63"/>
      <c r="D54" s="62"/>
      <c r="E54" s="64"/>
      <c r="F54" s="65"/>
      <c r="G54" s="65"/>
      <c r="H54" s="66"/>
      <c r="I54" s="13"/>
    </row>
    <row r="55" spans="1:22" ht="31.5" hidden="1" customHeight="1">
      <c r="A55" s="30">
        <v>15</v>
      </c>
      <c r="B55" s="62" t="s">
        <v>103</v>
      </c>
      <c r="C55" s="63" t="s">
        <v>80</v>
      </c>
      <c r="D55" s="62" t="s">
        <v>104</v>
      </c>
      <c r="E55" s="64">
        <v>11.5</v>
      </c>
      <c r="F55" s="65">
        <f>SUM(E55*6/100)</f>
        <v>0.69</v>
      </c>
      <c r="G55" s="13">
        <v>2306.62</v>
      </c>
      <c r="H55" s="66">
        <f>SUM(F55*G55/1000)</f>
        <v>1.5915677999999998</v>
      </c>
      <c r="I55" s="13">
        <f>F55/6*G55</f>
        <v>265.26129999999995</v>
      </c>
    </row>
    <row r="56" spans="1:22" ht="15.75" hidden="1" customHeight="1">
      <c r="A56" s="30"/>
      <c r="B56" s="62" t="s">
        <v>120</v>
      </c>
      <c r="C56" s="63" t="s">
        <v>121</v>
      </c>
      <c r="D56" s="62" t="s">
        <v>65</v>
      </c>
      <c r="E56" s="64"/>
      <c r="F56" s="65">
        <v>2</v>
      </c>
      <c r="G56" s="84">
        <v>1501</v>
      </c>
      <c r="H56" s="66">
        <f>SUM(F56*G56/1000)</f>
        <v>3.0019999999999998</v>
      </c>
      <c r="I56" s="13">
        <v>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customHeight="1">
      <c r="A57" s="30"/>
      <c r="B57" s="81" t="s">
        <v>44</v>
      </c>
      <c r="C57" s="63"/>
      <c r="D57" s="62"/>
      <c r="E57" s="64"/>
      <c r="F57" s="65"/>
      <c r="G57" s="85"/>
      <c r="H57" s="66"/>
      <c r="I57" s="13"/>
      <c r="J57" s="26"/>
      <c r="K57" s="26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30"/>
      <c r="B58" s="62" t="s">
        <v>105</v>
      </c>
      <c r="C58" s="63" t="s">
        <v>80</v>
      </c>
      <c r="D58" s="62" t="s">
        <v>53</v>
      </c>
      <c r="E58" s="64">
        <v>148</v>
      </c>
      <c r="F58" s="66">
        <f>E58/100</f>
        <v>1.48</v>
      </c>
      <c r="G58" s="13">
        <v>987.51</v>
      </c>
      <c r="H58" s="71">
        <f>F58*G58/1000</f>
        <v>1.4615148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customHeight="1">
      <c r="A59" s="30">
        <v>7</v>
      </c>
      <c r="B59" s="73" t="s">
        <v>129</v>
      </c>
      <c r="C59" s="72" t="s">
        <v>25</v>
      </c>
      <c r="D59" s="73" t="s">
        <v>156</v>
      </c>
      <c r="E59" s="74">
        <v>140.5</v>
      </c>
      <c r="F59" s="65">
        <v>1320</v>
      </c>
      <c r="G59" s="86">
        <v>1.4</v>
      </c>
      <c r="H59" s="71">
        <f>F59*G59/1000</f>
        <v>1.8479999999999999</v>
      </c>
      <c r="I59" s="13">
        <f>F59/12*G59</f>
        <v>154</v>
      </c>
      <c r="J59" s="5"/>
      <c r="K59" s="5"/>
      <c r="L59" s="5"/>
      <c r="M59" s="5"/>
      <c r="N59" s="5"/>
      <c r="O59" s="5"/>
      <c r="P59" s="5"/>
      <c r="Q59" s="5"/>
      <c r="R59" s="161"/>
      <c r="S59" s="161"/>
      <c r="T59" s="161"/>
      <c r="U59" s="161"/>
    </row>
    <row r="60" spans="1:22" ht="15.75" customHeight="1">
      <c r="A60" s="30"/>
      <c r="B60" s="82" t="s">
        <v>45</v>
      </c>
      <c r="C60" s="72"/>
      <c r="D60" s="73"/>
      <c r="E60" s="74"/>
      <c r="F60" s="75"/>
      <c r="G60" s="75"/>
      <c r="H60" s="76" t="s">
        <v>114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5.75" customHeight="1">
      <c r="A61" s="30">
        <v>8</v>
      </c>
      <c r="B61" s="14" t="s">
        <v>46</v>
      </c>
      <c r="C61" s="16" t="s">
        <v>102</v>
      </c>
      <c r="D61" s="14" t="s">
        <v>164</v>
      </c>
      <c r="E61" s="18">
        <v>2</v>
      </c>
      <c r="F61" s="65">
        <f>E61</f>
        <v>2</v>
      </c>
      <c r="G61" s="115">
        <v>331.57</v>
      </c>
      <c r="H61" s="61">
        <f t="shared" ref="H61:H79" si="10">SUM(F61*G61/1000)</f>
        <v>0.66313999999999995</v>
      </c>
      <c r="I61" s="13">
        <f>G61*4</f>
        <v>1326.28</v>
      </c>
    </row>
    <row r="62" spans="1:22" ht="15.75" hidden="1" customHeight="1">
      <c r="A62" s="30"/>
      <c r="B62" s="14" t="s">
        <v>47</v>
      </c>
      <c r="C62" s="16" t="s">
        <v>102</v>
      </c>
      <c r="D62" s="14" t="s">
        <v>65</v>
      </c>
      <c r="E62" s="18">
        <v>1</v>
      </c>
      <c r="F62" s="65">
        <f>E62</f>
        <v>1</v>
      </c>
      <c r="G62" s="13">
        <v>94.89</v>
      </c>
      <c r="H62" s="61">
        <f t="shared" si="10"/>
        <v>9.4890000000000002E-2</v>
      </c>
      <c r="I62" s="13">
        <v>0</v>
      </c>
    </row>
    <row r="63" spans="1:22" ht="15.75" hidden="1" customHeight="1">
      <c r="A63" s="30">
        <v>26</v>
      </c>
      <c r="B63" s="14" t="s">
        <v>48</v>
      </c>
      <c r="C63" s="16" t="s">
        <v>106</v>
      </c>
      <c r="D63" s="14" t="s">
        <v>53</v>
      </c>
      <c r="E63" s="64">
        <v>6307</v>
      </c>
      <c r="F63" s="13">
        <f>SUM(E63/100)</f>
        <v>63.07</v>
      </c>
      <c r="G63" s="13">
        <v>263.99</v>
      </c>
      <c r="H63" s="61">
        <f t="shared" si="10"/>
        <v>16.649849300000003</v>
      </c>
      <c r="I63" s="13">
        <f>F63*G63</f>
        <v>16649.849300000002</v>
      </c>
    </row>
    <row r="64" spans="1:22" ht="15.75" hidden="1" customHeight="1">
      <c r="A64" s="30">
        <v>27</v>
      </c>
      <c r="B64" s="14" t="s">
        <v>49</v>
      </c>
      <c r="C64" s="16" t="s">
        <v>107</v>
      </c>
      <c r="D64" s="14"/>
      <c r="E64" s="64">
        <v>6307</v>
      </c>
      <c r="F64" s="13">
        <f>SUM(E64/1000)</f>
        <v>6.3070000000000004</v>
      </c>
      <c r="G64" s="13">
        <v>205.57</v>
      </c>
      <c r="H64" s="61">
        <f t="shared" si="10"/>
        <v>1.29652999</v>
      </c>
      <c r="I64" s="13">
        <f t="shared" ref="I64:I67" si="11">F64*G64</f>
        <v>1296.52999</v>
      </c>
    </row>
    <row r="65" spans="1:9" ht="15.75" hidden="1" customHeight="1">
      <c r="A65" s="30">
        <v>28</v>
      </c>
      <c r="B65" s="14" t="s">
        <v>50</v>
      </c>
      <c r="C65" s="16" t="s">
        <v>74</v>
      </c>
      <c r="D65" s="14" t="s">
        <v>53</v>
      </c>
      <c r="E65" s="64">
        <v>1003</v>
      </c>
      <c r="F65" s="13">
        <f>SUM(E65/100)</f>
        <v>10.029999999999999</v>
      </c>
      <c r="G65" s="13">
        <v>2581.5300000000002</v>
      </c>
      <c r="H65" s="61">
        <f t="shared" si="10"/>
        <v>25.892745900000001</v>
      </c>
      <c r="I65" s="13">
        <f t="shared" si="11"/>
        <v>25892.745900000002</v>
      </c>
    </row>
    <row r="66" spans="1:9" ht="15.75" hidden="1" customHeight="1">
      <c r="A66" s="30">
        <v>29</v>
      </c>
      <c r="B66" s="77" t="s">
        <v>108</v>
      </c>
      <c r="C66" s="16" t="s">
        <v>32</v>
      </c>
      <c r="D66" s="14"/>
      <c r="E66" s="64">
        <v>6.6</v>
      </c>
      <c r="F66" s="13">
        <f>SUM(E66)</f>
        <v>6.6</v>
      </c>
      <c r="G66" s="13">
        <v>47.75</v>
      </c>
      <c r="H66" s="61">
        <f t="shared" si="10"/>
        <v>0.31514999999999999</v>
      </c>
      <c r="I66" s="13">
        <f t="shared" si="11"/>
        <v>315.14999999999998</v>
      </c>
    </row>
    <row r="67" spans="1:9" ht="15.75" hidden="1" customHeight="1">
      <c r="A67" s="30">
        <v>30</v>
      </c>
      <c r="B67" s="77" t="s">
        <v>109</v>
      </c>
      <c r="C67" s="16" t="s">
        <v>32</v>
      </c>
      <c r="D67" s="14"/>
      <c r="E67" s="64">
        <v>6.6</v>
      </c>
      <c r="F67" s="13">
        <f>SUM(E67)</f>
        <v>6.6</v>
      </c>
      <c r="G67" s="13">
        <v>44.27</v>
      </c>
      <c r="H67" s="61">
        <f t="shared" si="10"/>
        <v>0.292182</v>
      </c>
      <c r="I67" s="13">
        <f t="shared" si="11"/>
        <v>292.18200000000002</v>
      </c>
    </row>
    <row r="68" spans="1:9" ht="15.75" hidden="1" customHeight="1">
      <c r="A68" s="30">
        <v>19</v>
      </c>
      <c r="B68" s="14" t="s">
        <v>56</v>
      </c>
      <c r="C68" s="16" t="s">
        <v>57</v>
      </c>
      <c r="D68" s="14" t="s">
        <v>53</v>
      </c>
      <c r="E68" s="18">
        <v>3</v>
      </c>
      <c r="F68" s="65">
        <v>3</v>
      </c>
      <c r="G68" s="13">
        <v>62.07</v>
      </c>
      <c r="H68" s="61">
        <f t="shared" si="10"/>
        <v>0.18621000000000001</v>
      </c>
      <c r="I68" s="13">
        <f>F68*G68</f>
        <v>186.21</v>
      </c>
    </row>
    <row r="69" spans="1:9" ht="15.75" customHeight="1">
      <c r="A69" s="30"/>
      <c r="B69" s="158" t="s">
        <v>157</v>
      </c>
      <c r="C69" s="16"/>
      <c r="D69" s="14"/>
      <c r="E69" s="18"/>
      <c r="F69" s="56"/>
      <c r="G69" s="13"/>
      <c r="H69" s="61"/>
      <c r="I69" s="13"/>
    </row>
    <row r="70" spans="1:9" ht="15.75" customHeight="1">
      <c r="A70" s="30">
        <v>9</v>
      </c>
      <c r="B70" s="133" t="s">
        <v>122</v>
      </c>
      <c r="C70" s="126" t="s">
        <v>123</v>
      </c>
      <c r="D70" s="133" t="s">
        <v>156</v>
      </c>
      <c r="E70" s="17">
        <v>1536.4</v>
      </c>
      <c r="F70" s="134">
        <f>E70*12</f>
        <v>18436.800000000003</v>
      </c>
      <c r="G70" s="34">
        <v>2.6</v>
      </c>
      <c r="H70" s="61">
        <f t="shared" si="10"/>
        <v>47.935680000000005</v>
      </c>
      <c r="I70" s="13">
        <f>F70/12*G70</f>
        <v>3994.6400000000008</v>
      </c>
    </row>
    <row r="71" spans="1:9" ht="15.75" customHeight="1">
      <c r="A71" s="30"/>
      <c r="B71" s="95" t="s">
        <v>69</v>
      </c>
      <c r="C71" s="16"/>
      <c r="D71" s="14"/>
      <c r="E71" s="18"/>
      <c r="F71" s="13"/>
      <c r="G71" s="13"/>
      <c r="H71" s="61" t="s">
        <v>114</v>
      </c>
      <c r="I71" s="13"/>
    </row>
    <row r="72" spans="1:9" ht="15.75" hidden="1" customHeight="1">
      <c r="A72" s="30"/>
      <c r="B72" s="14" t="s">
        <v>124</v>
      </c>
      <c r="C72" s="16" t="s">
        <v>125</v>
      </c>
      <c r="D72" s="14" t="s">
        <v>65</v>
      </c>
      <c r="E72" s="18">
        <v>1</v>
      </c>
      <c r="F72" s="13">
        <f>E72</f>
        <v>1</v>
      </c>
      <c r="G72" s="13">
        <v>976.4</v>
      </c>
      <c r="H72" s="61">
        <f t="shared" ref="H72:H73" si="12">SUM(F72*G72/1000)</f>
        <v>0.97639999999999993</v>
      </c>
      <c r="I72" s="13">
        <v>0</v>
      </c>
    </row>
    <row r="73" spans="1:9" ht="15.75" hidden="1" customHeight="1">
      <c r="A73" s="30"/>
      <c r="B73" s="14" t="s">
        <v>126</v>
      </c>
      <c r="C73" s="16" t="s">
        <v>127</v>
      </c>
      <c r="D73" s="14"/>
      <c r="E73" s="18">
        <v>1</v>
      </c>
      <c r="F73" s="13">
        <v>1</v>
      </c>
      <c r="G73" s="13">
        <v>650</v>
      </c>
      <c r="H73" s="61">
        <f t="shared" si="12"/>
        <v>0.65</v>
      </c>
      <c r="I73" s="13">
        <v>0</v>
      </c>
    </row>
    <row r="74" spans="1:9" ht="15.75" hidden="1" customHeight="1">
      <c r="A74" s="30">
        <v>11</v>
      </c>
      <c r="B74" s="14" t="s">
        <v>70</v>
      </c>
      <c r="C74" s="16" t="s">
        <v>72</v>
      </c>
      <c r="D74" s="14"/>
      <c r="E74" s="18">
        <v>3</v>
      </c>
      <c r="F74" s="13">
        <v>0.3</v>
      </c>
      <c r="G74" s="13">
        <v>624.16999999999996</v>
      </c>
      <c r="H74" s="61">
        <f t="shared" si="10"/>
        <v>0.18725099999999997</v>
      </c>
      <c r="I74" s="13">
        <f>G74*0.3</f>
        <v>187.25099999999998</v>
      </c>
    </row>
    <row r="75" spans="1:9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56">
        <v>1</v>
      </c>
      <c r="G75" s="13">
        <v>1061.4100000000001</v>
      </c>
      <c r="H75" s="61">
        <f>F75*G75/1000</f>
        <v>1.0614100000000002</v>
      </c>
      <c r="I75" s="13">
        <v>0</v>
      </c>
    </row>
    <row r="76" spans="1:9" ht="30.75" customHeight="1">
      <c r="A76" s="30">
        <v>10</v>
      </c>
      <c r="B76" s="46" t="s">
        <v>173</v>
      </c>
      <c r="C76" s="47" t="s">
        <v>102</v>
      </c>
      <c r="D76" s="133" t="s">
        <v>166</v>
      </c>
      <c r="E76" s="17">
        <v>2</v>
      </c>
      <c r="F76" s="34">
        <f>E76*12</f>
        <v>24</v>
      </c>
      <c r="G76" s="34">
        <v>420</v>
      </c>
      <c r="H76" s="61">
        <f>G76*F76/1000</f>
        <v>10.08</v>
      </c>
      <c r="I76" s="13">
        <f>G76*2</f>
        <v>840</v>
      </c>
    </row>
    <row r="77" spans="1:9" ht="15.75" customHeight="1">
      <c r="A77" s="30"/>
      <c r="B77" s="46" t="s">
        <v>174</v>
      </c>
      <c r="C77" s="47" t="s">
        <v>30</v>
      </c>
      <c r="D77" s="133" t="s">
        <v>166</v>
      </c>
      <c r="E77" s="17">
        <v>1</v>
      </c>
      <c r="F77" s="34">
        <f>E77*12</f>
        <v>12</v>
      </c>
      <c r="G77" s="34">
        <v>1829</v>
      </c>
      <c r="H77" s="61"/>
      <c r="I77" s="13">
        <f>G77*F77/12</f>
        <v>1829</v>
      </c>
    </row>
    <row r="78" spans="1:9" ht="15.75" hidden="1" customHeight="1">
      <c r="A78" s="30"/>
      <c r="B78" s="79" t="s">
        <v>73</v>
      </c>
      <c r="C78" s="16"/>
      <c r="D78" s="14"/>
      <c r="E78" s="18"/>
      <c r="F78" s="13"/>
      <c r="G78" s="13" t="s">
        <v>114</v>
      </c>
      <c r="H78" s="61" t="s">
        <v>114</v>
      </c>
      <c r="I78" s="13" t="str">
        <f>G78</f>
        <v xml:space="preserve"> </v>
      </c>
    </row>
    <row r="79" spans="1:9" ht="15.75" hidden="1" customHeight="1">
      <c r="A79" s="30"/>
      <c r="B79" s="43" t="s">
        <v>128</v>
      </c>
      <c r="C79" s="16" t="s">
        <v>74</v>
      </c>
      <c r="D79" s="14"/>
      <c r="E79" s="18"/>
      <c r="F79" s="13">
        <v>0.1</v>
      </c>
      <c r="G79" s="13">
        <v>3433.69</v>
      </c>
      <c r="H79" s="61">
        <f t="shared" si="10"/>
        <v>0.34336900000000004</v>
      </c>
      <c r="I79" s="13">
        <v>0</v>
      </c>
    </row>
    <row r="80" spans="1:9" ht="15.75" hidden="1" customHeight="1">
      <c r="A80" s="30"/>
      <c r="B80" s="55" t="s">
        <v>86</v>
      </c>
      <c r="C80" s="79"/>
      <c r="D80" s="31"/>
      <c r="E80" s="32"/>
      <c r="F80" s="68"/>
      <c r="G80" s="68"/>
      <c r="H80" s="80">
        <f>SUM(H55:H79)</f>
        <v>114.52788979</v>
      </c>
      <c r="I80" s="13"/>
    </row>
    <row r="81" spans="1:9" ht="15.75" hidden="1" customHeight="1">
      <c r="A81" s="30"/>
      <c r="B81" s="62" t="s">
        <v>110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62" t="s">
        <v>134</v>
      </c>
      <c r="B82" s="163"/>
      <c r="C82" s="163"/>
      <c r="D82" s="163"/>
      <c r="E82" s="163"/>
      <c r="F82" s="163"/>
      <c r="G82" s="163"/>
      <c r="H82" s="163"/>
      <c r="I82" s="164"/>
    </row>
    <row r="83" spans="1:9" ht="15.75" customHeight="1">
      <c r="A83" s="30">
        <v>11</v>
      </c>
      <c r="B83" s="118" t="s">
        <v>111</v>
      </c>
      <c r="C83" s="125" t="s">
        <v>54</v>
      </c>
      <c r="D83" s="135"/>
      <c r="E83" s="34">
        <v>1536.4</v>
      </c>
      <c r="F83" s="34">
        <f>SUM(E83*12)</f>
        <v>18436.800000000003</v>
      </c>
      <c r="G83" s="34">
        <v>3.5</v>
      </c>
      <c r="H83" s="61">
        <f>SUM(F83*G83/1000)</f>
        <v>64.528800000000004</v>
      </c>
      <c r="I83" s="13">
        <f>F83/12*G83</f>
        <v>5377.4000000000015</v>
      </c>
    </row>
    <row r="84" spans="1:9" ht="31.5" customHeight="1">
      <c r="A84" s="30">
        <v>12</v>
      </c>
      <c r="B84" s="118" t="s">
        <v>175</v>
      </c>
      <c r="C84" s="125" t="s">
        <v>54</v>
      </c>
      <c r="D84" s="135"/>
      <c r="E84" s="34">
        <v>1536.4</v>
      </c>
      <c r="F84" s="34">
        <f>E84*12</f>
        <v>18436.800000000003</v>
      </c>
      <c r="G84" s="34">
        <v>3.2</v>
      </c>
      <c r="H84" s="61">
        <f>F84*G84/1000</f>
        <v>58.997760000000007</v>
      </c>
      <c r="I84" s="13">
        <f>F84/12*G84</f>
        <v>4916.4800000000014</v>
      </c>
    </row>
    <row r="85" spans="1:9" ht="15.75" customHeight="1">
      <c r="A85" s="30"/>
      <c r="B85" s="36" t="s">
        <v>76</v>
      </c>
      <c r="C85" s="79"/>
      <c r="D85" s="78"/>
      <c r="E85" s="68"/>
      <c r="F85" s="68"/>
      <c r="G85" s="68"/>
      <c r="H85" s="80">
        <f>H84</f>
        <v>58.997760000000007</v>
      </c>
      <c r="I85" s="68">
        <f>I84+I83+I77+I76+I70+I61+I59+I52+I33+I31+I30+I18+I17+I16</f>
        <v>28151.710716666672</v>
      </c>
    </row>
    <row r="86" spans="1:9" ht="15.75" customHeight="1">
      <c r="A86" s="174" t="s">
        <v>59</v>
      </c>
      <c r="B86" s="175"/>
      <c r="C86" s="175"/>
      <c r="D86" s="175"/>
      <c r="E86" s="175"/>
      <c r="F86" s="175"/>
      <c r="G86" s="175"/>
      <c r="H86" s="175"/>
      <c r="I86" s="176"/>
    </row>
    <row r="87" spans="1:9" ht="19.5" customHeight="1">
      <c r="A87" s="30">
        <v>13</v>
      </c>
      <c r="B87" s="109" t="s">
        <v>246</v>
      </c>
      <c r="C87" s="110" t="s">
        <v>29</v>
      </c>
      <c r="D87" s="100"/>
      <c r="E87" s="34"/>
      <c r="F87" s="34">
        <v>0.14499999999999999</v>
      </c>
      <c r="G87" s="34">
        <v>4683.09</v>
      </c>
      <c r="H87" s="149"/>
      <c r="I87" s="152">
        <f>G87*0.145</f>
        <v>679.04804999999999</v>
      </c>
    </row>
    <row r="88" spans="1:9" ht="38.25" customHeight="1">
      <c r="A88" s="30">
        <v>14</v>
      </c>
      <c r="B88" s="109" t="s">
        <v>177</v>
      </c>
      <c r="C88" s="110" t="s">
        <v>38</v>
      </c>
      <c r="D88" s="100" t="s">
        <v>156</v>
      </c>
      <c r="E88" s="34"/>
      <c r="F88" s="34">
        <v>0.03</v>
      </c>
      <c r="G88" s="34">
        <v>4233.72</v>
      </c>
      <c r="H88" s="149"/>
      <c r="I88" s="152">
        <v>0</v>
      </c>
    </row>
    <row r="89" spans="1:9" ht="15.75" customHeight="1">
      <c r="A89" s="30"/>
      <c r="B89" s="41" t="s">
        <v>51</v>
      </c>
      <c r="C89" s="37"/>
      <c r="D89" s="44"/>
      <c r="E89" s="37">
        <v>1</v>
      </c>
      <c r="F89" s="37"/>
      <c r="G89" s="37"/>
      <c r="H89" s="37"/>
      <c r="I89" s="32">
        <f>SUM(I87:I88)</f>
        <v>679.04804999999999</v>
      </c>
    </row>
    <row r="90" spans="1:9" ht="15.75" customHeight="1">
      <c r="A90" s="30"/>
      <c r="B90" s="43" t="s">
        <v>75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150</v>
      </c>
      <c r="C91" s="33"/>
      <c r="D91" s="33"/>
      <c r="E91" s="33"/>
      <c r="F91" s="33"/>
      <c r="G91" s="33"/>
      <c r="H91" s="33"/>
      <c r="I91" s="40">
        <f>I85+I89</f>
        <v>28830.758766666673</v>
      </c>
    </row>
    <row r="92" spans="1:9" ht="15.75">
      <c r="A92" s="182" t="s">
        <v>247</v>
      </c>
      <c r="B92" s="182"/>
      <c r="C92" s="182"/>
      <c r="D92" s="182"/>
      <c r="E92" s="182"/>
      <c r="F92" s="182"/>
      <c r="G92" s="182"/>
      <c r="H92" s="182"/>
      <c r="I92" s="182"/>
    </row>
    <row r="93" spans="1:9" ht="15.75" customHeight="1">
      <c r="A93" s="54"/>
      <c r="B93" s="183" t="s">
        <v>248</v>
      </c>
      <c r="C93" s="183"/>
      <c r="D93" s="183"/>
      <c r="E93" s="183"/>
      <c r="F93" s="183"/>
      <c r="G93" s="183"/>
      <c r="H93" s="60"/>
      <c r="I93" s="3"/>
    </row>
    <row r="94" spans="1:9">
      <c r="A94" s="93"/>
      <c r="B94" s="179" t="s">
        <v>6</v>
      </c>
      <c r="C94" s="179"/>
      <c r="D94" s="179"/>
      <c r="E94" s="179"/>
      <c r="F94" s="179"/>
      <c r="G94" s="179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84" t="s">
        <v>7</v>
      </c>
      <c r="B96" s="184"/>
      <c r="C96" s="184"/>
      <c r="D96" s="184"/>
      <c r="E96" s="184"/>
      <c r="F96" s="184"/>
      <c r="G96" s="184"/>
      <c r="H96" s="184"/>
      <c r="I96" s="184"/>
    </row>
    <row r="97" spans="1:9" ht="15.75" customHeight="1">
      <c r="A97" s="184" t="s">
        <v>8</v>
      </c>
      <c r="B97" s="184"/>
      <c r="C97" s="184"/>
      <c r="D97" s="184"/>
      <c r="E97" s="184"/>
      <c r="F97" s="184"/>
      <c r="G97" s="184"/>
      <c r="H97" s="184"/>
      <c r="I97" s="184"/>
    </row>
    <row r="98" spans="1:9" ht="15.75">
      <c r="A98" s="171" t="s">
        <v>60</v>
      </c>
      <c r="B98" s="171"/>
      <c r="C98" s="171"/>
      <c r="D98" s="171"/>
      <c r="E98" s="171"/>
      <c r="F98" s="171"/>
      <c r="G98" s="171"/>
      <c r="H98" s="171"/>
      <c r="I98" s="171"/>
    </row>
    <row r="99" spans="1:9" ht="15.75">
      <c r="A99" s="11"/>
    </row>
    <row r="100" spans="1:9" ht="15.75">
      <c r="A100" s="177" t="s">
        <v>9</v>
      </c>
      <c r="B100" s="177"/>
      <c r="C100" s="177"/>
      <c r="D100" s="177"/>
      <c r="E100" s="177"/>
      <c r="F100" s="177"/>
      <c r="G100" s="177"/>
      <c r="H100" s="177"/>
      <c r="I100" s="177"/>
    </row>
    <row r="101" spans="1:9" ht="15.75">
      <c r="A101" s="4"/>
    </row>
    <row r="102" spans="1:9" ht="15.75">
      <c r="B102" s="96" t="s">
        <v>10</v>
      </c>
      <c r="C102" s="178" t="s">
        <v>189</v>
      </c>
      <c r="D102" s="178"/>
      <c r="E102" s="178"/>
      <c r="F102" s="58"/>
      <c r="I102" s="98"/>
    </row>
    <row r="103" spans="1:9">
      <c r="A103" s="93"/>
      <c r="C103" s="179" t="s">
        <v>11</v>
      </c>
      <c r="D103" s="179"/>
      <c r="E103" s="179"/>
      <c r="F103" s="25"/>
      <c r="I103" s="97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96" t="s">
        <v>13</v>
      </c>
      <c r="C105" s="180"/>
      <c r="D105" s="180"/>
      <c r="E105" s="180"/>
      <c r="F105" s="59"/>
      <c r="I105" s="98"/>
    </row>
    <row r="106" spans="1:9" ht="15.75" customHeight="1">
      <c r="A106" s="93"/>
      <c r="C106" s="161" t="s">
        <v>11</v>
      </c>
      <c r="D106" s="161"/>
      <c r="E106" s="161"/>
      <c r="F106" s="93"/>
      <c r="I106" s="97" t="s">
        <v>12</v>
      </c>
    </row>
    <row r="107" spans="1:9" ht="15.75" customHeight="1">
      <c r="A107" s="4" t="s">
        <v>14</v>
      </c>
    </row>
    <row r="108" spans="1:9">
      <c r="A108" s="181" t="s">
        <v>15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45" customHeight="1">
      <c r="A109" s="173" t="s">
        <v>16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17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30" customHeight="1">
      <c r="A111" s="173" t="s">
        <v>21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15" customHeight="1">
      <c r="A112" s="173" t="s">
        <v>20</v>
      </c>
      <c r="B112" s="173"/>
      <c r="C112" s="173"/>
      <c r="D112" s="173"/>
      <c r="E112" s="173"/>
      <c r="F112" s="173"/>
      <c r="G112" s="173"/>
      <c r="H112" s="173"/>
      <c r="I112" s="173"/>
    </row>
  </sheetData>
  <autoFilter ref="I12:I54"/>
  <mergeCells count="29">
    <mergeCell ref="A14:I14"/>
    <mergeCell ref="A15:I15"/>
    <mergeCell ref="A28:I28"/>
    <mergeCell ref="A42:I42"/>
    <mergeCell ref="A53:I53"/>
    <mergeCell ref="A3:I3"/>
    <mergeCell ref="A4:I4"/>
    <mergeCell ref="A5:I5"/>
    <mergeCell ref="A8:I8"/>
    <mergeCell ref="A10:I10"/>
    <mergeCell ref="R59:U59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108:I108"/>
    <mergeCell ref="A109:I109"/>
    <mergeCell ref="A110:I110"/>
    <mergeCell ref="A111:I111"/>
    <mergeCell ref="A112:I112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topLeftCell="A98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65" t="s">
        <v>144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130</v>
      </c>
      <c r="B4" s="166"/>
      <c r="C4" s="166"/>
      <c r="D4" s="166"/>
      <c r="E4" s="166"/>
      <c r="F4" s="166"/>
      <c r="G4" s="166"/>
      <c r="H4" s="166"/>
      <c r="I4" s="166"/>
    </row>
    <row r="5" spans="1:13" ht="15.75">
      <c r="A5" s="165" t="s">
        <v>249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>
      <c r="A6" s="2"/>
      <c r="B6" s="49"/>
      <c r="C6" s="49"/>
      <c r="D6" s="49"/>
      <c r="E6" s="49"/>
      <c r="F6" s="49"/>
      <c r="G6" s="49"/>
      <c r="H6" s="49"/>
      <c r="I6" s="83">
        <v>44469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68" t="s">
        <v>184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69" t="s">
        <v>146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0" t="s">
        <v>58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.75" customHeight="1">
      <c r="A16" s="30">
        <v>1</v>
      </c>
      <c r="B16" s="118" t="s">
        <v>79</v>
      </c>
      <c r="C16" s="119" t="s">
        <v>80</v>
      </c>
      <c r="D16" s="118" t="s">
        <v>159</v>
      </c>
      <c r="E16" s="123">
        <v>54.9</v>
      </c>
      <c r="F16" s="113">
        <f>SUM(E16*156/100)</f>
        <v>85.643999999999991</v>
      </c>
      <c r="G16" s="113">
        <v>261.45</v>
      </c>
      <c r="H16" s="129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18" t="s">
        <v>112</v>
      </c>
      <c r="C17" s="119" t="s">
        <v>80</v>
      </c>
      <c r="D17" s="118" t="s">
        <v>160</v>
      </c>
      <c r="E17" s="123">
        <v>109.8</v>
      </c>
      <c r="F17" s="113">
        <f>SUM(E17*104/100)</f>
        <v>114.19199999999999</v>
      </c>
      <c r="G17" s="113">
        <v>261.45</v>
      </c>
      <c r="H17" s="129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18" t="s">
        <v>113</v>
      </c>
      <c r="C18" s="119" t="s">
        <v>80</v>
      </c>
      <c r="D18" s="118" t="s">
        <v>180</v>
      </c>
      <c r="E18" s="123">
        <f>SUM(E16+E17)</f>
        <v>164.7</v>
      </c>
      <c r="F18" s="113">
        <f>SUM(E18*18/100)</f>
        <v>29.646000000000001</v>
      </c>
      <c r="G18" s="113">
        <v>752.16</v>
      </c>
      <c r="H18" s="129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customHeight="1">
      <c r="A20" s="30">
        <v>4</v>
      </c>
      <c r="B20" s="62" t="s">
        <v>90</v>
      </c>
      <c r="C20" s="63" t="s">
        <v>80</v>
      </c>
      <c r="D20" s="62" t="s">
        <v>156</v>
      </c>
      <c r="E20" s="64">
        <v>9.18</v>
      </c>
      <c r="F20" s="65">
        <f>SUM(E20*2/100)</f>
        <v>0.18359999999999999</v>
      </c>
      <c r="G20" s="140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customHeight="1">
      <c r="A21" s="30">
        <v>5</v>
      </c>
      <c r="B21" s="62" t="s">
        <v>91</v>
      </c>
      <c r="C21" s="63" t="s">
        <v>80</v>
      </c>
      <c r="D21" s="62" t="s">
        <v>156</v>
      </c>
      <c r="E21" s="64">
        <v>8.1</v>
      </c>
      <c r="F21" s="65">
        <f>SUM(E21*2/100)</f>
        <v>0.16200000000000001</v>
      </c>
      <c r="G21" s="140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52</v>
      </c>
      <c r="D22" s="62" t="s">
        <v>89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52</v>
      </c>
      <c r="D23" s="62" t="s">
        <v>89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52</v>
      </c>
      <c r="D24" s="62" t="s">
        <v>95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96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97</v>
      </c>
      <c r="C26" s="63" t="s">
        <v>52</v>
      </c>
      <c r="D26" s="62" t="s">
        <v>89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hidden="1" customHeight="1">
      <c r="A27" s="30">
        <v>6</v>
      </c>
      <c r="B27" s="118" t="s">
        <v>158</v>
      </c>
      <c r="C27" s="119" t="s">
        <v>25</v>
      </c>
      <c r="D27" s="118" t="s">
        <v>162</v>
      </c>
      <c r="E27" s="120">
        <v>2.91</v>
      </c>
      <c r="F27" s="113">
        <f>E27*258</f>
        <v>750.78000000000009</v>
      </c>
      <c r="G27" s="113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62" t="s">
        <v>78</v>
      </c>
      <c r="B28" s="163"/>
      <c r="C28" s="163"/>
      <c r="D28" s="163"/>
      <c r="E28" s="163"/>
      <c r="F28" s="163"/>
      <c r="G28" s="163"/>
      <c r="H28" s="163"/>
      <c r="I28" s="164"/>
      <c r="J28" s="24"/>
    </row>
    <row r="29" spans="1:13" ht="15.7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6</v>
      </c>
      <c r="B30" s="118" t="s">
        <v>100</v>
      </c>
      <c r="C30" s="119" t="s">
        <v>83</v>
      </c>
      <c r="D30" s="118" t="s">
        <v>164</v>
      </c>
      <c r="E30" s="113">
        <v>61.5</v>
      </c>
      <c r="F30" s="113">
        <f>SUM(E30*24/1000)</f>
        <v>1.476</v>
      </c>
      <c r="G30" s="113">
        <v>232.4</v>
      </c>
      <c r="H30" s="66">
        <f t="shared" ref="H30:H33" si="3">SUM(F30*G30/1000)</f>
        <v>0.34302240000000001</v>
      </c>
      <c r="I30" s="13">
        <f t="shared" ref="I30:I31" si="4">F30/6*G30</f>
        <v>57.170400000000001</v>
      </c>
      <c r="J30" s="23"/>
      <c r="K30" s="8"/>
      <c r="L30" s="8"/>
      <c r="M30" s="8"/>
    </row>
    <row r="31" spans="1:13" ht="31.5" customHeight="1">
      <c r="A31" s="30">
        <v>7</v>
      </c>
      <c r="B31" s="118" t="s">
        <v>99</v>
      </c>
      <c r="C31" s="119" t="s">
        <v>83</v>
      </c>
      <c r="D31" s="118" t="s">
        <v>171</v>
      </c>
      <c r="E31" s="113">
        <v>35.299999999999997</v>
      </c>
      <c r="F31" s="113">
        <f>SUM(E31*72/1000)</f>
        <v>2.5415999999999999</v>
      </c>
      <c r="G31" s="113">
        <v>385.6</v>
      </c>
      <c r="H31" s="66">
        <f t="shared" si="3"/>
        <v>0.98004096000000007</v>
      </c>
      <c r="I31" s="13">
        <f t="shared" si="4"/>
        <v>163.34016</v>
      </c>
      <c r="J31" s="23"/>
      <c r="K31" s="8"/>
      <c r="L31" s="8"/>
      <c r="M31" s="8"/>
    </row>
    <row r="32" spans="1:13" ht="15.75" hidden="1" customHeight="1">
      <c r="A32" s="30"/>
      <c r="B32" s="118" t="s">
        <v>27</v>
      </c>
      <c r="C32" s="119" t="s">
        <v>83</v>
      </c>
      <c r="D32" s="118" t="s">
        <v>156</v>
      </c>
      <c r="E32" s="113">
        <v>61.5</v>
      </c>
      <c r="F32" s="113">
        <f>SUM(E32/1000)</f>
        <v>6.1499999999999999E-2</v>
      </c>
      <c r="G32" s="113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>
        <v>8</v>
      </c>
      <c r="B33" s="116" t="s">
        <v>178</v>
      </c>
      <c r="C33" s="110" t="s">
        <v>179</v>
      </c>
      <c r="D33" s="118" t="s">
        <v>171</v>
      </c>
      <c r="E33" s="113">
        <v>4</v>
      </c>
      <c r="F33" s="113">
        <f>E33*72/100</f>
        <v>2.88</v>
      </c>
      <c r="G33" s="113">
        <v>1941.17</v>
      </c>
      <c r="H33" s="66">
        <f t="shared" si="3"/>
        <v>5.5905696000000002</v>
      </c>
      <c r="I33" s="13">
        <f>G33*F33/6</f>
        <v>931.76159999999993</v>
      </c>
      <c r="J33" s="24"/>
    </row>
    <row r="34" spans="1:14" ht="15.75" hidden="1" customHeight="1">
      <c r="A34" s="30"/>
      <c r="B34" s="62" t="s">
        <v>64</v>
      </c>
      <c r="C34" s="63" t="s">
        <v>31</v>
      </c>
      <c r="D34" s="62" t="s">
        <v>65</v>
      </c>
      <c r="E34" s="64"/>
      <c r="F34" s="65">
        <v>1</v>
      </c>
      <c r="G34" s="65">
        <v>1413.96</v>
      </c>
      <c r="H34" s="66">
        <f t="shared" ref="H34" si="5">SUM(F34*G34/1000)</f>
        <v>1.4139600000000001</v>
      </c>
      <c r="I34" s="13">
        <v>0</v>
      </c>
      <c r="J34" s="24"/>
    </row>
    <row r="35" spans="1:14" ht="15.75" hidden="1" customHeight="1">
      <c r="A35" s="30"/>
      <c r="B35" s="81" t="s">
        <v>5</v>
      </c>
      <c r="C35" s="63"/>
      <c r="D35" s="62"/>
      <c r="E35" s="64"/>
      <c r="F35" s="65"/>
      <c r="G35" s="65"/>
      <c r="H35" s="66" t="s">
        <v>114</v>
      </c>
      <c r="I35" s="13"/>
      <c r="J35" s="24"/>
      <c r="L35" s="19"/>
      <c r="M35" s="20"/>
      <c r="N35" s="21"/>
    </row>
    <row r="36" spans="1:14" ht="15.75" hidden="1" customHeight="1">
      <c r="A36" s="30"/>
      <c r="B36" s="62" t="s">
        <v>26</v>
      </c>
      <c r="C36" s="63" t="s">
        <v>31</v>
      </c>
      <c r="D36" s="62"/>
      <c r="E36" s="64"/>
      <c r="F36" s="65">
        <v>3</v>
      </c>
      <c r="G36" s="65">
        <v>1900.37</v>
      </c>
      <c r="H36" s="66">
        <f t="shared" ref="H36:H41" si="6">SUM(F36*G36/1000)</f>
        <v>5.7011099999999999</v>
      </c>
      <c r="I36" s="13">
        <f t="shared" ref="I36:I41" si="7">F36/6*G36</f>
        <v>950.18499999999995</v>
      </c>
      <c r="J36" s="24"/>
      <c r="L36" s="19"/>
      <c r="M36" s="20"/>
      <c r="N36" s="21"/>
    </row>
    <row r="37" spans="1:14" ht="31.5" hidden="1" customHeight="1">
      <c r="A37" s="30"/>
      <c r="B37" s="62" t="s">
        <v>115</v>
      </c>
      <c r="C37" s="63" t="s">
        <v>29</v>
      </c>
      <c r="D37" s="62" t="s">
        <v>81</v>
      </c>
      <c r="E37" s="64">
        <v>35.299999999999997</v>
      </c>
      <c r="F37" s="65">
        <f>E37*30/1000</f>
        <v>1.0589999999999999</v>
      </c>
      <c r="G37" s="65">
        <v>2616.4899999999998</v>
      </c>
      <c r="H37" s="66">
        <f t="shared" si="6"/>
        <v>2.77086291</v>
      </c>
      <c r="I37" s="13">
        <f t="shared" si="7"/>
        <v>461.81048499999991</v>
      </c>
      <c r="J37" s="24"/>
      <c r="L37" s="19"/>
      <c r="M37" s="20"/>
      <c r="N37" s="21"/>
    </row>
    <row r="38" spans="1:14" ht="15.75" hidden="1" customHeight="1">
      <c r="A38" s="30"/>
      <c r="B38" s="62" t="s">
        <v>116</v>
      </c>
      <c r="C38" s="63" t="s">
        <v>29</v>
      </c>
      <c r="D38" s="62" t="s">
        <v>82</v>
      </c>
      <c r="E38" s="64">
        <v>35.299999999999997</v>
      </c>
      <c r="F38" s="65">
        <f>SUM(E38*155/1000)</f>
        <v>5.4714999999999998</v>
      </c>
      <c r="G38" s="65">
        <v>436.45</v>
      </c>
      <c r="H38" s="66">
        <f t="shared" si="6"/>
        <v>2.3880361749999999</v>
      </c>
      <c r="I38" s="13">
        <f t="shared" si="7"/>
        <v>398.00602916666662</v>
      </c>
      <c r="J38" s="24"/>
      <c r="L38" s="19"/>
      <c r="M38" s="20"/>
      <c r="N38" s="21"/>
    </row>
    <row r="39" spans="1:14" ht="47.25" hidden="1" customHeight="1">
      <c r="A39" s="30"/>
      <c r="B39" s="62" t="s">
        <v>117</v>
      </c>
      <c r="C39" s="63" t="s">
        <v>83</v>
      </c>
      <c r="D39" s="62" t="s">
        <v>118</v>
      </c>
      <c r="E39" s="64">
        <v>35.299999999999997</v>
      </c>
      <c r="F39" s="65">
        <f>SUM(E39*24/1000)</f>
        <v>0.84719999999999995</v>
      </c>
      <c r="G39" s="65">
        <v>7221.21</v>
      </c>
      <c r="H39" s="66">
        <f t="shared" si="6"/>
        <v>6.1178091119999998</v>
      </c>
      <c r="I39" s="13">
        <f t="shared" si="7"/>
        <v>1019.6348519999999</v>
      </c>
      <c r="J39" s="24"/>
      <c r="L39" s="19"/>
      <c r="M39" s="20"/>
      <c r="N39" s="21"/>
    </row>
    <row r="40" spans="1:14" ht="15.75" hidden="1" customHeight="1">
      <c r="A40" s="30"/>
      <c r="B40" s="62" t="s">
        <v>119</v>
      </c>
      <c r="C40" s="63" t="s">
        <v>83</v>
      </c>
      <c r="D40" s="62" t="s">
        <v>66</v>
      </c>
      <c r="E40" s="64">
        <v>35.299999999999997</v>
      </c>
      <c r="F40" s="65">
        <f>SUM(E40*45/1000)</f>
        <v>1.5884999999999998</v>
      </c>
      <c r="G40" s="65">
        <v>533.45000000000005</v>
      </c>
      <c r="H40" s="66">
        <f t="shared" si="6"/>
        <v>0.84738532499999997</v>
      </c>
      <c r="I40" s="13">
        <f t="shared" si="7"/>
        <v>141.23088749999999</v>
      </c>
      <c r="J40" s="24"/>
      <c r="L40" s="19"/>
      <c r="M40" s="20"/>
      <c r="N40" s="21"/>
    </row>
    <row r="41" spans="1:14" ht="15.75" hidden="1" customHeight="1">
      <c r="A41" s="30"/>
      <c r="B41" s="62" t="s">
        <v>67</v>
      </c>
      <c r="C41" s="63" t="s">
        <v>32</v>
      </c>
      <c r="D41" s="62"/>
      <c r="E41" s="64"/>
      <c r="F41" s="65">
        <v>0.3</v>
      </c>
      <c r="G41" s="65">
        <v>992.97</v>
      </c>
      <c r="H41" s="66">
        <f t="shared" si="6"/>
        <v>0.29789100000000002</v>
      </c>
      <c r="I41" s="13">
        <f t="shared" si="7"/>
        <v>49.648499999999999</v>
      </c>
      <c r="J41" s="24"/>
      <c r="L41" s="19"/>
      <c r="M41" s="20"/>
      <c r="N41" s="21"/>
    </row>
    <row r="42" spans="1:14" ht="15.75" customHeight="1">
      <c r="A42" s="162" t="s">
        <v>132</v>
      </c>
      <c r="B42" s="163"/>
      <c r="C42" s="163"/>
      <c r="D42" s="163"/>
      <c r="E42" s="163"/>
      <c r="F42" s="163"/>
      <c r="G42" s="163"/>
      <c r="H42" s="163"/>
      <c r="I42" s="164"/>
      <c r="J42" s="24"/>
      <c r="L42" s="19"/>
      <c r="M42" s="20"/>
      <c r="N42" s="21"/>
    </row>
    <row r="43" spans="1:14" ht="15.75" customHeight="1">
      <c r="A43" s="30">
        <v>9</v>
      </c>
      <c r="B43" s="62" t="s">
        <v>101</v>
      </c>
      <c r="C43" s="63" t="s">
        <v>83</v>
      </c>
      <c r="D43" s="62" t="s">
        <v>156</v>
      </c>
      <c r="E43" s="64">
        <v>907.4</v>
      </c>
      <c r="F43" s="65">
        <f>SUM(E43*2/1000)</f>
        <v>1.8148</v>
      </c>
      <c r="G43" s="115">
        <v>1207.24</v>
      </c>
      <c r="H43" s="66">
        <f t="shared" ref="H43:H52" si="8">SUM(F43*G43/1000)</f>
        <v>2.1908991520000001</v>
      </c>
      <c r="I43" s="13">
        <f>F43/2*G43</f>
        <v>1095.449576</v>
      </c>
      <c r="J43" s="24"/>
      <c r="L43" s="19"/>
      <c r="M43" s="20"/>
      <c r="N43" s="21"/>
    </row>
    <row r="44" spans="1:14" ht="15.75" customHeight="1">
      <c r="A44" s="30">
        <v>10</v>
      </c>
      <c r="B44" s="62" t="s">
        <v>35</v>
      </c>
      <c r="C44" s="63" t="s">
        <v>83</v>
      </c>
      <c r="D44" s="62" t="s">
        <v>156</v>
      </c>
      <c r="E44" s="64">
        <v>27</v>
      </c>
      <c r="F44" s="65">
        <f>SUM(E44*2/1000)</f>
        <v>5.3999999999999999E-2</v>
      </c>
      <c r="G44" s="115">
        <v>863.92</v>
      </c>
      <c r="H44" s="66">
        <f t="shared" si="8"/>
        <v>4.6651680000000001E-2</v>
      </c>
      <c r="I44" s="13">
        <f t="shared" ref="I44:I51" si="9">F44/2*G44</f>
        <v>23.325839999999999</v>
      </c>
      <c r="J44" s="24"/>
      <c r="L44" s="19"/>
      <c r="M44" s="20"/>
      <c r="N44" s="21"/>
    </row>
    <row r="45" spans="1:14" ht="15.75" customHeight="1">
      <c r="A45" s="30">
        <v>11</v>
      </c>
      <c r="B45" s="62" t="s">
        <v>36</v>
      </c>
      <c r="C45" s="63" t="s">
        <v>83</v>
      </c>
      <c r="D45" s="62" t="s">
        <v>156</v>
      </c>
      <c r="E45" s="64">
        <v>772</v>
      </c>
      <c r="F45" s="65">
        <f>SUM(E45*2/1000)</f>
        <v>1.544</v>
      </c>
      <c r="G45" s="115">
        <v>863.92</v>
      </c>
      <c r="H45" s="66">
        <f t="shared" si="8"/>
        <v>1.33389248</v>
      </c>
      <c r="I45" s="13">
        <f t="shared" si="9"/>
        <v>666.94623999999999</v>
      </c>
      <c r="J45" s="24"/>
      <c r="L45" s="19"/>
      <c r="M45" s="20"/>
      <c r="N45" s="21"/>
    </row>
    <row r="46" spans="1:14" ht="15.75" customHeight="1">
      <c r="A46" s="30">
        <v>12</v>
      </c>
      <c r="B46" s="62" t="s">
        <v>37</v>
      </c>
      <c r="C46" s="63" t="s">
        <v>83</v>
      </c>
      <c r="D46" s="62" t="s">
        <v>156</v>
      </c>
      <c r="E46" s="64">
        <v>959.4</v>
      </c>
      <c r="F46" s="65">
        <f>SUM(E46*2/1000)</f>
        <v>1.9188000000000001</v>
      </c>
      <c r="G46" s="115">
        <v>904.65</v>
      </c>
      <c r="H46" s="66">
        <f t="shared" si="8"/>
        <v>1.73584242</v>
      </c>
      <c r="I46" s="13">
        <f t="shared" si="9"/>
        <v>867.92120999999997</v>
      </c>
      <c r="J46" s="24"/>
      <c r="L46" s="19"/>
      <c r="M46" s="20"/>
      <c r="N46" s="21"/>
    </row>
    <row r="47" spans="1:14" ht="15.75" customHeight="1">
      <c r="A47" s="30">
        <v>13</v>
      </c>
      <c r="B47" s="62" t="s">
        <v>33</v>
      </c>
      <c r="C47" s="63" t="s">
        <v>34</v>
      </c>
      <c r="D47" s="62" t="s">
        <v>156</v>
      </c>
      <c r="E47" s="64">
        <v>66.02</v>
      </c>
      <c r="F47" s="65">
        <f>SUM(E47*2/100)</f>
        <v>1.3204</v>
      </c>
      <c r="G47" s="115">
        <v>108.55</v>
      </c>
      <c r="H47" s="66">
        <f t="shared" si="8"/>
        <v>0.14332941999999999</v>
      </c>
      <c r="I47" s="13">
        <f t="shared" si="9"/>
        <v>71.664709999999999</v>
      </c>
      <c r="J47" s="24"/>
      <c r="L47" s="19"/>
      <c r="M47" s="20"/>
      <c r="N47" s="21"/>
    </row>
    <row r="48" spans="1:14" ht="15.75" customHeight="1">
      <c r="A48" s="30">
        <v>14</v>
      </c>
      <c r="B48" s="118" t="s">
        <v>55</v>
      </c>
      <c r="C48" s="119" t="s">
        <v>83</v>
      </c>
      <c r="D48" s="118" t="s">
        <v>156</v>
      </c>
      <c r="E48" s="123">
        <v>702.5</v>
      </c>
      <c r="F48" s="113">
        <f>SUM(E48*5/1000)</f>
        <v>3.5125000000000002</v>
      </c>
      <c r="G48" s="34">
        <v>1809.27</v>
      </c>
      <c r="H48" s="66">
        <f t="shared" si="8"/>
        <v>6.3550608750000004</v>
      </c>
      <c r="I48" s="13">
        <f>F48/5*G48</f>
        <v>1271.0121750000001</v>
      </c>
      <c r="J48" s="24"/>
      <c r="L48" s="19"/>
      <c r="M48" s="20"/>
      <c r="N48" s="21"/>
    </row>
    <row r="49" spans="1:22" ht="32.25" customHeight="1">
      <c r="A49" s="30">
        <v>15</v>
      </c>
      <c r="B49" s="118" t="s">
        <v>84</v>
      </c>
      <c r="C49" s="119" t="s">
        <v>83</v>
      </c>
      <c r="D49" s="118" t="s">
        <v>183</v>
      </c>
      <c r="E49" s="123">
        <v>702.5</v>
      </c>
      <c r="F49" s="113">
        <f>SUM(E49*2/1000)</f>
        <v>1.405</v>
      </c>
      <c r="G49" s="34">
        <v>1809.27</v>
      </c>
      <c r="H49" s="66">
        <f t="shared" si="8"/>
        <v>2.5420243500000002</v>
      </c>
      <c r="I49" s="13">
        <f t="shared" si="9"/>
        <v>1271.0121750000001</v>
      </c>
      <c r="J49" s="24"/>
      <c r="L49" s="19"/>
      <c r="M49" s="20"/>
      <c r="N49" s="21"/>
    </row>
    <row r="50" spans="1:22" ht="32.25" customHeight="1">
      <c r="A50" s="30">
        <v>16</v>
      </c>
      <c r="B50" s="62" t="s">
        <v>85</v>
      </c>
      <c r="C50" s="63" t="s">
        <v>38</v>
      </c>
      <c r="D50" s="62" t="s">
        <v>156</v>
      </c>
      <c r="E50" s="64">
        <v>9</v>
      </c>
      <c r="F50" s="65">
        <f>SUM(E50*2/100)</f>
        <v>0.18</v>
      </c>
      <c r="G50" s="115">
        <v>4070.89</v>
      </c>
      <c r="H50" s="66">
        <f t="shared" si="8"/>
        <v>0.73276019999999997</v>
      </c>
      <c r="I50" s="13">
        <f t="shared" si="9"/>
        <v>366.38009999999997</v>
      </c>
      <c r="J50" s="24"/>
      <c r="L50" s="19"/>
      <c r="M50" s="20"/>
      <c r="N50" s="21"/>
    </row>
    <row r="51" spans="1:22" ht="15.75" customHeight="1">
      <c r="A51" s="30">
        <v>17</v>
      </c>
      <c r="B51" s="62" t="s">
        <v>39</v>
      </c>
      <c r="C51" s="63" t="s">
        <v>40</v>
      </c>
      <c r="D51" s="62" t="s">
        <v>156</v>
      </c>
      <c r="E51" s="64">
        <v>1</v>
      </c>
      <c r="F51" s="65">
        <v>0.02</v>
      </c>
      <c r="G51" s="115">
        <v>8426.7199999999993</v>
      </c>
      <c r="H51" s="66">
        <f t="shared" si="8"/>
        <v>0.16853439999999997</v>
      </c>
      <c r="I51" s="13">
        <f t="shared" si="9"/>
        <v>84.267199999999988</v>
      </c>
      <c r="J51" s="24"/>
      <c r="L51" s="19"/>
      <c r="M51" s="20"/>
      <c r="N51" s="21"/>
    </row>
    <row r="52" spans="1:22" ht="15.75" hidden="1" customHeight="1">
      <c r="A52" s="30">
        <v>17</v>
      </c>
      <c r="B52" s="62" t="s">
        <v>41</v>
      </c>
      <c r="C52" s="63" t="s">
        <v>102</v>
      </c>
      <c r="D52" s="62" t="s">
        <v>68</v>
      </c>
      <c r="E52" s="64">
        <v>53</v>
      </c>
      <c r="F52" s="65">
        <f>53*3</f>
        <v>159</v>
      </c>
      <c r="G52" s="151">
        <v>97.93</v>
      </c>
      <c r="H52" s="66">
        <f t="shared" si="8"/>
        <v>15.570870000000001</v>
      </c>
      <c r="I52" s="13">
        <f>F52/3*G52</f>
        <v>5190.29</v>
      </c>
      <c r="J52" s="24"/>
      <c r="L52" s="19"/>
    </row>
    <row r="53" spans="1:22" ht="15.75" customHeight="1">
      <c r="A53" s="162" t="s">
        <v>133</v>
      </c>
      <c r="B53" s="163"/>
      <c r="C53" s="163"/>
      <c r="D53" s="163"/>
      <c r="E53" s="163"/>
      <c r="F53" s="163"/>
      <c r="G53" s="163"/>
      <c r="H53" s="163"/>
      <c r="I53" s="164"/>
    </row>
    <row r="54" spans="1:22" ht="15.75" hidden="1" customHeight="1">
      <c r="A54" s="30"/>
      <c r="B54" s="81" t="s">
        <v>43</v>
      </c>
      <c r="C54" s="63"/>
      <c r="D54" s="62"/>
      <c r="E54" s="64"/>
      <c r="F54" s="65"/>
      <c r="G54" s="65"/>
      <c r="H54" s="66"/>
      <c r="I54" s="13"/>
    </row>
    <row r="55" spans="1:22" ht="31.5" hidden="1" customHeight="1">
      <c r="A55" s="30"/>
      <c r="B55" s="62" t="s">
        <v>103</v>
      </c>
      <c r="C55" s="63" t="s">
        <v>80</v>
      </c>
      <c r="D55" s="62" t="s">
        <v>104</v>
      </c>
      <c r="E55" s="64">
        <v>11.5</v>
      </c>
      <c r="F55" s="65">
        <f>SUM(E55*6/100)</f>
        <v>0.69</v>
      </c>
      <c r="G55" s="13">
        <v>2306.62</v>
      </c>
      <c r="H55" s="66">
        <f>SUM(F55*G55/1000)</f>
        <v>1.5915677999999998</v>
      </c>
      <c r="I55" s="13">
        <v>0</v>
      </c>
    </row>
    <row r="56" spans="1:22" ht="15.75" hidden="1" customHeight="1">
      <c r="A56" s="30"/>
      <c r="B56" s="62" t="s">
        <v>120</v>
      </c>
      <c r="C56" s="63" t="s">
        <v>121</v>
      </c>
      <c r="D56" s="62" t="s">
        <v>65</v>
      </c>
      <c r="E56" s="64"/>
      <c r="F56" s="65">
        <v>2</v>
      </c>
      <c r="G56" s="84">
        <v>1501</v>
      </c>
      <c r="H56" s="66">
        <f>SUM(F56*G56/1000)</f>
        <v>3.0019999999999998</v>
      </c>
      <c r="I56" s="13">
        <v>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customHeight="1">
      <c r="A57" s="30"/>
      <c r="B57" s="81" t="s">
        <v>44</v>
      </c>
      <c r="C57" s="63"/>
      <c r="D57" s="62"/>
      <c r="E57" s="64"/>
      <c r="F57" s="65"/>
      <c r="G57" s="85"/>
      <c r="H57" s="66"/>
      <c r="I57" s="13"/>
      <c r="J57" s="26"/>
      <c r="K57" s="26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30"/>
      <c r="B58" s="62" t="s">
        <v>105</v>
      </c>
      <c r="C58" s="63" t="s">
        <v>80</v>
      </c>
      <c r="D58" s="62" t="s">
        <v>53</v>
      </c>
      <c r="E58" s="64">
        <v>148</v>
      </c>
      <c r="F58" s="66">
        <f>E58/100</f>
        <v>1.48</v>
      </c>
      <c r="G58" s="13">
        <v>987.51</v>
      </c>
      <c r="H58" s="71">
        <f>F58*G58/1000</f>
        <v>1.4615148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customHeight="1">
      <c r="A59" s="30">
        <v>18</v>
      </c>
      <c r="B59" s="73" t="s">
        <v>129</v>
      </c>
      <c r="C59" s="72" t="s">
        <v>25</v>
      </c>
      <c r="D59" s="73" t="s">
        <v>156</v>
      </c>
      <c r="E59" s="74">
        <v>140.5</v>
      </c>
      <c r="F59" s="65">
        <v>1320</v>
      </c>
      <c r="G59" s="86">
        <v>1.4</v>
      </c>
      <c r="H59" s="71">
        <f>F59*G59/1000</f>
        <v>1.8479999999999999</v>
      </c>
      <c r="I59" s="13">
        <f>F59/12*G59</f>
        <v>154</v>
      </c>
      <c r="J59" s="5"/>
      <c r="K59" s="5"/>
      <c r="L59" s="5"/>
      <c r="M59" s="5"/>
      <c r="N59" s="5"/>
      <c r="O59" s="5"/>
      <c r="P59" s="5"/>
      <c r="Q59" s="5"/>
      <c r="R59" s="161"/>
      <c r="S59" s="161"/>
      <c r="T59" s="161"/>
      <c r="U59" s="161"/>
    </row>
    <row r="60" spans="1:22" ht="15.75" customHeight="1">
      <c r="A60" s="30"/>
      <c r="B60" s="82" t="s">
        <v>45</v>
      </c>
      <c r="C60" s="72"/>
      <c r="D60" s="73"/>
      <c r="E60" s="74"/>
      <c r="F60" s="75"/>
      <c r="G60" s="75"/>
      <c r="H60" s="76" t="s">
        <v>114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5.75" hidden="1" customHeight="1">
      <c r="A61" s="30">
        <v>19</v>
      </c>
      <c r="B61" s="14" t="s">
        <v>46</v>
      </c>
      <c r="C61" s="16" t="s">
        <v>102</v>
      </c>
      <c r="D61" s="14" t="s">
        <v>164</v>
      </c>
      <c r="E61" s="18">
        <v>2</v>
      </c>
      <c r="F61" s="65">
        <f>E61</f>
        <v>2</v>
      </c>
      <c r="G61" s="115">
        <v>331.57</v>
      </c>
      <c r="H61" s="61">
        <f t="shared" ref="H61:H77" si="10">SUM(F61*G61/1000)</f>
        <v>0.66313999999999995</v>
      </c>
      <c r="I61" s="13">
        <f>G61*4</f>
        <v>1326.28</v>
      </c>
    </row>
    <row r="62" spans="1:22" ht="15.75" hidden="1" customHeight="1">
      <c r="A62" s="30"/>
      <c r="B62" s="14" t="s">
        <v>47</v>
      </c>
      <c r="C62" s="16" t="s">
        <v>102</v>
      </c>
      <c r="D62" s="14" t="s">
        <v>65</v>
      </c>
      <c r="E62" s="18">
        <v>1</v>
      </c>
      <c r="F62" s="65">
        <f>E62</f>
        <v>1</v>
      </c>
      <c r="G62" s="13">
        <v>94.89</v>
      </c>
      <c r="H62" s="61">
        <f t="shared" si="10"/>
        <v>9.4890000000000002E-2</v>
      </c>
      <c r="I62" s="13">
        <v>0</v>
      </c>
    </row>
    <row r="63" spans="1:22" ht="15.75" hidden="1" customHeight="1">
      <c r="A63" s="30"/>
      <c r="B63" s="14" t="s">
        <v>48</v>
      </c>
      <c r="C63" s="16" t="s">
        <v>106</v>
      </c>
      <c r="D63" s="14" t="s">
        <v>53</v>
      </c>
      <c r="E63" s="64">
        <v>6307</v>
      </c>
      <c r="F63" s="13">
        <f>SUM(E63/100)</f>
        <v>63.07</v>
      </c>
      <c r="G63" s="13">
        <v>263.99</v>
      </c>
      <c r="H63" s="61">
        <f t="shared" si="10"/>
        <v>16.649849300000003</v>
      </c>
      <c r="I63" s="13">
        <v>0</v>
      </c>
    </row>
    <row r="64" spans="1:22" ht="15.75" hidden="1" customHeight="1">
      <c r="A64" s="30"/>
      <c r="B64" s="14" t="s">
        <v>49</v>
      </c>
      <c r="C64" s="16" t="s">
        <v>107</v>
      </c>
      <c r="D64" s="14"/>
      <c r="E64" s="64">
        <v>6307</v>
      </c>
      <c r="F64" s="13">
        <f>SUM(E64/1000)</f>
        <v>6.3070000000000004</v>
      </c>
      <c r="G64" s="13">
        <v>205.57</v>
      </c>
      <c r="H64" s="61">
        <f t="shared" si="10"/>
        <v>1.29652999</v>
      </c>
      <c r="I64" s="13">
        <v>0</v>
      </c>
    </row>
    <row r="65" spans="1:9" ht="15.75" hidden="1" customHeight="1">
      <c r="A65" s="30"/>
      <c r="B65" s="14" t="s">
        <v>50</v>
      </c>
      <c r="C65" s="16" t="s">
        <v>74</v>
      </c>
      <c r="D65" s="14" t="s">
        <v>53</v>
      </c>
      <c r="E65" s="64">
        <v>1003</v>
      </c>
      <c r="F65" s="13">
        <f>SUM(E65/100)</f>
        <v>10.029999999999999</v>
      </c>
      <c r="G65" s="13">
        <v>2581.5300000000002</v>
      </c>
      <c r="H65" s="61">
        <f t="shared" si="10"/>
        <v>25.892745900000001</v>
      </c>
      <c r="I65" s="13">
        <v>0</v>
      </c>
    </row>
    <row r="66" spans="1:9" ht="15.75" hidden="1" customHeight="1">
      <c r="A66" s="30"/>
      <c r="B66" s="77" t="s">
        <v>108</v>
      </c>
      <c r="C66" s="16" t="s">
        <v>32</v>
      </c>
      <c r="D66" s="14"/>
      <c r="E66" s="64">
        <v>6.6</v>
      </c>
      <c r="F66" s="13">
        <f>SUM(E66)</f>
        <v>6.6</v>
      </c>
      <c r="G66" s="13">
        <v>47.75</v>
      </c>
      <c r="H66" s="61">
        <f t="shared" si="10"/>
        <v>0.31514999999999999</v>
      </c>
      <c r="I66" s="13">
        <v>0</v>
      </c>
    </row>
    <row r="67" spans="1:9" ht="15.75" hidden="1" customHeight="1">
      <c r="A67" s="30"/>
      <c r="B67" s="77" t="s">
        <v>109</v>
      </c>
      <c r="C67" s="16" t="s">
        <v>32</v>
      </c>
      <c r="D67" s="14"/>
      <c r="E67" s="64">
        <v>6.6</v>
      </c>
      <c r="F67" s="13">
        <f>SUM(E67)</f>
        <v>6.6</v>
      </c>
      <c r="G67" s="13">
        <v>44.27</v>
      </c>
      <c r="H67" s="61">
        <f t="shared" si="10"/>
        <v>0.292182</v>
      </c>
      <c r="I67" s="13">
        <v>0</v>
      </c>
    </row>
    <row r="68" spans="1:9" ht="15.75" customHeight="1">
      <c r="A68" s="30">
        <v>19</v>
      </c>
      <c r="B68" s="14" t="s">
        <v>56</v>
      </c>
      <c r="C68" s="16" t="s">
        <v>57</v>
      </c>
      <c r="D68" s="14" t="s">
        <v>166</v>
      </c>
      <c r="E68" s="18">
        <v>3</v>
      </c>
      <c r="F68" s="65">
        <v>3</v>
      </c>
      <c r="G68" s="115">
        <v>74.37</v>
      </c>
      <c r="H68" s="61">
        <f t="shared" si="10"/>
        <v>0.22311</v>
      </c>
      <c r="I68" s="13">
        <f>F68*G68</f>
        <v>223.11</v>
      </c>
    </row>
    <row r="69" spans="1:9" ht="15.75" customHeight="1">
      <c r="A69" s="30">
        <v>20</v>
      </c>
      <c r="B69" s="133" t="s">
        <v>122</v>
      </c>
      <c r="C69" s="126" t="s">
        <v>123</v>
      </c>
      <c r="D69" s="133" t="s">
        <v>156</v>
      </c>
      <c r="E69" s="17">
        <v>1536.4</v>
      </c>
      <c r="F69" s="134">
        <f>E69*12</f>
        <v>18436.800000000003</v>
      </c>
      <c r="G69" s="34">
        <v>2.6</v>
      </c>
      <c r="H69" s="61">
        <f t="shared" si="10"/>
        <v>47.935680000000005</v>
      </c>
      <c r="I69" s="13">
        <f>F69/12*G69</f>
        <v>3994.6400000000008</v>
      </c>
    </row>
    <row r="70" spans="1:9" ht="15.75" customHeight="1">
      <c r="A70" s="30"/>
      <c r="B70" s="48" t="s">
        <v>69</v>
      </c>
      <c r="C70" s="16"/>
      <c r="D70" s="14"/>
      <c r="E70" s="18"/>
      <c r="F70" s="13"/>
      <c r="G70" s="13"/>
      <c r="H70" s="61" t="s">
        <v>114</v>
      </c>
      <c r="I70" s="13"/>
    </row>
    <row r="71" spans="1:9" ht="15.75" hidden="1" customHeight="1">
      <c r="A71" s="30"/>
      <c r="B71" s="14" t="s">
        <v>124</v>
      </c>
      <c r="C71" s="16" t="s">
        <v>125</v>
      </c>
      <c r="D71" s="14" t="s">
        <v>65</v>
      </c>
      <c r="E71" s="18">
        <v>1</v>
      </c>
      <c r="F71" s="13">
        <f>E71</f>
        <v>1</v>
      </c>
      <c r="G71" s="13">
        <v>976.4</v>
      </c>
      <c r="H71" s="61">
        <f t="shared" ref="H71:H72" si="11">SUM(F71*G71/1000)</f>
        <v>0.97639999999999993</v>
      </c>
      <c r="I71" s="13">
        <v>0</v>
      </c>
    </row>
    <row r="72" spans="1:9" ht="15.75" hidden="1" customHeight="1">
      <c r="A72" s="30"/>
      <c r="B72" s="14" t="s">
        <v>126</v>
      </c>
      <c r="C72" s="16" t="s">
        <v>127</v>
      </c>
      <c r="D72" s="14"/>
      <c r="E72" s="18">
        <v>1</v>
      </c>
      <c r="F72" s="13">
        <v>1</v>
      </c>
      <c r="G72" s="13">
        <v>650</v>
      </c>
      <c r="H72" s="61">
        <f t="shared" si="11"/>
        <v>0.65</v>
      </c>
      <c r="I72" s="13">
        <v>0</v>
      </c>
    </row>
    <row r="73" spans="1:9" ht="15.75" hidden="1" customHeight="1">
      <c r="A73" s="30"/>
      <c r="B73" s="14" t="s">
        <v>70</v>
      </c>
      <c r="C73" s="16" t="s">
        <v>72</v>
      </c>
      <c r="D73" s="14"/>
      <c r="E73" s="18">
        <v>3</v>
      </c>
      <c r="F73" s="13">
        <v>0.3</v>
      </c>
      <c r="G73" s="13">
        <v>624.16999999999996</v>
      </c>
      <c r="H73" s="61">
        <f t="shared" si="10"/>
        <v>0.18725099999999997</v>
      </c>
      <c r="I73" s="13">
        <v>0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56">
        <v>1</v>
      </c>
      <c r="G74" s="13">
        <v>1061.4100000000001</v>
      </c>
      <c r="H74" s="61">
        <f>F74*G74/1000</f>
        <v>1.0614100000000002</v>
      </c>
      <c r="I74" s="13">
        <v>0</v>
      </c>
    </row>
    <row r="75" spans="1:9" ht="16.5" customHeight="1">
      <c r="A75" s="30">
        <v>21</v>
      </c>
      <c r="B75" s="46" t="s">
        <v>173</v>
      </c>
      <c r="C75" s="47" t="s">
        <v>102</v>
      </c>
      <c r="D75" s="133" t="s">
        <v>166</v>
      </c>
      <c r="E75" s="17">
        <v>2</v>
      </c>
      <c r="F75" s="34">
        <f>E75*12</f>
        <v>24</v>
      </c>
      <c r="G75" s="34">
        <v>420</v>
      </c>
      <c r="H75" s="61">
        <f>G75*F75/1000</f>
        <v>10.08</v>
      </c>
      <c r="I75" s="13">
        <f>G75*2</f>
        <v>840</v>
      </c>
    </row>
    <row r="76" spans="1:9" ht="31.5" customHeight="1">
      <c r="A76" s="30">
        <v>22</v>
      </c>
      <c r="B76" s="46" t="s">
        <v>174</v>
      </c>
      <c r="C76" s="47" t="s">
        <v>30</v>
      </c>
      <c r="D76" s="133" t="s">
        <v>166</v>
      </c>
      <c r="E76" s="17">
        <v>1</v>
      </c>
      <c r="F76" s="34">
        <f>E76*12</f>
        <v>12</v>
      </c>
      <c r="G76" s="34">
        <v>1829</v>
      </c>
      <c r="H76" s="61"/>
      <c r="I76" s="13">
        <f>G76*F76/12</f>
        <v>1829</v>
      </c>
    </row>
    <row r="77" spans="1:9" ht="15.75" hidden="1" customHeight="1">
      <c r="A77" s="30"/>
      <c r="B77" s="43" t="s">
        <v>128</v>
      </c>
      <c r="C77" s="16" t="s">
        <v>74</v>
      </c>
      <c r="D77" s="14"/>
      <c r="E77" s="18"/>
      <c r="F77" s="13">
        <v>0.1</v>
      </c>
      <c r="G77" s="13">
        <v>3433.69</v>
      </c>
      <c r="H77" s="61">
        <f t="shared" si="10"/>
        <v>0.34336900000000004</v>
      </c>
      <c r="I77" s="13">
        <v>0</v>
      </c>
    </row>
    <row r="78" spans="1:9" ht="15.75" hidden="1" customHeight="1">
      <c r="A78" s="30"/>
      <c r="B78" s="55" t="s">
        <v>86</v>
      </c>
      <c r="C78" s="79"/>
      <c r="D78" s="31"/>
      <c r="E78" s="32"/>
      <c r="F78" s="68"/>
      <c r="G78" s="68"/>
      <c r="H78" s="80">
        <f>SUM(H55:H77)</f>
        <v>114.56478978999999</v>
      </c>
      <c r="I78" s="13"/>
    </row>
    <row r="79" spans="1:9" ht="15.75" hidden="1" customHeight="1">
      <c r="A79" s="30">
        <v>22</v>
      </c>
      <c r="B79" s="62" t="s">
        <v>110</v>
      </c>
      <c r="C79" s="16"/>
      <c r="D79" s="14"/>
      <c r="E79" s="57"/>
      <c r="F79" s="13">
        <v>1</v>
      </c>
      <c r="G79" s="13">
        <v>5593.4</v>
      </c>
      <c r="H79" s="61">
        <f>G79*F79/1000</f>
        <v>5.5933999999999999</v>
      </c>
      <c r="I79" s="13">
        <f>G79*1</f>
        <v>5593.4</v>
      </c>
    </row>
    <row r="80" spans="1:9" ht="15.75" customHeight="1">
      <c r="A80" s="162" t="s">
        <v>134</v>
      </c>
      <c r="B80" s="163"/>
      <c r="C80" s="163"/>
      <c r="D80" s="163"/>
      <c r="E80" s="163"/>
      <c r="F80" s="163"/>
      <c r="G80" s="163"/>
      <c r="H80" s="163"/>
      <c r="I80" s="164"/>
    </row>
    <row r="81" spans="1:9" ht="15.75" customHeight="1">
      <c r="A81" s="30">
        <v>23</v>
      </c>
      <c r="B81" s="118" t="s">
        <v>111</v>
      </c>
      <c r="C81" s="125" t="s">
        <v>54</v>
      </c>
      <c r="D81" s="135"/>
      <c r="E81" s="34">
        <v>1536.4</v>
      </c>
      <c r="F81" s="34">
        <f>SUM(E81*12)</f>
        <v>18436.800000000003</v>
      </c>
      <c r="G81" s="34">
        <v>3.5</v>
      </c>
      <c r="H81" s="61">
        <f>SUM(F81*G81/1000)</f>
        <v>64.528800000000004</v>
      </c>
      <c r="I81" s="13">
        <f>F81/12*G81</f>
        <v>5377.4000000000015</v>
      </c>
    </row>
    <row r="82" spans="1:9" ht="31.5" customHeight="1">
      <c r="A82" s="30">
        <v>24</v>
      </c>
      <c r="B82" s="118" t="s">
        <v>175</v>
      </c>
      <c r="C82" s="125" t="s">
        <v>54</v>
      </c>
      <c r="D82" s="135"/>
      <c r="E82" s="34">
        <v>1536.4</v>
      </c>
      <c r="F82" s="34">
        <f>E82*12</f>
        <v>18436.800000000003</v>
      </c>
      <c r="G82" s="34">
        <v>3.2</v>
      </c>
      <c r="H82" s="61">
        <f>F82*G82/1000</f>
        <v>58.997760000000007</v>
      </c>
      <c r="I82" s="13">
        <f>F82/12*G82</f>
        <v>4916.4800000000014</v>
      </c>
    </row>
    <row r="83" spans="1:9" ht="15.75" customHeight="1">
      <c r="A83" s="30"/>
      <c r="B83" s="36" t="s">
        <v>76</v>
      </c>
      <c r="C83" s="79"/>
      <c r="D83" s="78"/>
      <c r="E83" s="68"/>
      <c r="F83" s="68"/>
      <c r="G83" s="68"/>
      <c r="H83" s="80">
        <f>H82</f>
        <v>58.997760000000007</v>
      </c>
      <c r="I83" s="68">
        <f>I82+I81+I76+I75+I69+I68+I59+I51++I50+I49+I48+I47+I46+I45+I44+I43+I33+I31+I30+I21+I20+I18+I17+I16</f>
        <v>31092.342598000007</v>
      </c>
    </row>
    <row r="84" spans="1:9" ht="15.75" customHeight="1">
      <c r="A84" s="174" t="s">
        <v>59</v>
      </c>
      <c r="B84" s="175"/>
      <c r="C84" s="175"/>
      <c r="D84" s="175"/>
      <c r="E84" s="175"/>
      <c r="F84" s="175"/>
      <c r="G84" s="175"/>
      <c r="H84" s="175"/>
      <c r="I84" s="176"/>
    </row>
    <row r="85" spans="1:9" ht="19.5" customHeight="1">
      <c r="A85" s="30">
        <v>25</v>
      </c>
      <c r="B85" s="109" t="s">
        <v>250</v>
      </c>
      <c r="C85" s="160" t="s">
        <v>182</v>
      </c>
      <c r="D85" s="100"/>
      <c r="E85" s="34"/>
      <c r="F85" s="34">
        <v>0.06</v>
      </c>
      <c r="G85" s="34">
        <v>4113.16</v>
      </c>
      <c r="H85" s="13"/>
      <c r="I85" s="13">
        <f>G85*0.06</f>
        <v>246.78959999999998</v>
      </c>
    </row>
    <row r="86" spans="1:9" ht="30.75" customHeight="1">
      <c r="A86" s="30">
        <v>26</v>
      </c>
      <c r="B86" s="157" t="s">
        <v>251</v>
      </c>
      <c r="C86" s="126" t="s">
        <v>252</v>
      </c>
      <c r="D86" s="159" t="s">
        <v>254</v>
      </c>
      <c r="E86" s="34"/>
      <c r="F86" s="34">
        <v>1</v>
      </c>
      <c r="G86" s="34">
        <v>2287.54</v>
      </c>
      <c r="H86" s="13"/>
      <c r="I86" s="13">
        <f>G86*1</f>
        <v>2287.54</v>
      </c>
    </row>
    <row r="87" spans="1:9" ht="17.25" customHeight="1">
      <c r="A87" s="30">
        <v>27</v>
      </c>
      <c r="B87" s="109" t="s">
        <v>169</v>
      </c>
      <c r="C87" s="110" t="s">
        <v>77</v>
      </c>
      <c r="D87" s="100" t="s">
        <v>253</v>
      </c>
      <c r="E87" s="34"/>
      <c r="F87" s="34">
        <v>2</v>
      </c>
      <c r="G87" s="34">
        <v>231.54</v>
      </c>
      <c r="H87" s="13"/>
      <c r="I87" s="13">
        <f>G87*1</f>
        <v>231.54</v>
      </c>
    </row>
    <row r="88" spans="1:9" ht="15.75" customHeight="1">
      <c r="A88" s="30"/>
      <c r="B88" s="41" t="s">
        <v>51</v>
      </c>
      <c r="C88" s="37"/>
      <c r="D88" s="44"/>
      <c r="E88" s="37">
        <v>1</v>
      </c>
      <c r="F88" s="37"/>
      <c r="G88" s="37"/>
      <c r="H88" s="37"/>
      <c r="I88" s="32">
        <f>SUM(I85:I87)</f>
        <v>2765.8696</v>
      </c>
    </row>
    <row r="89" spans="1:9" ht="15.75" customHeight="1">
      <c r="A89" s="30"/>
      <c r="B89" s="43" t="s">
        <v>75</v>
      </c>
      <c r="C89" s="15"/>
      <c r="D89" s="15"/>
      <c r="E89" s="38"/>
      <c r="F89" s="38"/>
      <c r="G89" s="39"/>
      <c r="H89" s="39"/>
      <c r="I89" s="17">
        <v>0</v>
      </c>
    </row>
    <row r="90" spans="1:9">
      <c r="A90" s="45"/>
      <c r="B90" s="42" t="s">
        <v>150</v>
      </c>
      <c r="C90" s="33"/>
      <c r="D90" s="33"/>
      <c r="E90" s="33"/>
      <c r="F90" s="33"/>
      <c r="G90" s="33"/>
      <c r="H90" s="33"/>
      <c r="I90" s="40">
        <f>I83+I88</f>
        <v>33858.212198000008</v>
      </c>
    </row>
    <row r="91" spans="1:9" ht="15.75">
      <c r="A91" s="182" t="s">
        <v>255</v>
      </c>
      <c r="B91" s="182"/>
      <c r="C91" s="182"/>
      <c r="D91" s="182"/>
      <c r="E91" s="182"/>
      <c r="F91" s="182"/>
      <c r="G91" s="182"/>
      <c r="H91" s="182"/>
      <c r="I91" s="182"/>
    </row>
    <row r="92" spans="1:9" ht="15.75" customHeight="1">
      <c r="A92" s="54"/>
      <c r="B92" s="183" t="s">
        <v>256</v>
      </c>
      <c r="C92" s="183"/>
      <c r="D92" s="183"/>
      <c r="E92" s="183"/>
      <c r="F92" s="183"/>
      <c r="G92" s="183"/>
      <c r="H92" s="60"/>
      <c r="I92" s="3"/>
    </row>
    <row r="93" spans="1:9">
      <c r="A93" s="53"/>
      <c r="B93" s="179" t="s">
        <v>6</v>
      </c>
      <c r="C93" s="179"/>
      <c r="D93" s="179"/>
      <c r="E93" s="179"/>
      <c r="F93" s="179"/>
      <c r="G93" s="179"/>
      <c r="H93" s="25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84" t="s">
        <v>7</v>
      </c>
      <c r="B95" s="184"/>
      <c r="C95" s="184"/>
      <c r="D95" s="184"/>
      <c r="E95" s="184"/>
      <c r="F95" s="184"/>
      <c r="G95" s="184"/>
      <c r="H95" s="184"/>
      <c r="I95" s="184"/>
    </row>
    <row r="96" spans="1:9" ht="15.75" customHeight="1">
      <c r="A96" s="184" t="s">
        <v>8</v>
      </c>
      <c r="B96" s="184"/>
      <c r="C96" s="184"/>
      <c r="D96" s="184"/>
      <c r="E96" s="184"/>
      <c r="F96" s="184"/>
      <c r="G96" s="184"/>
      <c r="H96" s="184"/>
      <c r="I96" s="184"/>
    </row>
    <row r="97" spans="1:9" ht="15.75">
      <c r="A97" s="171" t="s">
        <v>60</v>
      </c>
      <c r="B97" s="171"/>
      <c r="C97" s="171"/>
      <c r="D97" s="171"/>
      <c r="E97" s="171"/>
      <c r="F97" s="171"/>
      <c r="G97" s="171"/>
      <c r="H97" s="171"/>
      <c r="I97" s="171"/>
    </row>
    <row r="98" spans="1:9" ht="15.75">
      <c r="A98" s="11"/>
    </row>
    <row r="99" spans="1:9" ht="15.75">
      <c r="A99" s="177" t="s">
        <v>9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>
      <c r="A100" s="4"/>
    </row>
    <row r="101" spans="1:9" ht="15.75">
      <c r="B101" s="50" t="s">
        <v>10</v>
      </c>
      <c r="C101" s="178" t="s">
        <v>189</v>
      </c>
      <c r="D101" s="178"/>
      <c r="E101" s="178"/>
      <c r="F101" s="58"/>
      <c r="I101" s="52"/>
    </row>
    <row r="102" spans="1:9">
      <c r="A102" s="53"/>
      <c r="C102" s="179" t="s">
        <v>11</v>
      </c>
      <c r="D102" s="179"/>
      <c r="E102" s="179"/>
      <c r="F102" s="25"/>
      <c r="I102" s="51" t="s">
        <v>12</v>
      </c>
    </row>
    <row r="103" spans="1:9" ht="15.75">
      <c r="A103" s="26"/>
      <c r="C103" s="12"/>
      <c r="D103" s="12"/>
      <c r="G103" s="12"/>
      <c r="H103" s="12"/>
    </row>
    <row r="104" spans="1:9" ht="15.75" customHeight="1">
      <c r="B104" s="50" t="s">
        <v>13</v>
      </c>
      <c r="C104" s="180"/>
      <c r="D104" s="180"/>
      <c r="E104" s="180"/>
      <c r="F104" s="59"/>
      <c r="I104" s="52"/>
    </row>
    <row r="105" spans="1:9" ht="15.75" customHeight="1">
      <c r="A105" s="53"/>
      <c r="C105" s="161" t="s">
        <v>11</v>
      </c>
      <c r="D105" s="161"/>
      <c r="E105" s="161"/>
      <c r="F105" s="53"/>
      <c r="I105" s="51" t="s">
        <v>12</v>
      </c>
    </row>
    <row r="106" spans="1:9" ht="15.75" customHeight="1">
      <c r="A106" s="4" t="s">
        <v>14</v>
      </c>
    </row>
    <row r="107" spans="1:9">
      <c r="A107" s="181" t="s">
        <v>15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45" customHeight="1">
      <c r="A108" s="173" t="s">
        <v>16</v>
      </c>
      <c r="B108" s="173"/>
      <c r="C108" s="173"/>
      <c r="D108" s="173"/>
      <c r="E108" s="173"/>
      <c r="F108" s="173"/>
      <c r="G108" s="173"/>
      <c r="H108" s="173"/>
      <c r="I108" s="173"/>
    </row>
    <row r="109" spans="1:9" ht="30" customHeight="1">
      <c r="A109" s="173" t="s">
        <v>17</v>
      </c>
      <c r="B109" s="173"/>
      <c r="C109" s="173"/>
      <c r="D109" s="173"/>
      <c r="E109" s="173"/>
      <c r="F109" s="173"/>
      <c r="G109" s="173"/>
      <c r="H109" s="173"/>
      <c r="I109" s="173"/>
    </row>
    <row r="110" spans="1:9" ht="30" customHeight="1">
      <c r="A110" s="173" t="s">
        <v>21</v>
      </c>
      <c r="B110" s="173"/>
      <c r="C110" s="173"/>
      <c r="D110" s="173"/>
      <c r="E110" s="173"/>
      <c r="F110" s="173"/>
      <c r="G110" s="173"/>
      <c r="H110" s="173"/>
      <c r="I110" s="173"/>
    </row>
    <row r="111" spans="1:9" ht="15" customHeight="1">
      <c r="A111" s="173" t="s">
        <v>20</v>
      </c>
      <c r="B111" s="173"/>
      <c r="C111" s="173"/>
      <c r="D111" s="173"/>
      <c r="E111" s="173"/>
      <c r="F111" s="173"/>
      <c r="G111" s="173"/>
      <c r="H111" s="173"/>
      <c r="I111" s="173"/>
    </row>
  </sheetData>
  <autoFilter ref="I12:I54"/>
  <mergeCells count="29">
    <mergeCell ref="A108:I108"/>
    <mergeCell ref="A109:I109"/>
    <mergeCell ref="A110:I110"/>
    <mergeCell ref="A111:I111"/>
    <mergeCell ref="A53:I53"/>
    <mergeCell ref="A80:I80"/>
    <mergeCell ref="A99:I99"/>
    <mergeCell ref="C101:E101"/>
    <mergeCell ref="C102:E102"/>
    <mergeCell ref="C104:E104"/>
    <mergeCell ref="C105:E105"/>
    <mergeCell ref="A107:I107"/>
    <mergeCell ref="A91:I91"/>
    <mergeCell ref="B92:G92"/>
    <mergeCell ref="B93:G93"/>
    <mergeCell ref="A95:I95"/>
    <mergeCell ref="A96:I96"/>
    <mergeCell ref="A97:I97"/>
    <mergeCell ref="A15:I15"/>
    <mergeCell ref="A28:I28"/>
    <mergeCell ref="A42:I42"/>
    <mergeCell ref="A84:I84"/>
    <mergeCell ref="R59:U59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2022-02-10T12:34:57Z</cp:lastPrinted>
  <dcterms:created xsi:type="dcterms:W3CDTF">2016-03-25T08:33:47Z</dcterms:created>
  <dcterms:modified xsi:type="dcterms:W3CDTF">2022-02-10T12:35:33Z</dcterms:modified>
</cp:coreProperties>
</file>