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17" sheetId="8" r:id="rId1"/>
    <sheet name="02.17" sheetId="17" r:id="rId2"/>
    <sheet name="03.17" sheetId="18" r:id="rId3"/>
    <sheet name="04.17" sheetId="19" r:id="rId4"/>
    <sheet name="05.17" sheetId="20" r:id="rId5"/>
    <sheet name="06.17" sheetId="21" r:id="rId6"/>
    <sheet name="07.17" sheetId="22" r:id="rId7"/>
    <sheet name="08.17" sheetId="23" r:id="rId8"/>
    <sheet name="09.17" sheetId="24" r:id="rId9"/>
    <sheet name="10.17" sheetId="25" r:id="rId10"/>
    <sheet name="11.17" sheetId="26" r:id="rId11"/>
    <sheet name="12.17" sheetId="27" r:id="rId12"/>
  </sheets>
  <definedNames>
    <definedName name="_xlnm._FilterDatabase" localSheetId="0" hidden="1">'01.17'!$I$12:$I$82</definedName>
    <definedName name="_xlnm._FilterDatabase" localSheetId="1" hidden="1">'02.17'!$I$12:$I$82</definedName>
    <definedName name="_xlnm._FilterDatabase" localSheetId="2" hidden="1">'03.17'!$I$12:$I$82</definedName>
    <definedName name="_xlnm._FilterDatabase" localSheetId="3" hidden="1">'04.17'!$I$12:$I$82</definedName>
    <definedName name="_xlnm._FilterDatabase" localSheetId="4" hidden="1">'05.17'!$I$12:$I$82</definedName>
    <definedName name="_xlnm._FilterDatabase" localSheetId="5" hidden="1">'06.17'!$I$12:$I$82</definedName>
    <definedName name="_xlnm._FilterDatabase" localSheetId="6" hidden="1">'07.17'!$I$12:$I$82</definedName>
    <definedName name="_xlnm._FilterDatabase" localSheetId="7" hidden="1">'08.17'!$I$12:$I$82</definedName>
    <definedName name="_xlnm._FilterDatabase" localSheetId="8" hidden="1">'09.17'!$I$12:$I$82</definedName>
    <definedName name="_xlnm._FilterDatabase" localSheetId="9" hidden="1">'10.17'!$I$12:$I$82</definedName>
    <definedName name="_xlnm._FilterDatabase" localSheetId="10" hidden="1">'11.17'!$I$12:$I$82</definedName>
    <definedName name="_xlnm._FilterDatabase" localSheetId="11" hidden="1">'12.17'!$I$12:$I$82</definedName>
    <definedName name="_xlnm.Print_Area" localSheetId="0">'01.17'!$A$1:$I$109</definedName>
    <definedName name="_xlnm.Print_Area" localSheetId="1">'02.17'!$A$1:$I$117</definedName>
    <definedName name="_xlnm.Print_Area" localSheetId="2">'03.17'!$A$1:$I$113</definedName>
    <definedName name="_xlnm.Print_Area" localSheetId="3">'04.17'!$A$1:$I$112</definedName>
    <definedName name="_xlnm.Print_Area" localSheetId="4">'05.17'!$A$1:$I$110</definedName>
    <definedName name="_xlnm.Print_Area" localSheetId="5">'06.17'!$A$1:$I$111</definedName>
    <definedName name="_xlnm.Print_Area" localSheetId="6">'07.17'!$A$1:$I$110</definedName>
    <definedName name="_xlnm.Print_Area" localSheetId="7">'08.17'!$A$1:$I$110</definedName>
    <definedName name="_xlnm.Print_Area" localSheetId="8">'09.17'!$A$1:$I$110</definedName>
    <definedName name="_xlnm.Print_Area" localSheetId="9">'10.17'!$A$1:$I$114</definedName>
    <definedName name="_xlnm.Print_Area" localSheetId="10">'11.17'!$A$1:$I$113</definedName>
    <definedName name="_xlnm.Print_Area" localSheetId="11">'12.17'!$A$1:$I$112</definedName>
  </definedNames>
  <calcPr calcId="124519"/>
</workbook>
</file>

<file path=xl/calcChain.xml><?xml version="1.0" encoding="utf-8"?>
<calcChain xmlns="http://schemas.openxmlformats.org/spreadsheetml/2006/main">
  <c r="I82" i="27"/>
  <c r="I82" i="26"/>
  <c r="F41" i="19"/>
  <c r="H41" s="1"/>
  <c r="I87" i="18"/>
  <c r="I86"/>
  <c r="I85"/>
  <c r="H87"/>
  <c r="H86"/>
  <c r="H85"/>
  <c r="F41"/>
  <c r="H41" s="1"/>
  <c r="I93" i="17"/>
  <c r="I92"/>
  <c r="I91"/>
  <c r="I90"/>
  <c r="I89"/>
  <c r="H93"/>
  <c r="H92"/>
  <c r="H91"/>
  <c r="H90"/>
  <c r="H89"/>
  <c r="I82" i="8"/>
  <c r="I41" i="19" l="1"/>
  <c r="I41" i="18"/>
  <c r="I88" i="27" l="1"/>
  <c r="H88"/>
  <c r="F88"/>
  <c r="I87"/>
  <c r="H87"/>
  <c r="I86"/>
  <c r="H86"/>
  <c r="I85"/>
  <c r="H85"/>
  <c r="I84"/>
  <c r="H84"/>
  <c r="I81"/>
  <c r="F81"/>
  <c r="H81" s="1"/>
  <c r="H80"/>
  <c r="F80"/>
  <c r="I80" s="1"/>
  <c r="H78"/>
  <c r="F76"/>
  <c r="H76" s="1"/>
  <c r="F75"/>
  <c r="H75" s="1"/>
  <c r="I74"/>
  <c r="H74"/>
  <c r="I72"/>
  <c r="H72"/>
  <c r="F70"/>
  <c r="I70" s="1"/>
  <c r="F69"/>
  <c r="H69" s="1"/>
  <c r="F68"/>
  <c r="I68" s="1"/>
  <c r="I67"/>
  <c r="F67"/>
  <c r="H67" s="1"/>
  <c r="F66"/>
  <c r="I66" s="1"/>
  <c r="F65"/>
  <c r="H65" s="1"/>
  <c r="H64"/>
  <c r="I63"/>
  <c r="H63"/>
  <c r="H61"/>
  <c r="F61"/>
  <c r="F59"/>
  <c r="H59" s="1"/>
  <c r="H56"/>
  <c r="F56"/>
  <c r="I56" s="1"/>
  <c r="I53"/>
  <c r="F53"/>
  <c r="H53" s="1"/>
  <c r="I52"/>
  <c r="H52"/>
  <c r="F51"/>
  <c r="I51" s="1"/>
  <c r="F50"/>
  <c r="H50" s="1"/>
  <c r="F49"/>
  <c r="H49" s="1"/>
  <c r="F48"/>
  <c r="H48" s="1"/>
  <c r="F47"/>
  <c r="I47" s="1"/>
  <c r="F46"/>
  <c r="H46" s="1"/>
  <c r="F45"/>
  <c r="H45" s="1"/>
  <c r="F44"/>
  <c r="H44" s="1"/>
  <c r="I42"/>
  <c r="H42"/>
  <c r="F41"/>
  <c r="H41" s="1"/>
  <c r="F40"/>
  <c r="H40" s="1"/>
  <c r="H39"/>
  <c r="F39"/>
  <c r="I39" s="1"/>
  <c r="I38"/>
  <c r="F38"/>
  <c r="H38" s="1"/>
  <c r="I37"/>
  <c r="H37"/>
  <c r="H35"/>
  <c r="H34"/>
  <c r="F34"/>
  <c r="I34" s="1"/>
  <c r="F33"/>
  <c r="H33" s="1"/>
  <c r="I32"/>
  <c r="F32"/>
  <c r="H32" s="1"/>
  <c r="F31"/>
  <c r="H31" s="1"/>
  <c r="F28"/>
  <c r="H28" s="1"/>
  <c r="F27"/>
  <c r="H27" s="1"/>
  <c r="F26"/>
  <c r="H26" s="1"/>
  <c r="I25"/>
  <c r="I24"/>
  <c r="F24"/>
  <c r="H24" s="1"/>
  <c r="I23"/>
  <c r="H23"/>
  <c r="F23"/>
  <c r="F22"/>
  <c r="H22" s="1"/>
  <c r="F21"/>
  <c r="H21" s="1"/>
  <c r="I20"/>
  <c r="F20"/>
  <c r="H20" s="1"/>
  <c r="H19"/>
  <c r="F19"/>
  <c r="I19" s="1"/>
  <c r="F18"/>
  <c r="H18" s="1"/>
  <c r="E18"/>
  <c r="F17"/>
  <c r="H17" s="1"/>
  <c r="F16"/>
  <c r="H16" s="1"/>
  <c r="I90" i="26"/>
  <c r="I89"/>
  <c r="F89"/>
  <c r="H89" s="1"/>
  <c r="I87"/>
  <c r="H87"/>
  <c r="I88"/>
  <c r="H88"/>
  <c r="I86"/>
  <c r="H86"/>
  <c r="I85"/>
  <c r="H85"/>
  <c r="I84"/>
  <c r="H84"/>
  <c r="H81"/>
  <c r="F81"/>
  <c r="I81" s="1"/>
  <c r="F80"/>
  <c r="H80" s="1"/>
  <c r="H78"/>
  <c r="F76"/>
  <c r="H76" s="1"/>
  <c r="H75"/>
  <c r="F75"/>
  <c r="I74"/>
  <c r="H74"/>
  <c r="I72"/>
  <c r="H72"/>
  <c r="F70"/>
  <c r="H70" s="1"/>
  <c r="H69"/>
  <c r="F69"/>
  <c r="I69" s="1"/>
  <c r="F68"/>
  <c r="H68" s="1"/>
  <c r="I67"/>
  <c r="H67"/>
  <c r="F67"/>
  <c r="H66"/>
  <c r="F66"/>
  <c r="I66" s="1"/>
  <c r="F65"/>
  <c r="I65" s="1"/>
  <c r="H64"/>
  <c r="I63"/>
  <c r="H63"/>
  <c r="F61"/>
  <c r="H61" s="1"/>
  <c r="H59"/>
  <c r="F59"/>
  <c r="I59" s="1"/>
  <c r="F56"/>
  <c r="H56" s="1"/>
  <c r="I53"/>
  <c r="H53"/>
  <c r="F53"/>
  <c r="I52"/>
  <c r="H52"/>
  <c r="F51"/>
  <c r="H51" s="1"/>
  <c r="F50"/>
  <c r="I50" s="1"/>
  <c r="F49"/>
  <c r="H49" s="1"/>
  <c r="H48"/>
  <c r="F48"/>
  <c r="I48" s="1"/>
  <c r="F47"/>
  <c r="H47" s="1"/>
  <c r="I46"/>
  <c r="H46"/>
  <c r="F46"/>
  <c r="F45"/>
  <c r="I45" s="1"/>
  <c r="H44"/>
  <c r="F44"/>
  <c r="I44" s="1"/>
  <c r="I42"/>
  <c r="H42"/>
  <c r="F41"/>
  <c r="H41" s="1"/>
  <c r="F40"/>
  <c r="I40" s="1"/>
  <c r="F39"/>
  <c r="H39" s="1"/>
  <c r="F38"/>
  <c r="I38" s="1"/>
  <c r="I37"/>
  <c r="H37"/>
  <c r="H35"/>
  <c r="H34"/>
  <c r="F34"/>
  <c r="I34" s="1"/>
  <c r="F33"/>
  <c r="H33" s="1"/>
  <c r="F32"/>
  <c r="I32" s="1"/>
  <c r="F31"/>
  <c r="H31" s="1"/>
  <c r="H28"/>
  <c r="F28"/>
  <c r="I28" s="1"/>
  <c r="F27"/>
  <c r="H27" s="1"/>
  <c r="I26"/>
  <c r="H26"/>
  <c r="F26"/>
  <c r="I25"/>
  <c r="I24"/>
  <c r="H24"/>
  <c r="F24"/>
  <c r="H23"/>
  <c r="F23"/>
  <c r="I23" s="1"/>
  <c r="F22"/>
  <c r="I22" s="1"/>
  <c r="F21"/>
  <c r="H21" s="1"/>
  <c r="I20"/>
  <c r="F20"/>
  <c r="H20" s="1"/>
  <c r="I19"/>
  <c r="H19"/>
  <c r="F19"/>
  <c r="F18"/>
  <c r="I18" s="1"/>
  <c r="E18"/>
  <c r="F17"/>
  <c r="I17" s="1"/>
  <c r="F16"/>
  <c r="H16" s="1"/>
  <c r="I91" i="25"/>
  <c r="I90"/>
  <c r="F90"/>
  <c r="H90" s="1"/>
  <c r="I89"/>
  <c r="H89"/>
  <c r="I88"/>
  <c r="H88"/>
  <c r="I87"/>
  <c r="I86"/>
  <c r="H87"/>
  <c r="H86"/>
  <c r="I85"/>
  <c r="H85"/>
  <c r="I82"/>
  <c r="I41" i="26" l="1"/>
  <c r="I31" i="27"/>
  <c r="I41"/>
  <c r="I26"/>
  <c r="H47"/>
  <c r="I50"/>
  <c r="H66"/>
  <c r="H68"/>
  <c r="H70"/>
  <c r="I89"/>
  <c r="H51"/>
  <c r="I46"/>
  <c r="I45"/>
  <c r="I49"/>
  <c r="I16"/>
  <c r="I21"/>
  <c r="I27"/>
  <c r="I33"/>
  <c r="I17"/>
  <c r="I18"/>
  <c r="I22"/>
  <c r="I28"/>
  <c r="I40"/>
  <c r="I44"/>
  <c r="I48"/>
  <c r="I59"/>
  <c r="I65"/>
  <c r="I69"/>
  <c r="H17" i="26"/>
  <c r="H22"/>
  <c r="H32"/>
  <c r="H38"/>
  <c r="H50"/>
  <c r="H65"/>
  <c r="I70"/>
  <c r="I80"/>
  <c r="H18"/>
  <c r="H40"/>
  <c r="H45"/>
  <c r="I49"/>
  <c r="I31"/>
  <c r="I16"/>
  <c r="I21"/>
  <c r="I27"/>
  <c r="I33"/>
  <c r="I39"/>
  <c r="I47"/>
  <c r="I51"/>
  <c r="I56"/>
  <c r="I68"/>
  <c r="I91" i="27" l="1"/>
  <c r="I92" i="26"/>
  <c r="I84" i="25" l="1"/>
  <c r="H84"/>
  <c r="F81"/>
  <c r="H81" s="1"/>
  <c r="F80"/>
  <c r="I80" s="1"/>
  <c r="H78"/>
  <c r="F76"/>
  <c r="H76" s="1"/>
  <c r="F75"/>
  <c r="H75" s="1"/>
  <c r="I74"/>
  <c r="H74"/>
  <c r="I72"/>
  <c r="H72"/>
  <c r="F70"/>
  <c r="I70" s="1"/>
  <c r="F69"/>
  <c r="H69" s="1"/>
  <c r="H68"/>
  <c r="F68"/>
  <c r="I68" s="1"/>
  <c r="F67"/>
  <c r="H67" s="1"/>
  <c r="H66"/>
  <c r="F66"/>
  <c r="I66" s="1"/>
  <c r="F65"/>
  <c r="H65" s="1"/>
  <c r="H64"/>
  <c r="I63"/>
  <c r="H63"/>
  <c r="F61"/>
  <c r="H61" s="1"/>
  <c r="F59"/>
  <c r="H59" s="1"/>
  <c r="F56"/>
  <c r="I56" s="1"/>
  <c r="I53"/>
  <c r="F53"/>
  <c r="H53" s="1"/>
  <c r="I52"/>
  <c r="H52"/>
  <c r="H51"/>
  <c r="F51"/>
  <c r="I51" s="1"/>
  <c r="F50"/>
  <c r="H50" s="1"/>
  <c r="F49"/>
  <c r="I49" s="1"/>
  <c r="F48"/>
  <c r="H48" s="1"/>
  <c r="F47"/>
  <c r="I47" s="1"/>
  <c r="F46"/>
  <c r="H46" s="1"/>
  <c r="H45"/>
  <c r="F45"/>
  <c r="I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F34"/>
  <c r="I34" s="1"/>
  <c r="F33"/>
  <c r="I33" s="1"/>
  <c r="F32"/>
  <c r="H32" s="1"/>
  <c r="F31"/>
  <c r="I31" s="1"/>
  <c r="F28"/>
  <c r="H28" s="1"/>
  <c r="F27"/>
  <c r="I27" s="1"/>
  <c r="F26"/>
  <c r="H26" s="1"/>
  <c r="I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6" i="24"/>
  <c r="H86"/>
  <c r="F86"/>
  <c r="I74"/>
  <c r="I63"/>
  <c r="I85"/>
  <c r="H85"/>
  <c r="I84"/>
  <c r="H84"/>
  <c r="F81"/>
  <c r="I81" s="1"/>
  <c r="F80"/>
  <c r="H80" s="1"/>
  <c r="H78"/>
  <c r="F76"/>
  <c r="H76" s="1"/>
  <c r="F75"/>
  <c r="H75" s="1"/>
  <c r="H74"/>
  <c r="I72"/>
  <c r="H72"/>
  <c r="F70"/>
  <c r="H70" s="1"/>
  <c r="F69"/>
  <c r="I69" s="1"/>
  <c r="F68"/>
  <c r="H68" s="1"/>
  <c r="F67"/>
  <c r="I67" s="1"/>
  <c r="F66"/>
  <c r="H66" s="1"/>
  <c r="F65"/>
  <c r="I65" s="1"/>
  <c r="H64"/>
  <c r="H63"/>
  <c r="F61"/>
  <c r="H61" s="1"/>
  <c r="F59"/>
  <c r="H59" s="1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F34"/>
  <c r="I34" s="1"/>
  <c r="F33"/>
  <c r="I33" s="1"/>
  <c r="F32"/>
  <c r="I32" s="1"/>
  <c r="F31"/>
  <c r="I31" s="1"/>
  <c r="F28"/>
  <c r="I28" s="1"/>
  <c r="F27"/>
  <c r="I27" s="1"/>
  <c r="H26"/>
  <c r="F26"/>
  <c r="I26" s="1"/>
  <c r="I25"/>
  <c r="F24"/>
  <c r="I24" s="1"/>
  <c r="F23"/>
  <c r="I23" s="1"/>
  <c r="H22"/>
  <c r="F22"/>
  <c r="I22" s="1"/>
  <c r="F21"/>
  <c r="I21" s="1"/>
  <c r="F20"/>
  <c r="H20" s="1"/>
  <c r="F19"/>
  <c r="I19" s="1"/>
  <c r="E18"/>
  <c r="F18" s="1"/>
  <c r="F17"/>
  <c r="H17" s="1"/>
  <c r="F16"/>
  <c r="I16" s="1"/>
  <c r="I85" i="23"/>
  <c r="I86"/>
  <c r="H86"/>
  <c r="H85"/>
  <c r="I84"/>
  <c r="H84"/>
  <c r="F81"/>
  <c r="I81" s="1"/>
  <c r="F80"/>
  <c r="I80" s="1"/>
  <c r="H78"/>
  <c r="F76"/>
  <c r="H76" s="1"/>
  <c r="F75"/>
  <c r="H75" s="1"/>
  <c r="I74"/>
  <c r="H74"/>
  <c r="I72"/>
  <c r="H72"/>
  <c r="F70"/>
  <c r="H70" s="1"/>
  <c r="F69"/>
  <c r="I69" s="1"/>
  <c r="F68"/>
  <c r="H68" s="1"/>
  <c r="F67"/>
  <c r="I67" s="1"/>
  <c r="F66"/>
  <c r="H66" s="1"/>
  <c r="F65"/>
  <c r="I65" s="1"/>
  <c r="H64"/>
  <c r="H63"/>
  <c r="F61"/>
  <c r="H61" s="1"/>
  <c r="F59"/>
  <c r="H59" s="1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F34"/>
  <c r="I34" s="1"/>
  <c r="F33"/>
  <c r="I33" s="1"/>
  <c r="F32"/>
  <c r="H32" s="1"/>
  <c r="F31"/>
  <c r="I31" s="1"/>
  <c r="F28"/>
  <c r="H28" s="1"/>
  <c r="F27"/>
  <c r="I27" s="1"/>
  <c r="F26"/>
  <c r="H26" s="1"/>
  <c r="I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6" i="22"/>
  <c r="H86"/>
  <c r="I85"/>
  <c r="H85"/>
  <c r="I74"/>
  <c r="I84"/>
  <c r="H84"/>
  <c r="F81"/>
  <c r="I81" s="1"/>
  <c r="F80"/>
  <c r="I80" s="1"/>
  <c r="H78"/>
  <c r="F76"/>
  <c r="H76" s="1"/>
  <c r="F75"/>
  <c r="H75" s="1"/>
  <c r="H74"/>
  <c r="I72"/>
  <c r="H72"/>
  <c r="F70"/>
  <c r="I70" s="1"/>
  <c r="F69"/>
  <c r="I69" s="1"/>
  <c r="F68"/>
  <c r="I68" s="1"/>
  <c r="F67"/>
  <c r="I67" s="1"/>
  <c r="F66"/>
  <c r="I66" s="1"/>
  <c r="F65"/>
  <c r="I65" s="1"/>
  <c r="H64"/>
  <c r="H63"/>
  <c r="F61"/>
  <c r="H61" s="1"/>
  <c r="F59"/>
  <c r="I59" s="1"/>
  <c r="F56"/>
  <c r="I56" s="1"/>
  <c r="I53"/>
  <c r="F53"/>
  <c r="H53" s="1"/>
  <c r="I52"/>
  <c r="H52"/>
  <c r="F51"/>
  <c r="I51" s="1"/>
  <c r="F50"/>
  <c r="I50" s="1"/>
  <c r="F49"/>
  <c r="I49" s="1"/>
  <c r="F48"/>
  <c r="I48" s="1"/>
  <c r="F47"/>
  <c r="I47" s="1"/>
  <c r="F46"/>
  <c r="I46" s="1"/>
  <c r="F45"/>
  <c r="I45" s="1"/>
  <c r="F44"/>
  <c r="I44" s="1"/>
  <c r="I42"/>
  <c r="H42"/>
  <c r="F41"/>
  <c r="I41" s="1"/>
  <c r="F40"/>
  <c r="I40" s="1"/>
  <c r="F39"/>
  <c r="I39" s="1"/>
  <c r="F38"/>
  <c r="I38" s="1"/>
  <c r="I37"/>
  <c r="H37"/>
  <c r="H35"/>
  <c r="H34"/>
  <c r="F34"/>
  <c r="I34" s="1"/>
  <c r="F33"/>
  <c r="I33" s="1"/>
  <c r="F32"/>
  <c r="I32" s="1"/>
  <c r="F31"/>
  <c r="I31" s="1"/>
  <c r="H28"/>
  <c r="F28"/>
  <c r="I28" s="1"/>
  <c r="F27"/>
  <c r="I27" s="1"/>
  <c r="F26"/>
  <c r="I26" s="1"/>
  <c r="I25"/>
  <c r="F24"/>
  <c r="I24" s="1"/>
  <c r="F23"/>
  <c r="I23" s="1"/>
  <c r="F22"/>
  <c r="I22" s="1"/>
  <c r="F21"/>
  <c r="H21" s="1"/>
  <c r="F20"/>
  <c r="I20" s="1"/>
  <c r="F19"/>
  <c r="I19" s="1"/>
  <c r="E18"/>
  <c r="F18" s="1"/>
  <c r="F17"/>
  <c r="I17" s="1"/>
  <c r="F16"/>
  <c r="H16" s="1"/>
  <c r="H20" l="1"/>
  <c r="I87" i="23"/>
  <c r="H32" i="24"/>
  <c r="H49" i="25"/>
  <c r="H70"/>
  <c r="H24" i="22"/>
  <c r="I87"/>
  <c r="H80" i="23"/>
  <c r="I87" i="24"/>
  <c r="H47" i="25"/>
  <c r="H56"/>
  <c r="H80"/>
  <c r="H18"/>
  <c r="I18"/>
  <c r="H16"/>
  <c r="I17"/>
  <c r="H19"/>
  <c r="I20"/>
  <c r="H21"/>
  <c r="I22"/>
  <c r="H23"/>
  <c r="I24"/>
  <c r="I26"/>
  <c r="H27"/>
  <c r="I28"/>
  <c r="H31"/>
  <c r="I32"/>
  <c r="H33"/>
  <c r="I38"/>
  <c r="H39"/>
  <c r="I40"/>
  <c r="H41"/>
  <c r="I44"/>
  <c r="I46"/>
  <c r="I48"/>
  <c r="I50"/>
  <c r="I59"/>
  <c r="I65"/>
  <c r="I67"/>
  <c r="I69"/>
  <c r="I81"/>
  <c r="H24" i="24"/>
  <c r="H28"/>
  <c r="H49"/>
  <c r="H18"/>
  <c r="I18"/>
  <c r="H16"/>
  <c r="I17"/>
  <c r="H19"/>
  <c r="I20"/>
  <c r="H21"/>
  <c r="H23"/>
  <c r="H27"/>
  <c r="H31"/>
  <c r="H33"/>
  <c r="I38"/>
  <c r="H39"/>
  <c r="I40"/>
  <c r="H41"/>
  <c r="I44"/>
  <c r="H45"/>
  <c r="I46"/>
  <c r="H47"/>
  <c r="I48"/>
  <c r="I50"/>
  <c r="H51"/>
  <c r="H56"/>
  <c r="I59"/>
  <c r="H65"/>
  <c r="I66"/>
  <c r="H67"/>
  <c r="I68"/>
  <c r="H69"/>
  <c r="I70"/>
  <c r="I80"/>
  <c r="H81"/>
  <c r="H18" i="23"/>
  <c r="I18"/>
  <c r="H16"/>
  <c r="I17"/>
  <c r="H19"/>
  <c r="I20"/>
  <c r="H21"/>
  <c r="I22"/>
  <c r="H23"/>
  <c r="I24"/>
  <c r="I26"/>
  <c r="H27"/>
  <c r="I28"/>
  <c r="H31"/>
  <c r="I32"/>
  <c r="I82" s="1"/>
  <c r="H33"/>
  <c r="I38"/>
  <c r="H39"/>
  <c r="I40"/>
  <c r="H41"/>
  <c r="I44"/>
  <c r="H45"/>
  <c r="I46"/>
  <c r="H47"/>
  <c r="I48"/>
  <c r="H49"/>
  <c r="I50"/>
  <c r="H51"/>
  <c r="H56"/>
  <c r="I59"/>
  <c r="H65"/>
  <c r="I66"/>
  <c r="H67"/>
  <c r="I68"/>
  <c r="H69"/>
  <c r="I70"/>
  <c r="H81"/>
  <c r="H22" i="22"/>
  <c r="H26"/>
  <c r="H32"/>
  <c r="H38"/>
  <c r="H46"/>
  <c r="H17"/>
  <c r="H40"/>
  <c r="H50"/>
  <c r="H80"/>
  <c r="H68"/>
  <c r="H59"/>
  <c r="H66"/>
  <c r="H70"/>
  <c r="H44"/>
  <c r="H48"/>
  <c r="I18"/>
  <c r="H18"/>
  <c r="I16"/>
  <c r="I82" s="1"/>
  <c r="I21"/>
  <c r="H19"/>
  <c r="H23"/>
  <c r="H27"/>
  <c r="H31"/>
  <c r="H33"/>
  <c r="H39"/>
  <c r="H41"/>
  <c r="H45"/>
  <c r="H47"/>
  <c r="H49"/>
  <c r="H51"/>
  <c r="H56"/>
  <c r="H65"/>
  <c r="H67"/>
  <c r="H69"/>
  <c r="H81"/>
  <c r="I93" i="25" l="1"/>
  <c r="I89" i="23"/>
  <c r="I82" i="24"/>
  <c r="I89" s="1"/>
  <c r="I89" i="22"/>
  <c r="H87" i="21" l="1"/>
  <c r="I86"/>
  <c r="H86"/>
  <c r="I85"/>
  <c r="H85"/>
  <c r="I87"/>
  <c r="I84"/>
  <c r="H84"/>
  <c r="F81"/>
  <c r="I81" s="1"/>
  <c r="H80"/>
  <c r="F80"/>
  <c r="I80" s="1"/>
  <c r="H78"/>
  <c r="F76"/>
  <c r="H76" s="1"/>
  <c r="F75"/>
  <c r="H75" s="1"/>
  <c r="I74"/>
  <c r="H74"/>
  <c r="I72"/>
  <c r="H72"/>
  <c r="F70"/>
  <c r="H70" s="1"/>
  <c r="F69"/>
  <c r="I69" s="1"/>
  <c r="F68"/>
  <c r="H68" s="1"/>
  <c r="F67"/>
  <c r="I67" s="1"/>
  <c r="F66"/>
  <c r="H66" s="1"/>
  <c r="F65"/>
  <c r="I65" s="1"/>
  <c r="H64"/>
  <c r="H63"/>
  <c r="F61"/>
  <c r="H61" s="1"/>
  <c r="F59"/>
  <c r="H59" s="1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F34"/>
  <c r="I34" s="1"/>
  <c r="F33"/>
  <c r="I33" s="1"/>
  <c r="F32"/>
  <c r="H32" s="1"/>
  <c r="F31"/>
  <c r="I31" s="1"/>
  <c r="F28"/>
  <c r="H28" s="1"/>
  <c r="F27"/>
  <c r="I27" s="1"/>
  <c r="F26"/>
  <c r="H26" s="1"/>
  <c r="I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I17" s="1"/>
  <c r="F16"/>
  <c r="I16" s="1"/>
  <c r="I86" i="20"/>
  <c r="I85"/>
  <c r="H86"/>
  <c r="H85"/>
  <c r="I74"/>
  <c r="I25"/>
  <c r="I84"/>
  <c r="H84"/>
  <c r="F81"/>
  <c r="I81" s="1"/>
  <c r="F80"/>
  <c r="I80" s="1"/>
  <c r="H78"/>
  <c r="F76"/>
  <c r="H76" s="1"/>
  <c r="F75"/>
  <c r="H75" s="1"/>
  <c r="H74"/>
  <c r="I72"/>
  <c r="H72"/>
  <c r="F70"/>
  <c r="H70" s="1"/>
  <c r="F69"/>
  <c r="H69" s="1"/>
  <c r="F68"/>
  <c r="H68" s="1"/>
  <c r="F67"/>
  <c r="H67" s="1"/>
  <c r="F66"/>
  <c r="H66" s="1"/>
  <c r="F65"/>
  <c r="H65" s="1"/>
  <c r="H64"/>
  <c r="H63"/>
  <c r="F61"/>
  <c r="H61" s="1"/>
  <c r="F59"/>
  <c r="H59" s="1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F41"/>
  <c r="H41" s="1"/>
  <c r="F40"/>
  <c r="I40" s="1"/>
  <c r="F39"/>
  <c r="H39" s="1"/>
  <c r="F38"/>
  <c r="I38" s="1"/>
  <c r="I37"/>
  <c r="H37"/>
  <c r="H35"/>
  <c r="H34"/>
  <c r="F34"/>
  <c r="I34" s="1"/>
  <c r="F33"/>
  <c r="H33" s="1"/>
  <c r="F32"/>
  <c r="H32" s="1"/>
  <c r="F31"/>
  <c r="H31" s="1"/>
  <c r="F28"/>
  <c r="I28" s="1"/>
  <c r="F27"/>
  <c r="H27" s="1"/>
  <c r="F26"/>
  <c r="H26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8" i="19"/>
  <c r="I87"/>
  <c r="H88"/>
  <c r="H87"/>
  <c r="I86"/>
  <c r="H86"/>
  <c r="I85"/>
  <c r="H85"/>
  <c r="I72"/>
  <c r="I84"/>
  <c r="I89" s="1"/>
  <c r="H84"/>
  <c r="F81"/>
  <c r="H81" s="1"/>
  <c r="F80"/>
  <c r="I80" s="1"/>
  <c r="H78"/>
  <c r="F76"/>
  <c r="H76" s="1"/>
  <c r="F75"/>
  <c r="H75" s="1"/>
  <c r="I74"/>
  <c r="H74"/>
  <c r="H72"/>
  <c r="F70"/>
  <c r="H70" s="1"/>
  <c r="F69"/>
  <c r="H69" s="1"/>
  <c r="F68"/>
  <c r="H68" s="1"/>
  <c r="F67"/>
  <c r="H67" s="1"/>
  <c r="F66"/>
  <c r="H66" s="1"/>
  <c r="F65"/>
  <c r="H65" s="1"/>
  <c r="H64"/>
  <c r="H63"/>
  <c r="F61"/>
  <c r="H61" s="1"/>
  <c r="F59"/>
  <c r="H59" s="1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F40"/>
  <c r="I40" s="1"/>
  <c r="F39"/>
  <c r="H39" s="1"/>
  <c r="F38"/>
  <c r="I38" s="1"/>
  <c r="I37"/>
  <c r="H37"/>
  <c r="H35"/>
  <c r="H34"/>
  <c r="F34"/>
  <c r="F33"/>
  <c r="H33" s="1"/>
  <c r="F32"/>
  <c r="H32" s="1"/>
  <c r="F31"/>
  <c r="H31" s="1"/>
  <c r="H28"/>
  <c r="F28"/>
  <c r="I28" s="1"/>
  <c r="F27"/>
  <c r="H27" s="1"/>
  <c r="F26"/>
  <c r="H26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8" i="18"/>
  <c r="H89"/>
  <c r="F88"/>
  <c r="H88" s="1"/>
  <c r="I74"/>
  <c r="I52"/>
  <c r="I89"/>
  <c r="I84"/>
  <c r="H84"/>
  <c r="F81"/>
  <c r="I81" s="1"/>
  <c r="F80"/>
  <c r="I80" s="1"/>
  <c r="H78"/>
  <c r="F76"/>
  <c r="H76" s="1"/>
  <c r="F75"/>
  <c r="H75" s="1"/>
  <c r="H74"/>
  <c r="H72"/>
  <c r="F70"/>
  <c r="H70" s="1"/>
  <c r="F69"/>
  <c r="H69" s="1"/>
  <c r="F68"/>
  <c r="H68" s="1"/>
  <c r="F67"/>
  <c r="H67" s="1"/>
  <c r="F66"/>
  <c r="H66" s="1"/>
  <c r="F65"/>
  <c r="H65" s="1"/>
  <c r="H64"/>
  <c r="H63"/>
  <c r="F61"/>
  <c r="H61" s="1"/>
  <c r="F59"/>
  <c r="I59" s="1"/>
  <c r="F56"/>
  <c r="H5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F40"/>
  <c r="I40" s="1"/>
  <c r="F39"/>
  <c r="H39" s="1"/>
  <c r="F38"/>
  <c r="I38" s="1"/>
  <c r="I37"/>
  <c r="H37"/>
  <c r="H35"/>
  <c r="H34"/>
  <c r="F34"/>
  <c r="F33"/>
  <c r="H33" s="1"/>
  <c r="F32"/>
  <c r="H32" s="1"/>
  <c r="F31"/>
  <c r="H31" s="1"/>
  <c r="F28"/>
  <c r="I28" s="1"/>
  <c r="F27"/>
  <c r="H27" s="1"/>
  <c r="F26"/>
  <c r="H26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5" i="17"/>
  <c r="I88"/>
  <c r="I87"/>
  <c r="I86"/>
  <c r="H88"/>
  <c r="H87"/>
  <c r="H86"/>
  <c r="I84"/>
  <c r="I94" s="1"/>
  <c r="H85"/>
  <c r="I74"/>
  <c r="H84"/>
  <c r="F81"/>
  <c r="I81" s="1"/>
  <c r="F80"/>
  <c r="H80" s="1"/>
  <c r="H78"/>
  <c r="F76"/>
  <c r="H76" s="1"/>
  <c r="F75"/>
  <c r="H75" s="1"/>
  <c r="H74"/>
  <c r="H72"/>
  <c r="F70"/>
  <c r="H70" s="1"/>
  <c r="F69"/>
  <c r="H69" s="1"/>
  <c r="F68"/>
  <c r="H68" s="1"/>
  <c r="F67"/>
  <c r="H67" s="1"/>
  <c r="F66"/>
  <c r="H66" s="1"/>
  <c r="F65"/>
  <c r="H65" s="1"/>
  <c r="H64"/>
  <c r="H63"/>
  <c r="F61"/>
  <c r="H61" s="1"/>
  <c r="F59"/>
  <c r="H59" s="1"/>
  <c r="F56"/>
  <c r="I56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F34"/>
  <c r="F33"/>
  <c r="H33" s="1"/>
  <c r="F32"/>
  <c r="H32" s="1"/>
  <c r="F31"/>
  <c r="H31" s="1"/>
  <c r="F28"/>
  <c r="H28" s="1"/>
  <c r="F27"/>
  <c r="I27" s="1"/>
  <c r="F26"/>
  <c r="H26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I82" i="21" l="1"/>
  <c r="H38" i="19"/>
  <c r="I87" i="20"/>
  <c r="I90" i="18"/>
  <c r="H17" i="21"/>
  <c r="I88"/>
  <c r="H18"/>
  <c r="I18"/>
  <c r="H16"/>
  <c r="H19"/>
  <c r="I20"/>
  <c r="H21"/>
  <c r="I22"/>
  <c r="H23"/>
  <c r="I24"/>
  <c r="I26"/>
  <c r="H27"/>
  <c r="I28"/>
  <c r="H31"/>
  <c r="I32"/>
  <c r="H33"/>
  <c r="I38"/>
  <c r="H39"/>
  <c r="I40"/>
  <c r="H41"/>
  <c r="I44"/>
  <c r="H45"/>
  <c r="I46"/>
  <c r="H47"/>
  <c r="I48"/>
  <c r="H49"/>
  <c r="I50"/>
  <c r="H51"/>
  <c r="H56"/>
  <c r="I59"/>
  <c r="H65"/>
  <c r="I66"/>
  <c r="H67"/>
  <c r="I68"/>
  <c r="H69"/>
  <c r="I70"/>
  <c r="H81"/>
  <c r="I22" i="20"/>
  <c r="I23"/>
  <c r="I33"/>
  <c r="I47"/>
  <c r="I45"/>
  <c r="I65"/>
  <c r="I68"/>
  <c r="I66"/>
  <c r="H80"/>
  <c r="I19"/>
  <c r="I26"/>
  <c r="I24"/>
  <c r="I31"/>
  <c r="I32"/>
  <c r="I48"/>
  <c r="I46"/>
  <c r="I44"/>
  <c r="I69"/>
  <c r="I67"/>
  <c r="I70"/>
  <c r="H49"/>
  <c r="I18"/>
  <c r="H18"/>
  <c r="I16"/>
  <c r="H17"/>
  <c r="I20"/>
  <c r="H21"/>
  <c r="I27"/>
  <c r="H28"/>
  <c r="H38"/>
  <c r="I39"/>
  <c r="H40"/>
  <c r="I41"/>
  <c r="I50"/>
  <c r="H51"/>
  <c r="H56"/>
  <c r="I59"/>
  <c r="H81"/>
  <c r="I18" i="19"/>
  <c r="H18"/>
  <c r="I16"/>
  <c r="H17"/>
  <c r="I20"/>
  <c r="H21"/>
  <c r="I27"/>
  <c r="I39"/>
  <c r="H40"/>
  <c r="H49"/>
  <c r="I50"/>
  <c r="H51"/>
  <c r="H56"/>
  <c r="I59"/>
  <c r="H80"/>
  <c r="I81"/>
  <c r="H80" i="18"/>
  <c r="I50"/>
  <c r="I51"/>
  <c r="I18"/>
  <c r="H18"/>
  <c r="I16"/>
  <c r="H17"/>
  <c r="I20"/>
  <c r="H21"/>
  <c r="I27"/>
  <c r="H28"/>
  <c r="H38"/>
  <c r="I39"/>
  <c r="H40"/>
  <c r="H49"/>
  <c r="I56"/>
  <c r="H59"/>
  <c r="H81"/>
  <c r="H18" i="17"/>
  <c r="I18"/>
  <c r="H16"/>
  <c r="I17"/>
  <c r="I82" s="1"/>
  <c r="H20"/>
  <c r="I21"/>
  <c r="H27"/>
  <c r="I28"/>
  <c r="I38"/>
  <c r="H39"/>
  <c r="I40"/>
  <c r="H41"/>
  <c r="I49"/>
  <c r="H56"/>
  <c r="I59"/>
  <c r="I80"/>
  <c r="H81"/>
  <c r="I82" i="19" l="1"/>
  <c r="I96" i="17"/>
  <c r="I90" i="21"/>
  <c r="I82" i="20"/>
  <c r="I89" s="1"/>
  <c r="I91" i="19"/>
  <c r="I82" i="18"/>
  <c r="I92" s="1"/>
  <c r="I85" i="8" l="1"/>
  <c r="H85"/>
  <c r="I84"/>
  <c r="H84"/>
  <c r="I86" l="1"/>
  <c r="F81"/>
  <c r="H81" s="1"/>
  <c r="F80"/>
  <c r="H80" s="1"/>
  <c r="H78"/>
  <c r="H72"/>
  <c r="F76"/>
  <c r="H76" s="1"/>
  <c r="F75"/>
  <c r="H75" s="1"/>
  <c r="H74"/>
  <c r="F70"/>
  <c r="H70" s="1"/>
  <c r="F69"/>
  <c r="H69" s="1"/>
  <c r="F68"/>
  <c r="H68" s="1"/>
  <c r="F67"/>
  <c r="H67" s="1"/>
  <c r="F66"/>
  <c r="H66" s="1"/>
  <c r="F65"/>
  <c r="H65" s="1"/>
  <c r="H64"/>
  <c r="H63"/>
  <c r="F61"/>
  <c r="H61" s="1"/>
  <c r="F59"/>
  <c r="H59" s="1"/>
  <c r="F56"/>
  <c r="H56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I42"/>
  <c r="H42"/>
  <c r="F41"/>
  <c r="H41" s="1"/>
  <c r="F40"/>
  <c r="I40" s="1"/>
  <c r="F39"/>
  <c r="H39" s="1"/>
  <c r="F38"/>
  <c r="I38" s="1"/>
  <c r="I37"/>
  <c r="H37"/>
  <c r="H35"/>
  <c r="H34"/>
  <c r="F34"/>
  <c r="F33"/>
  <c r="H33" s="1"/>
  <c r="F32"/>
  <c r="H32" s="1"/>
  <c r="F31"/>
  <c r="H31" s="1"/>
  <c r="F28"/>
  <c r="H28" s="1"/>
  <c r="F27"/>
  <c r="H27" s="1"/>
  <c r="F26"/>
  <c r="H26" s="1"/>
  <c r="F24"/>
  <c r="H24" s="1"/>
  <c r="F23"/>
  <c r="H23" s="1"/>
  <c r="F22"/>
  <c r="H22" s="1"/>
  <c r="F21"/>
  <c r="I21" s="1"/>
  <c r="F20"/>
  <c r="I20" s="1"/>
  <c r="F19"/>
  <c r="H19" s="1"/>
  <c r="E18"/>
  <c r="F18" s="1"/>
  <c r="F17"/>
  <c r="I17" s="1"/>
  <c r="F16"/>
  <c r="I16" s="1"/>
  <c r="H38" l="1"/>
  <c r="H17"/>
  <c r="H40"/>
  <c r="H21"/>
  <c r="I81"/>
  <c r="I80"/>
  <c r="I59"/>
  <c r="I56"/>
  <c r="I49"/>
  <c r="I39"/>
  <c r="I41"/>
  <c r="I28"/>
  <c r="I27"/>
  <c r="H18"/>
  <c r="I18"/>
  <c r="H16"/>
  <c r="H20"/>
  <c r="I88" l="1"/>
</calcChain>
</file>

<file path=xl/sharedStrings.xml><?xml version="1.0" encoding="utf-8"?>
<sst xmlns="http://schemas.openxmlformats.org/spreadsheetml/2006/main" count="2550" uniqueCount="227">
  <si>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</si>
  <si>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</si>
  <si>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</si>
  <si>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</si>
  <si>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</si>
  <si>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</si>
  <si>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</si>
  <si>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</si>
  <si>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</si>
  <si>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</si>
  <si>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</si>
  <si>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</si>
  <si>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</si>
  <si>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</si>
  <si>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</si>
  <si>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</si>
  <si>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</si>
  <si>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</si>
  <si>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</si>
  <si>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</si>
  <si>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</si>
  <si>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</si>
  <si>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</si>
  <si>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</si>
  <si>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</si>
  <si>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</si>
  <si>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</si>
  <si>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</si>
  <si>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</si>
  <si>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</si>
  <si>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</si>
  <si>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</si>
  <si>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</si>
  <si>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</si>
  <si>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</si>
  <si>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</si>
  <si>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</si>
  <si>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</si>
  <si>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</si>
  <si>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</si>
  <si>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</si>
  <si>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</si>
  <si>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</si>
  <si>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</si>
  <si>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</si>
  <si>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</si>
  <si>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</si>
  <si>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</si>
  <si>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</si>
  <si>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</si>
  <si>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</si>
  <si>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</si>
  <si>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</si>
  <si>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</si>
  <si>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</si>
  <si>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</si>
  <si>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</si>
  <si>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</si>
  <si>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</si>
  <si>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</si>
  <si>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</si>
  <si>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</si>
  <si>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</si>
  <si>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</si>
  <si>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</si>
  <si>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</si>
  <si>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</si>
  <si>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</si>
  <si>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</si>
  <si>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</si>
  <si>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</si>
  <si>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70 раз за сезон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</si>
  <si>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</si>
  <si>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</si>
  <si>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</si>
  <si>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</si>
  <si>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</si>
  <si>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</si>
  <si>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</si>
  <si>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</si>
  <si>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</si>
  <si>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</si>
  <si>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</si>
  <si>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</si>
  <si>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</si>
  <si>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</si>
  <si>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</si>
  <si>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</si>
  <si>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</si>
  <si>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</si>
  <si>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 xml:space="preserve">ежедневно </t>
  </si>
  <si>
    <t>ООО «Жилсервис»</t>
  </si>
  <si>
    <t>Влажное подметание лестничных клеток 1 этажа</t>
  </si>
  <si>
    <t>Смена арматуры - вентилей и клапанов обратных муфтовых диаметром до 20 мм</t>
  </si>
  <si>
    <t>генеральный директор Куканов Ю.Л.</t>
  </si>
  <si>
    <t>шт</t>
  </si>
  <si>
    <t>Дератизация</t>
  </si>
  <si>
    <t>Прочистка засоров ГВС, XВC</t>
  </si>
  <si>
    <t>3м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</si>
  <si>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</si>
  <si>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</si>
  <si>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Влажная протирка перил</t>
  </si>
  <si>
    <t>100м2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</si>
  <si>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</si>
  <si>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</si>
  <si>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</si>
  <si>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</si>
  <si>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Снятие показаний эл.счетчика коммунального назначения</t>
  </si>
  <si>
    <t>1 шт</t>
  </si>
  <si>
    <t>Влажная протирка почтовых ящиков</t>
  </si>
  <si>
    <t>Влажная протирка шкафов для щитов и слаботочных устройств</t>
  </si>
  <si>
    <t>Влажное подметание лестничных клеток 2-5 этажа</t>
  </si>
  <si>
    <t>Мытье лестничных  площадок и маршей 1-5 этаж.</t>
  </si>
  <si>
    <t>Устройство хомута диаметром до 50 мм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</si>
  <si>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</si>
  <si>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</si>
  <si>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</si>
  <si>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</si>
  <si>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</si>
  <si>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155 раз за сезон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</si>
  <si>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</si>
  <si>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</si>
  <si>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</si>
  <si>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</si>
  <si>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</si>
  <si>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</si>
  <si>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</si>
  <si>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</si>
  <si>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</si>
  <si>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</si>
  <si>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</si>
  <si>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</si>
  <si>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 xml:space="preserve"> 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</si>
  <si>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</si>
  <si>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</si>
  <si>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№5 по ул.Мира пгт.Ярега
</t>
  </si>
  <si>
    <t>Мытье окон</t>
  </si>
  <si>
    <t>10м2</t>
  </si>
  <si>
    <t xml:space="preserve">1 раз в год     </t>
  </si>
  <si>
    <t xml:space="preserve">1 раз в год    </t>
  </si>
  <si>
    <t>156 раз в год</t>
  </si>
  <si>
    <t>104 раза в год</t>
  </si>
  <si>
    <t xml:space="preserve">24 раза в год </t>
  </si>
  <si>
    <t>30 раз за сезон</t>
  </si>
  <si>
    <t>12 раз в год</t>
  </si>
  <si>
    <t>Лестничная клетка</t>
  </si>
  <si>
    <t>Установка пружин на входных дверях</t>
  </si>
  <si>
    <t>Смена плавкой вставки в электрощитке</t>
  </si>
  <si>
    <t>Замена ламп ДРЛ</t>
  </si>
  <si>
    <t>АКТ №1</t>
  </si>
  <si>
    <t>за период с 01.01.2017 г. по 31.01.2017 г.</t>
  </si>
  <si>
    <t>III. Проведение технических осмотров и мелкий ремонт</t>
  </si>
  <si>
    <t>IV. Содержание общего имущества МКД</t>
  </si>
  <si>
    <t>V. Прочие услуги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</si>
  <si>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</si>
  <si>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</si>
  <si>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Смена прокладок без снятия оборудования с места</t>
  </si>
  <si>
    <t>Итого затраты за месяц</t>
  </si>
  <si>
    <t>АКТ №2</t>
  </si>
  <si>
    <t>за период с 01.02.2017 г. по 28.02.2017 г.</t>
  </si>
  <si>
    <t>Смена трубопроводов на полипропиленовые трубы PN25 диаметром 20мм</t>
  </si>
  <si>
    <t>Смена трубопроводов на полипропиленовые трубы PN25 диаметром 25мм</t>
  </si>
  <si>
    <t>Смена арматуры - вентилей и клапанов обратных муфтовых диаметром до 32 мм</t>
  </si>
  <si>
    <t>АКТ №3</t>
  </si>
  <si>
    <t>за период с 01.03.2017 г. по 31.03.2017 г.</t>
  </si>
  <si>
    <t xml:space="preserve">Смена сгонов у трубопроводов диаметром до 20 мм </t>
  </si>
  <si>
    <t>1 сгон</t>
  </si>
  <si>
    <t>Работа автовышки</t>
  </si>
  <si>
    <t>маш/час</t>
  </si>
  <si>
    <t>АКТ №4</t>
  </si>
  <si>
    <t>за период с 01.04.2017 г. по 30.04.2017 г.</t>
  </si>
  <si>
    <t>III. Содержание общего имущества МКД</t>
  </si>
  <si>
    <t>IV. Прочие услуги</t>
  </si>
  <si>
    <t>2. Всего за период с 01.04.2017 по 30.04.2017 выполнено работ (оказано услуг) на общую сумму: 65970,76 руб.</t>
  </si>
  <si>
    <t>(шестьдесят пять тысяч девятьсот семьдесят рублей 76 копеек)</t>
  </si>
  <si>
    <t>АКТ №5</t>
  </si>
  <si>
    <t>за период с 01.05.2017 г. по 31.05.2017 г.</t>
  </si>
  <si>
    <t>2. Всего за период с 01.05.2017 по 31.05.2017 выполнено работ (оказано услуг) на общую сумму: 103737,18 руб.</t>
  </si>
  <si>
    <t>(сто три тысячи семьсот тридцать семь рублей 18 копеек)</t>
  </si>
  <si>
    <t>АКТ №6</t>
  </si>
  <si>
    <t>за период с 01.06.2017 г. по 30.06.2017 г.</t>
  </si>
  <si>
    <t xml:space="preserve">Смена сгонов у трубопроводов диаметром до 32 мм </t>
  </si>
  <si>
    <t>2. Всего за период с 01.06.2017 по 30.06.2017 выполнено работ (оказано услуг) на общую сумму: 45061,51 руб.</t>
  </si>
  <si>
    <t>(сорок пять тысяч шестьдесят один рубль 51 копейка)</t>
  </si>
  <si>
    <t>АКТ №7</t>
  </si>
  <si>
    <t>за период с 01.07.2017 г. по 31.07.2017 г.</t>
  </si>
  <si>
    <t xml:space="preserve">Герметизация стыков трубопроводов    </t>
  </si>
  <si>
    <t>1 место</t>
  </si>
  <si>
    <t>2. Всего за период с 01.07.2017 по 31.07.2017 выполнено работ (оказано услуг) на общую сумму: 36617,36 руб.</t>
  </si>
  <si>
    <t>(тридцать шесть тысяч шестьсот семнадцать рублей 36 копеек)</t>
  </si>
  <si>
    <t>АКТ №8</t>
  </si>
  <si>
    <t>за период с 01.08.2017 г. по 31.08.2017 г.</t>
  </si>
  <si>
    <t>2. Всего за период с 01.08.2017 по 31.08.2017 выполнено работ (оказано услуг) на общую сумму: 36117,68 руб.</t>
  </si>
  <si>
    <t>(тридцать шесть тысяч сто семнадцать рублей 68 копеек)</t>
  </si>
  <si>
    <t>АКТ №9</t>
  </si>
  <si>
    <t>Внеплановый осмотр элекгросетей, арматуры и электрооборудования на чердаках и подвалах</t>
  </si>
  <si>
    <t>2. Всего за период с 01.09.2017 по 30.09.2017 выполнено работ (оказано услуг) на общую сумму: 43906,14 руб.</t>
  </si>
  <si>
    <t>(сорок три тысячи девятьсот шесть рублей 14 копеек)</t>
  </si>
  <si>
    <t>АКТ №10</t>
  </si>
  <si>
    <t>за период с 01.10.2017 г. по 31.10.2017 г.</t>
  </si>
  <si>
    <t>за период с 01.09.2017 г. по 30.09.2017 г.</t>
  </si>
  <si>
    <r>
      <t xml:space="preserve">    Собственники   помещений   в  многоквартирном  доме,  расположенном  по  адресу:  пгт.Ярега,  ул.Мира,  д.5,  именуемые  в  дальнейшем 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14.05.2013г. стороны, и ООО «Жилсервис»,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</si>
  <si>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  Исполнителем   предъявлены   к   приемке   следующие   оказанные   на   основании   Договора   на   содержание   и   ремонт   многоквартирного   дома 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ул.Мира, д.5</t>
    </r>
  </si>
  <si>
    <t>Заделка "шахты" после работ ВДИС</t>
  </si>
  <si>
    <t>2. Всего за период с 01.10.2017 по 31.10.2017 выполнено работ (оказано услуг) на общую сумму: 48989,67 руб.</t>
  </si>
  <si>
    <t>(сорок восемь тысяч девятьсот восемьдесят девять рублей 67 копеек)</t>
  </si>
  <si>
    <t>АКТ №11</t>
  </si>
  <si>
    <t>за период с 01.11.2017 г. по 30.11.2017 г.</t>
  </si>
  <si>
    <t>Ремонт штукатурки внутренних стен по камню и бетону цементно-известковым раствором площадью до 1 м2 толщиной слоя до 20 мм</t>
  </si>
  <si>
    <t>10 м2</t>
  </si>
  <si>
    <t>АКТ №12</t>
  </si>
  <si>
    <t>за период с 01.12.2017 г. по 31.12.2017 г.</t>
  </si>
  <si>
    <t>Утепление продухов</t>
  </si>
  <si>
    <t>2. Всего за период с 01.01.2017 по 31.01.2017 выполнено работ (оказано услуг) на общую сумму: 58144,20 руб.</t>
  </si>
  <si>
    <t>(пятьдесят восемь тысяч сто сорок четыре рубля 20 копеек)</t>
  </si>
  <si>
    <t>Утепление вент.коробов минеральной ватой (II и III под., Iпод.)</t>
  </si>
  <si>
    <t>1 м3</t>
  </si>
  <si>
    <t>Устройство изоляции вент.коробов рулонными материалами (II и III под., Iпод.)</t>
  </si>
  <si>
    <t>2. Всего за период с 01.02.2017 по 28.02.2017 выполнено работ (оказано услуг) на общую сумму: 75683,20 руб.</t>
  </si>
  <si>
    <t>(семьдесят пять тысяч шестьсот восемьдесят три рубля 20 копеек)</t>
  </si>
  <si>
    <t>15 раз за сезон</t>
  </si>
  <si>
    <t>2. Всего за период с 01.03.2017 по 31.03.2017 выполнено работ (оказано услуг) на общую сумму: 66595,44 руб.</t>
  </si>
  <si>
    <t>(шестьдесят шесть тысяч пятьсот девяносто пять рублей 44 копейки)</t>
  </si>
  <si>
    <t>2. Всего за период с 01.11.2017 по 30.11.2017 выполнено работ (оказано услуг) на общую сумму: 54772,26 руб.</t>
  </si>
  <si>
    <t>(пятьдесят четыре тысячи семьсот семьдесят два рубля 26 копеек)</t>
  </si>
  <si>
    <t>2. Всего за период с 01.12.2017 по 31.12.2017 выполнено работ (оказано услуг) на общую сумму: 55815,85 руб.</t>
  </si>
  <si>
    <t>(пятьдесят пять тысяч восемьсот пятнадцать рублей 85 копеек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</si>
</sst>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6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1" fillId="2" borderId="10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 applyProtection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4" fontId="11" fillId="2" borderId="6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4" fontId="11" fillId="3" borderId="3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91</v>
      </c>
      <c r="I1" s="28"/>
      <c r="J1" s="1"/>
      <c r="K1" s="1"/>
      <c r="L1" s="1"/>
      <c r="M1" s="1"/>
    </row>
    <row r="2" spans="1:13" ht="15.75" customHeight="1">
      <c r="A2" s="30" t="s">
        <v>64</v>
      </c>
      <c r="J2" s="2"/>
      <c r="K2" s="2"/>
      <c r="L2" s="2"/>
      <c r="M2" s="2"/>
    </row>
    <row r="3" spans="1:13" ht="15.75" customHeight="1">
      <c r="A3" s="143" t="s">
        <v>149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135</v>
      </c>
      <c r="B4" s="144"/>
      <c r="C4" s="144"/>
      <c r="D4" s="144"/>
      <c r="E4" s="144"/>
      <c r="F4" s="144"/>
      <c r="G4" s="144"/>
      <c r="H4" s="144"/>
      <c r="I4" s="144"/>
    </row>
    <row r="5" spans="1:13" ht="15.75" customHeight="1">
      <c r="A5" s="143" t="s">
        <v>150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 customHeight="1">
      <c r="A6" s="2"/>
      <c r="B6" s="60"/>
      <c r="C6" s="60"/>
      <c r="D6" s="60"/>
      <c r="E6" s="60"/>
      <c r="F6" s="76"/>
      <c r="G6" s="60"/>
      <c r="H6" s="76"/>
      <c r="I6" s="32">
        <v>42766</v>
      </c>
      <c r="J6" s="2"/>
      <c r="K6" s="2"/>
      <c r="L6" s="2"/>
      <c r="M6" s="2"/>
    </row>
    <row r="7" spans="1:13" ht="15.75" customHeight="1">
      <c r="B7" s="57"/>
      <c r="C7" s="57"/>
      <c r="D7" s="57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45" t="s">
        <v>201</v>
      </c>
      <c r="B8" s="145"/>
      <c r="C8" s="145"/>
      <c r="D8" s="145"/>
      <c r="E8" s="145"/>
      <c r="F8" s="145"/>
      <c r="G8" s="145"/>
      <c r="H8" s="145"/>
      <c r="I8" s="145"/>
      <c r="J8" s="61"/>
      <c r="K8" s="61"/>
      <c r="L8" s="61"/>
      <c r="M8" s="61"/>
    </row>
    <row r="9" spans="1:13" ht="15.75">
      <c r="A9" s="4"/>
      <c r="J9" s="2"/>
      <c r="K9" s="2"/>
      <c r="L9" s="2"/>
      <c r="M9" s="2"/>
    </row>
    <row r="10" spans="1:13" ht="47.25" customHeight="1">
      <c r="A10" s="146" t="s">
        <v>202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8" t="s">
        <v>61</v>
      </c>
      <c r="B14" s="148"/>
      <c r="C14" s="148"/>
      <c r="D14" s="148"/>
      <c r="E14" s="148"/>
      <c r="F14" s="148"/>
      <c r="G14" s="148"/>
      <c r="H14" s="148"/>
      <c r="I14" s="148"/>
      <c r="J14" s="8"/>
      <c r="K14" s="8"/>
      <c r="L14" s="8"/>
      <c r="M14" s="8"/>
    </row>
    <row r="15" spans="1:13" ht="15.75" customHeight="1">
      <c r="A15" s="149" t="s">
        <v>4</v>
      </c>
      <c r="B15" s="149"/>
      <c r="C15" s="149"/>
      <c r="D15" s="149"/>
      <c r="E15" s="149"/>
      <c r="F15" s="149"/>
      <c r="G15" s="149"/>
      <c r="H15" s="149"/>
      <c r="I15" s="149"/>
      <c r="J15" s="8"/>
      <c r="K15" s="8"/>
      <c r="L15" s="8"/>
      <c r="M15" s="8"/>
    </row>
    <row r="16" spans="1:13" ht="15.75" customHeight="1">
      <c r="A16" s="31">
        <v>1</v>
      </c>
      <c r="B16" s="93" t="s">
        <v>92</v>
      </c>
      <c r="C16" s="94" t="s">
        <v>102</v>
      </c>
      <c r="D16" s="93" t="s">
        <v>140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8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111</v>
      </c>
      <c r="C17" s="94" t="s">
        <v>102</v>
      </c>
      <c r="D17" s="93" t="s">
        <v>141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112</v>
      </c>
      <c r="C18" s="94" t="s">
        <v>102</v>
      </c>
      <c r="D18" s="93" t="s">
        <v>142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3" t="s">
        <v>136</v>
      </c>
      <c r="C19" s="94" t="s">
        <v>137</v>
      </c>
      <c r="D19" s="93" t="s">
        <v>138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v>0</v>
      </c>
      <c r="J19" s="8"/>
      <c r="K19" s="8"/>
      <c r="L19" s="8"/>
      <c r="M19" s="8"/>
    </row>
    <row r="20" spans="1:13" ht="15.75" customHeight="1">
      <c r="A20" s="31">
        <v>4</v>
      </c>
      <c r="B20" s="93" t="s">
        <v>101</v>
      </c>
      <c r="C20" s="94" t="s">
        <v>102</v>
      </c>
      <c r="D20" s="93" t="s">
        <v>30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3" t="s">
        <v>109</v>
      </c>
      <c r="C21" s="94" t="s">
        <v>102</v>
      </c>
      <c r="D21" s="93" t="s">
        <v>30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3" t="s">
        <v>103</v>
      </c>
      <c r="C22" s="94" t="s">
        <v>54</v>
      </c>
      <c r="D22" s="93" t="s">
        <v>138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v>0</v>
      </c>
      <c r="J22" s="8"/>
      <c r="K22" s="8"/>
      <c r="L22" s="8"/>
      <c r="M22" s="8"/>
    </row>
    <row r="23" spans="1:13" ht="15.75" hidden="1" customHeight="1">
      <c r="A23" s="31">
        <v>8</v>
      </c>
      <c r="B23" s="93" t="s">
        <v>104</v>
      </c>
      <c r="C23" s="94" t="s">
        <v>54</v>
      </c>
      <c r="D23" s="93" t="s">
        <v>138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v>0</v>
      </c>
      <c r="J23" s="8"/>
      <c r="K23" s="8"/>
      <c r="L23" s="8"/>
      <c r="M23" s="8"/>
    </row>
    <row r="24" spans="1:13" ht="15.75" hidden="1" customHeight="1">
      <c r="A24" s="31">
        <v>9</v>
      </c>
      <c r="B24" s="93" t="s">
        <v>105</v>
      </c>
      <c r="C24" s="94" t="s">
        <v>54</v>
      </c>
      <c r="D24" s="93" t="s">
        <v>139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v>0</v>
      </c>
      <c r="J24" s="8"/>
      <c r="K24" s="8"/>
      <c r="L24" s="8"/>
      <c r="M24" s="8"/>
    </row>
    <row r="25" spans="1:13" ht="15.75" hidden="1" customHeight="1">
      <c r="A25" s="31">
        <v>10</v>
      </c>
      <c r="B25" s="93" t="s">
        <v>110</v>
      </c>
      <c r="C25" s="94" t="s">
        <v>102</v>
      </c>
      <c r="D25" s="93" t="s">
        <v>55</v>
      </c>
      <c r="E25" s="95">
        <v>14.25</v>
      </c>
      <c r="F25" s="96">
        <v>0.1</v>
      </c>
      <c r="G25" s="96">
        <v>216.12</v>
      </c>
      <c r="H25" s="97">
        <v>3.1E-2</v>
      </c>
      <c r="I25" s="13">
        <v>0</v>
      </c>
      <c r="J25" s="8"/>
      <c r="K25" s="8"/>
      <c r="L25" s="8"/>
      <c r="M25" s="8"/>
    </row>
    <row r="26" spans="1:13" ht="15.75" hidden="1" customHeight="1">
      <c r="A26" s="31">
        <v>11</v>
      </c>
      <c r="B26" s="93" t="s">
        <v>106</v>
      </c>
      <c r="C26" s="94" t="s">
        <v>54</v>
      </c>
      <c r="D26" s="93" t="s">
        <v>138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v>0</v>
      </c>
      <c r="J26" s="8"/>
      <c r="K26" s="8"/>
      <c r="L26" s="8"/>
      <c r="M26" s="8"/>
    </row>
    <row r="27" spans="1:13" ht="15.75" customHeight="1">
      <c r="A27" s="31">
        <v>6</v>
      </c>
      <c r="B27" s="93" t="s">
        <v>66</v>
      </c>
      <c r="C27" s="94" t="s">
        <v>33</v>
      </c>
      <c r="D27" s="34" t="s">
        <v>90</v>
      </c>
      <c r="E27" s="95">
        <v>0.1</v>
      </c>
      <c r="F27" s="96">
        <f>SUM(E27*365)</f>
        <v>36.5</v>
      </c>
      <c r="G27" s="96">
        <v>147.03</v>
      </c>
      <c r="H27" s="97">
        <f t="shared" si="0"/>
        <v>5.3665950000000002</v>
      </c>
      <c r="I27" s="13">
        <f>F27/12*G27</f>
        <v>447.21625</v>
      </c>
      <c r="J27" s="8"/>
      <c r="K27" s="8"/>
      <c r="L27" s="8"/>
      <c r="M27" s="8"/>
    </row>
    <row r="28" spans="1:13" ht="15.75" customHeight="1">
      <c r="A28" s="31">
        <v>7</v>
      </c>
      <c r="B28" s="99" t="s">
        <v>23</v>
      </c>
      <c r="C28" s="94" t="s">
        <v>24</v>
      </c>
      <c r="D28" s="34" t="s">
        <v>90</v>
      </c>
      <c r="E28" s="95">
        <v>2581.1999999999998</v>
      </c>
      <c r="F28" s="96">
        <f>SUM(E28*12)</f>
        <v>30974.399999999998</v>
      </c>
      <c r="G28" s="96">
        <v>4.8099999999999996</v>
      </c>
      <c r="H28" s="97">
        <f t="shared" si="0"/>
        <v>148.98686399999997</v>
      </c>
      <c r="I28" s="13">
        <f>F28/12*G28</f>
        <v>12415.571999999998</v>
      </c>
      <c r="J28" s="24"/>
      <c r="K28" s="8"/>
      <c r="L28" s="8"/>
      <c r="M28" s="8"/>
    </row>
    <row r="29" spans="1:13" ht="15.75" customHeight="1">
      <c r="A29" s="149" t="s">
        <v>89</v>
      </c>
      <c r="B29" s="149"/>
      <c r="C29" s="149"/>
      <c r="D29" s="149"/>
      <c r="E29" s="149"/>
      <c r="F29" s="149"/>
      <c r="G29" s="149"/>
      <c r="H29" s="149"/>
      <c r="I29" s="149"/>
      <c r="J29" s="24"/>
      <c r="K29" s="8"/>
      <c r="L29" s="8"/>
      <c r="M29" s="8"/>
    </row>
    <row r="30" spans="1:13" ht="15.75" hidden="1" customHeight="1">
      <c r="A30" s="41"/>
      <c r="B30" s="51" t="s">
        <v>28</v>
      </c>
      <c r="C30" s="51"/>
      <c r="D30" s="51"/>
      <c r="E30" s="51"/>
      <c r="F30" s="51"/>
      <c r="G30" s="51"/>
      <c r="H30" s="51"/>
      <c r="I30" s="19"/>
      <c r="J30" s="24"/>
      <c r="K30" s="8"/>
      <c r="L30" s="8"/>
      <c r="M30" s="8"/>
    </row>
    <row r="31" spans="1:13" ht="15.75" hidden="1" customHeight="1">
      <c r="A31" s="41">
        <v>2</v>
      </c>
      <c r="B31" s="93" t="s">
        <v>114</v>
      </c>
      <c r="C31" s="94" t="s">
        <v>115</v>
      </c>
      <c r="D31" s="93" t="s">
        <v>116</v>
      </c>
      <c r="E31" s="96">
        <v>1167.4000000000001</v>
      </c>
      <c r="F31" s="96">
        <f>SUM(E31*52/1000)</f>
        <v>60.704800000000006</v>
      </c>
      <c r="G31" s="96">
        <v>155.88999999999999</v>
      </c>
      <c r="H31" s="97">
        <f t="shared" ref="H31:H33" si="1">SUM(F31*G31/1000)</f>
        <v>9.4632712720000001</v>
      </c>
      <c r="I31" s="13">
        <v>0</v>
      </c>
      <c r="J31" s="24"/>
      <c r="K31" s="8"/>
      <c r="L31" s="8"/>
      <c r="M31" s="8"/>
    </row>
    <row r="32" spans="1:13" ht="31.5" hidden="1" customHeight="1">
      <c r="A32" s="41">
        <v>3</v>
      </c>
      <c r="B32" s="93" t="s">
        <v>154</v>
      </c>
      <c r="C32" s="94" t="s">
        <v>115</v>
      </c>
      <c r="D32" s="93" t="s">
        <v>117</v>
      </c>
      <c r="E32" s="96">
        <v>540.04999999999995</v>
      </c>
      <c r="F32" s="96">
        <f>SUM(E32*78/1000)</f>
        <v>42.123899999999992</v>
      </c>
      <c r="G32" s="96">
        <v>258.63</v>
      </c>
      <c r="H32" s="97">
        <f t="shared" si="1"/>
        <v>10.894504256999998</v>
      </c>
      <c r="I32" s="13">
        <v>0</v>
      </c>
      <c r="J32" s="24"/>
      <c r="K32" s="8"/>
      <c r="L32" s="8"/>
      <c r="M32" s="8"/>
    </row>
    <row r="33" spans="1:13" ht="15.75" hidden="1" customHeight="1">
      <c r="A33" s="41">
        <v>4</v>
      </c>
      <c r="B33" s="93" t="s">
        <v>27</v>
      </c>
      <c r="C33" s="94" t="s">
        <v>115</v>
      </c>
      <c r="D33" s="93" t="s">
        <v>55</v>
      </c>
      <c r="E33" s="96">
        <v>1167.4000000000001</v>
      </c>
      <c r="F33" s="96">
        <f>SUM(E33/1000)</f>
        <v>1.1674</v>
      </c>
      <c r="G33" s="96">
        <v>3020.33</v>
      </c>
      <c r="H33" s="97">
        <f t="shared" si="1"/>
        <v>3.5259332420000002</v>
      </c>
      <c r="I33" s="13">
        <v>0</v>
      </c>
      <c r="J33" s="24"/>
      <c r="K33" s="8"/>
      <c r="L33" s="8"/>
      <c r="M33" s="8"/>
    </row>
    <row r="34" spans="1:13" ht="15.75" hidden="1" customHeight="1">
      <c r="A34" s="41">
        <v>5</v>
      </c>
      <c r="B34" s="93" t="s">
        <v>118</v>
      </c>
      <c r="C34" s="94" t="s">
        <v>31</v>
      </c>
      <c r="D34" s="93" t="s">
        <v>65</v>
      </c>
      <c r="E34" s="100">
        <v>0.33333333333333331</v>
      </c>
      <c r="F34" s="96">
        <f>155/3</f>
        <v>51.666666666666664</v>
      </c>
      <c r="G34" s="96">
        <v>56.69</v>
      </c>
      <c r="H34" s="97">
        <f>SUM(G34*155/3/1000)</f>
        <v>2.9289833333333331</v>
      </c>
      <c r="I34" s="13">
        <v>0</v>
      </c>
      <c r="J34" s="24"/>
      <c r="K34" s="8"/>
      <c r="L34" s="8"/>
      <c r="M34" s="8"/>
    </row>
    <row r="35" spans="1:13" ht="15.75" hidden="1" customHeight="1">
      <c r="A35" s="41">
        <v>4</v>
      </c>
      <c r="B35" s="93" t="s">
        <v>67</v>
      </c>
      <c r="C35" s="94" t="s">
        <v>33</v>
      </c>
      <c r="D35" s="93" t="s">
        <v>68</v>
      </c>
      <c r="E35" s="95"/>
      <c r="F35" s="96">
        <v>3</v>
      </c>
      <c r="G35" s="96">
        <v>191.32</v>
      </c>
      <c r="H35" s="97">
        <f t="shared" ref="H35" si="2">SUM(F35*G35/1000)</f>
        <v>0.57396000000000003</v>
      </c>
      <c r="I35" s="13">
        <v>0</v>
      </c>
      <c r="J35" s="24"/>
      <c r="K35" s="8"/>
      <c r="L35" s="8"/>
      <c r="M35" s="8"/>
    </row>
    <row r="36" spans="1:13" ht="15.75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9"/>
      <c r="J36" s="24"/>
      <c r="K36" s="8"/>
      <c r="L36" s="8"/>
      <c r="M36" s="8"/>
    </row>
    <row r="37" spans="1:13" ht="15.75" customHeight="1">
      <c r="A37" s="41">
        <v>8</v>
      </c>
      <c r="B37" s="93" t="s">
        <v>26</v>
      </c>
      <c r="C37" s="94" t="s">
        <v>32</v>
      </c>
      <c r="D37" s="93"/>
      <c r="E37" s="95"/>
      <c r="F37" s="96">
        <v>6</v>
      </c>
      <c r="G37" s="96">
        <v>1527.2</v>
      </c>
      <c r="H37" s="97">
        <f t="shared" ref="H37:H42" si="3">SUM(F37*G37/1000)</f>
        <v>9.1632000000000016</v>
      </c>
      <c r="I37" s="13">
        <f t="shared" ref="I37:I42" si="4">F37/6*G37</f>
        <v>1527.2</v>
      </c>
      <c r="J37" s="24"/>
      <c r="K37" s="8"/>
      <c r="L37" s="8"/>
      <c r="M37" s="8"/>
    </row>
    <row r="38" spans="1:13" ht="15.75" customHeight="1">
      <c r="A38" s="35">
        <v>9</v>
      </c>
      <c r="B38" s="93" t="s">
        <v>69</v>
      </c>
      <c r="C38" s="94" t="s">
        <v>29</v>
      </c>
      <c r="D38" s="93" t="s">
        <v>143</v>
      </c>
      <c r="E38" s="96">
        <v>1080.0999999999999</v>
      </c>
      <c r="F38" s="96">
        <f>SUM(E38*30/1000)</f>
        <v>32.402999999999999</v>
      </c>
      <c r="G38" s="96">
        <v>2102.6999999999998</v>
      </c>
      <c r="H38" s="97">
        <f t="shared" si="3"/>
        <v>68.13378809999999</v>
      </c>
      <c r="I38" s="13">
        <f t="shared" si="4"/>
        <v>11355.63135</v>
      </c>
      <c r="J38" s="24"/>
      <c r="K38" s="8"/>
      <c r="L38" s="8"/>
      <c r="M38" s="8"/>
    </row>
    <row r="39" spans="1:13" ht="15.75" customHeight="1">
      <c r="A39" s="35">
        <v>10</v>
      </c>
      <c r="B39" s="93" t="s">
        <v>70</v>
      </c>
      <c r="C39" s="94" t="s">
        <v>29</v>
      </c>
      <c r="D39" s="93" t="s">
        <v>119</v>
      </c>
      <c r="E39" s="96">
        <v>45</v>
      </c>
      <c r="F39" s="96">
        <f>SUM(E39*155/1000)</f>
        <v>6.9749999999999996</v>
      </c>
      <c r="G39" s="96">
        <v>350.75</v>
      </c>
      <c r="H39" s="97">
        <f t="shared" si="3"/>
        <v>2.4464812499999997</v>
      </c>
      <c r="I39" s="13">
        <f t="shared" si="4"/>
        <v>407.74687499999993</v>
      </c>
      <c r="J39" s="24"/>
      <c r="K39" s="8"/>
      <c r="L39" s="8"/>
      <c r="M39" s="8"/>
    </row>
    <row r="40" spans="1:13" ht="47.25" customHeight="1">
      <c r="A40" s="35">
        <v>11</v>
      </c>
      <c r="B40" s="93" t="s">
        <v>87</v>
      </c>
      <c r="C40" s="94" t="s">
        <v>115</v>
      </c>
      <c r="D40" s="93" t="s">
        <v>71</v>
      </c>
      <c r="E40" s="96">
        <v>45</v>
      </c>
      <c r="F40" s="96">
        <f>SUM(E40*70/1000)</f>
        <v>3.15</v>
      </c>
      <c r="G40" s="96">
        <v>5803.28</v>
      </c>
      <c r="H40" s="97">
        <f t="shared" si="3"/>
        <v>18.280331999999998</v>
      </c>
      <c r="I40" s="13">
        <f t="shared" si="4"/>
        <v>3046.7220000000002</v>
      </c>
      <c r="J40" s="24"/>
      <c r="K40" s="8"/>
      <c r="L40" s="8"/>
      <c r="M40" s="8"/>
    </row>
    <row r="41" spans="1:13" ht="15.75" hidden="1" customHeight="1">
      <c r="A41" s="35">
        <v>12</v>
      </c>
      <c r="B41" s="93" t="s">
        <v>120</v>
      </c>
      <c r="C41" s="94" t="s">
        <v>115</v>
      </c>
      <c r="D41" s="93" t="s">
        <v>72</v>
      </c>
      <c r="E41" s="96">
        <v>45</v>
      </c>
      <c r="F41" s="96">
        <f>SUM(E41*45/1000)</f>
        <v>2.0249999999999999</v>
      </c>
      <c r="G41" s="96">
        <v>428.7</v>
      </c>
      <c r="H41" s="97">
        <f t="shared" si="3"/>
        <v>0.86811749999999999</v>
      </c>
      <c r="I41" s="13">
        <f t="shared" si="4"/>
        <v>144.68624999999997</v>
      </c>
      <c r="J41" s="24"/>
      <c r="K41" s="8"/>
      <c r="L41" s="8"/>
      <c r="M41" s="8"/>
    </row>
    <row r="42" spans="1:13" ht="15.75" customHeight="1">
      <c r="A42" s="35">
        <v>12</v>
      </c>
      <c r="B42" s="93" t="s">
        <v>73</v>
      </c>
      <c r="C42" s="94" t="s">
        <v>33</v>
      </c>
      <c r="D42" s="93"/>
      <c r="E42" s="95"/>
      <c r="F42" s="96">
        <v>0.6</v>
      </c>
      <c r="G42" s="96">
        <v>798</v>
      </c>
      <c r="H42" s="97">
        <f t="shared" si="3"/>
        <v>0.47879999999999995</v>
      </c>
      <c r="I42" s="13">
        <f t="shared" si="4"/>
        <v>79.8</v>
      </c>
      <c r="J42" s="24"/>
      <c r="K42" s="8"/>
      <c r="L42" s="8"/>
      <c r="M42" s="8"/>
    </row>
    <row r="43" spans="1:13" ht="15.75" customHeight="1">
      <c r="A43" s="150" t="s">
        <v>151</v>
      </c>
      <c r="B43" s="151"/>
      <c r="C43" s="151"/>
      <c r="D43" s="151"/>
      <c r="E43" s="151"/>
      <c r="F43" s="151"/>
      <c r="G43" s="151"/>
      <c r="H43" s="151"/>
      <c r="I43" s="152"/>
      <c r="J43" s="24"/>
      <c r="K43" s="8"/>
      <c r="L43" s="8"/>
      <c r="M43" s="8"/>
    </row>
    <row r="44" spans="1:13" ht="15.75" hidden="1" customHeight="1">
      <c r="A44" s="41">
        <v>15</v>
      </c>
      <c r="B44" s="93" t="s">
        <v>121</v>
      </c>
      <c r="C44" s="94" t="s">
        <v>115</v>
      </c>
      <c r="D44" s="93" t="s">
        <v>43</v>
      </c>
      <c r="E44" s="95">
        <v>965.8</v>
      </c>
      <c r="F44" s="96">
        <f>SUM(E44*2/1000)</f>
        <v>1.9316</v>
      </c>
      <c r="G44" s="13">
        <v>849.49</v>
      </c>
      <c r="H44" s="97">
        <f t="shared" ref="H44:H53" si="5">SUM(F44*G44/1000)</f>
        <v>1.640874884</v>
      </c>
      <c r="I44" s="13">
        <v>0</v>
      </c>
      <c r="J44" s="24"/>
      <c r="K44" s="8"/>
    </row>
    <row r="45" spans="1:13" ht="15.75" hidden="1" customHeight="1">
      <c r="A45" s="41">
        <v>16</v>
      </c>
      <c r="B45" s="93" t="s">
        <v>36</v>
      </c>
      <c r="C45" s="94" t="s">
        <v>115</v>
      </c>
      <c r="D45" s="93" t="s">
        <v>43</v>
      </c>
      <c r="E45" s="95">
        <v>36</v>
      </c>
      <c r="F45" s="96">
        <f>SUM(E45*2/1000)</f>
        <v>7.1999999999999995E-2</v>
      </c>
      <c r="G45" s="13">
        <v>579.48</v>
      </c>
      <c r="H45" s="97">
        <f t="shared" si="5"/>
        <v>4.1722559999999999E-2</v>
      </c>
      <c r="I45" s="13">
        <v>0</v>
      </c>
      <c r="J45" s="25"/>
    </row>
    <row r="46" spans="1:13" ht="15.75" hidden="1" customHeight="1">
      <c r="A46" s="41">
        <v>17</v>
      </c>
      <c r="B46" s="93" t="s">
        <v>37</v>
      </c>
      <c r="C46" s="94" t="s">
        <v>115</v>
      </c>
      <c r="D46" s="93" t="s">
        <v>43</v>
      </c>
      <c r="E46" s="95">
        <v>1197.7</v>
      </c>
      <c r="F46" s="96">
        <f>SUM(E46*2/1000)</f>
        <v>2.3954</v>
      </c>
      <c r="G46" s="13">
        <v>579.48</v>
      </c>
      <c r="H46" s="97">
        <f t="shared" si="5"/>
        <v>1.3880863919999999</v>
      </c>
      <c r="I46" s="13">
        <v>0</v>
      </c>
      <c r="J46" s="25"/>
    </row>
    <row r="47" spans="1:13" ht="15.75" hidden="1" customHeight="1">
      <c r="A47" s="41"/>
      <c r="B47" s="93" t="s">
        <v>38</v>
      </c>
      <c r="C47" s="94" t="s">
        <v>115</v>
      </c>
      <c r="D47" s="93" t="s">
        <v>43</v>
      </c>
      <c r="E47" s="95">
        <v>2275.92</v>
      </c>
      <c r="F47" s="96">
        <f>SUM(E47*2/1000)</f>
        <v>4.5518400000000003</v>
      </c>
      <c r="G47" s="13">
        <v>606.77</v>
      </c>
      <c r="H47" s="97">
        <f t="shared" si="5"/>
        <v>2.7619199567999999</v>
      </c>
      <c r="I47" s="13">
        <v>0</v>
      </c>
      <c r="J47" s="25"/>
    </row>
    <row r="48" spans="1:13" ht="15.75" hidden="1" customHeight="1">
      <c r="A48" s="41">
        <v>18</v>
      </c>
      <c r="B48" s="93" t="s">
        <v>34</v>
      </c>
      <c r="C48" s="94" t="s">
        <v>35</v>
      </c>
      <c r="D48" s="93" t="s">
        <v>43</v>
      </c>
      <c r="E48" s="95">
        <v>81.709999999999994</v>
      </c>
      <c r="F48" s="96">
        <f>SUM(E48*2/100)</f>
        <v>1.6341999999999999</v>
      </c>
      <c r="G48" s="13">
        <v>68.56</v>
      </c>
      <c r="H48" s="97">
        <f t="shared" si="5"/>
        <v>0.11204075199999999</v>
      </c>
      <c r="I48" s="13">
        <v>0</v>
      </c>
      <c r="J48" s="25"/>
    </row>
    <row r="49" spans="1:14" ht="15.75" customHeight="1">
      <c r="A49" s="41">
        <v>13</v>
      </c>
      <c r="B49" s="93" t="s">
        <v>58</v>
      </c>
      <c r="C49" s="94" t="s">
        <v>115</v>
      </c>
      <c r="D49" s="93" t="s">
        <v>155</v>
      </c>
      <c r="E49" s="95">
        <v>1711.8</v>
      </c>
      <c r="F49" s="96">
        <f>SUM(E49*5/1000)</f>
        <v>8.5589999999999993</v>
      </c>
      <c r="G49" s="13">
        <v>1213.55</v>
      </c>
      <c r="H49" s="97">
        <f t="shared" si="5"/>
        <v>10.386774449999999</v>
      </c>
      <c r="I49" s="13">
        <f>F49/5*G49</f>
        <v>2077.3548899999996</v>
      </c>
      <c r="J49" s="25"/>
    </row>
    <row r="50" spans="1:14" ht="31.5" hidden="1" customHeight="1">
      <c r="A50" s="41">
        <v>10</v>
      </c>
      <c r="B50" s="93" t="s">
        <v>122</v>
      </c>
      <c r="C50" s="94" t="s">
        <v>115</v>
      </c>
      <c r="D50" s="93" t="s">
        <v>43</v>
      </c>
      <c r="E50" s="95">
        <v>1711.8</v>
      </c>
      <c r="F50" s="96">
        <f>SUM(E50*2/1000)</f>
        <v>3.4236</v>
      </c>
      <c r="G50" s="13">
        <v>1213.55</v>
      </c>
      <c r="H50" s="97">
        <f t="shared" si="5"/>
        <v>4.1547097800000001</v>
      </c>
      <c r="I50" s="13">
        <v>0</v>
      </c>
      <c r="J50" s="25"/>
    </row>
    <row r="51" spans="1:14" ht="31.5" hidden="1" customHeight="1">
      <c r="A51" s="41">
        <v>11</v>
      </c>
      <c r="B51" s="93" t="s">
        <v>123</v>
      </c>
      <c r="C51" s="94" t="s">
        <v>39</v>
      </c>
      <c r="D51" s="93" t="s">
        <v>43</v>
      </c>
      <c r="E51" s="95">
        <v>15</v>
      </c>
      <c r="F51" s="96">
        <f>SUM(E51*2/100)</f>
        <v>0.3</v>
      </c>
      <c r="G51" s="13">
        <v>2730.49</v>
      </c>
      <c r="H51" s="97">
        <f t="shared" si="5"/>
        <v>0.81914699999999996</v>
      </c>
      <c r="I51" s="13">
        <v>0</v>
      </c>
      <c r="J51" s="25"/>
    </row>
    <row r="52" spans="1:14" ht="15.75" hidden="1" customHeight="1">
      <c r="A52" s="41">
        <v>12</v>
      </c>
      <c r="B52" s="93" t="s">
        <v>40</v>
      </c>
      <c r="C52" s="94" t="s">
        <v>41</v>
      </c>
      <c r="D52" s="93" t="s">
        <v>43</v>
      </c>
      <c r="E52" s="95">
        <v>1</v>
      </c>
      <c r="F52" s="96">
        <v>0.02</v>
      </c>
      <c r="G52" s="13">
        <v>5322.15</v>
      </c>
      <c r="H52" s="97">
        <f t="shared" si="5"/>
        <v>0.106443</v>
      </c>
      <c r="I52" s="13">
        <v>0</v>
      </c>
      <c r="J52" s="25"/>
      <c r="L52" s="21"/>
      <c r="M52" s="22"/>
      <c r="N52" s="23"/>
    </row>
    <row r="53" spans="1:14" ht="15.75" customHeight="1">
      <c r="A53" s="41">
        <v>14</v>
      </c>
      <c r="B53" s="93" t="s">
        <v>42</v>
      </c>
      <c r="C53" s="94" t="s">
        <v>95</v>
      </c>
      <c r="D53" s="93" t="s">
        <v>74</v>
      </c>
      <c r="E53" s="95">
        <v>90</v>
      </c>
      <c r="F53" s="96">
        <f>SUM(E53)*3</f>
        <v>270</v>
      </c>
      <c r="G53" s="13">
        <v>65.67</v>
      </c>
      <c r="H53" s="97">
        <f t="shared" si="5"/>
        <v>17.730900000000002</v>
      </c>
      <c r="I53" s="13">
        <f>E53*G53</f>
        <v>5910.3</v>
      </c>
      <c r="J53" s="25"/>
      <c r="L53" s="21"/>
      <c r="M53" s="22"/>
      <c r="N53" s="23"/>
    </row>
    <row r="54" spans="1:14" ht="15.75" customHeight="1">
      <c r="A54" s="150" t="s">
        <v>152</v>
      </c>
      <c r="B54" s="151"/>
      <c r="C54" s="151"/>
      <c r="D54" s="151"/>
      <c r="E54" s="151"/>
      <c r="F54" s="151"/>
      <c r="G54" s="151"/>
      <c r="H54" s="151"/>
      <c r="I54" s="152"/>
      <c r="J54" s="25"/>
      <c r="L54" s="21"/>
      <c r="M54" s="22"/>
      <c r="N54" s="23"/>
    </row>
    <row r="55" spans="1:14" ht="15.75" customHeight="1">
      <c r="A55" s="53"/>
      <c r="B55" s="48" t="s">
        <v>44</v>
      </c>
      <c r="C55" s="17"/>
      <c r="D55" s="16"/>
      <c r="E55" s="16"/>
      <c r="F55" s="16"/>
      <c r="G55" s="31"/>
      <c r="H55" s="31"/>
      <c r="I55" s="19"/>
      <c r="J55" s="25"/>
      <c r="L55" s="21"/>
      <c r="M55" s="22"/>
      <c r="N55" s="23"/>
    </row>
    <row r="56" spans="1:14" ht="31.5" customHeight="1">
      <c r="A56" s="41">
        <v>15</v>
      </c>
      <c r="B56" s="93" t="s">
        <v>124</v>
      </c>
      <c r="C56" s="94" t="s">
        <v>102</v>
      </c>
      <c r="D56" s="93" t="s">
        <v>125</v>
      </c>
      <c r="E56" s="95">
        <v>96.58</v>
      </c>
      <c r="F56" s="96">
        <f>SUM(E56*6/100)</f>
        <v>5.7948000000000004</v>
      </c>
      <c r="G56" s="13">
        <v>1547.28</v>
      </c>
      <c r="H56" s="97">
        <f>SUM(F56*G56/1000)</f>
        <v>8.9661781440000006</v>
      </c>
      <c r="I56" s="13">
        <f>F56/6*G56</f>
        <v>1494.3630240000002</v>
      </c>
      <c r="J56" s="25"/>
      <c r="L56" s="21"/>
      <c r="M56" s="22"/>
      <c r="N56" s="23"/>
    </row>
    <row r="57" spans="1:14" ht="15.75" customHeight="1">
      <c r="A57" s="41"/>
      <c r="B57" s="69" t="s">
        <v>45</v>
      </c>
      <c r="C57" s="40"/>
      <c r="D57" s="34"/>
      <c r="E57" s="19"/>
      <c r="F57" s="87"/>
      <c r="G57" s="37"/>
      <c r="H57" s="70"/>
      <c r="I57" s="20"/>
      <c r="J57" s="25"/>
      <c r="L57" s="21"/>
      <c r="M57" s="22"/>
      <c r="N57" s="23"/>
    </row>
    <row r="58" spans="1:14" ht="15.75" hidden="1" customHeight="1">
      <c r="A58" s="41"/>
      <c r="B58" s="93" t="s">
        <v>46</v>
      </c>
      <c r="C58" s="94" t="s">
        <v>102</v>
      </c>
      <c r="D58" s="93" t="s">
        <v>55</v>
      </c>
      <c r="E58" s="95">
        <v>855.9</v>
      </c>
      <c r="F58" s="97">
        <v>8.6</v>
      </c>
      <c r="G58" s="13">
        <v>747.3</v>
      </c>
      <c r="H58" s="101">
        <v>6.4</v>
      </c>
      <c r="I58" s="13">
        <v>0</v>
      </c>
      <c r="J58" s="25"/>
      <c r="L58" s="21"/>
      <c r="M58" s="22"/>
      <c r="N58" s="23"/>
    </row>
    <row r="59" spans="1:14" ht="15.75" customHeight="1">
      <c r="A59" s="41">
        <v>16</v>
      </c>
      <c r="B59" s="93" t="s">
        <v>96</v>
      </c>
      <c r="C59" s="94" t="s">
        <v>25</v>
      </c>
      <c r="D59" s="93" t="s">
        <v>144</v>
      </c>
      <c r="E59" s="95">
        <v>256</v>
      </c>
      <c r="F59" s="97">
        <f>E59*12</f>
        <v>3072</v>
      </c>
      <c r="G59" s="13">
        <v>2.5958999999999999</v>
      </c>
      <c r="H59" s="101">
        <f>F59*G59/1000</f>
        <v>7.9746047999999989</v>
      </c>
      <c r="I59" s="13">
        <f>F59/12*G59</f>
        <v>664.55039999999997</v>
      </c>
      <c r="J59" s="25"/>
      <c r="L59" s="21"/>
      <c r="M59" s="22"/>
      <c r="N59" s="23"/>
    </row>
    <row r="60" spans="1:14" ht="15.75" hidden="1" customHeight="1">
      <c r="A60" s="41"/>
      <c r="B60" s="69" t="s">
        <v>145</v>
      </c>
      <c r="C60" s="40"/>
      <c r="D60" s="34"/>
      <c r="E60" s="19"/>
      <c r="F60" s="87"/>
      <c r="G60" s="71"/>
      <c r="H60" s="70"/>
      <c r="I60" s="20"/>
      <c r="J60" s="25"/>
      <c r="L60" s="21"/>
      <c r="M60" s="22"/>
      <c r="N60" s="23"/>
    </row>
    <row r="61" spans="1:14" ht="15.75" hidden="1" customHeight="1">
      <c r="A61" s="41"/>
      <c r="B61" s="93" t="s">
        <v>146</v>
      </c>
      <c r="C61" s="94" t="s">
        <v>95</v>
      </c>
      <c r="D61" s="93" t="s">
        <v>68</v>
      </c>
      <c r="E61" s="95">
        <v>2</v>
      </c>
      <c r="F61" s="96">
        <f>SUM(E61)</f>
        <v>2</v>
      </c>
      <c r="G61" s="102">
        <v>237.75</v>
      </c>
      <c r="H61" s="97">
        <f t="shared" ref="H61" si="6">SUM(F61*G61/1000)</f>
        <v>0.47549999999999998</v>
      </c>
      <c r="I61" s="13">
        <v>0</v>
      </c>
      <c r="J61" s="25"/>
      <c r="L61" s="21"/>
      <c r="M61" s="22"/>
      <c r="N61" s="23"/>
    </row>
    <row r="62" spans="1:14" ht="15.75" hidden="1" customHeight="1">
      <c r="A62" s="41"/>
      <c r="B62" s="63" t="s">
        <v>47</v>
      </c>
      <c r="C62" s="17"/>
      <c r="D62" s="16"/>
      <c r="E62" s="16"/>
      <c r="F62" s="88"/>
      <c r="G62" s="65"/>
      <c r="H62" s="70"/>
      <c r="I62" s="19"/>
      <c r="J62" s="25"/>
      <c r="L62" s="21"/>
      <c r="M62" s="22"/>
      <c r="N62" s="23"/>
    </row>
    <row r="63" spans="1:14" ht="15.75" hidden="1" customHeight="1">
      <c r="A63" s="41">
        <v>23</v>
      </c>
      <c r="B63" s="15" t="s">
        <v>48</v>
      </c>
      <c r="C63" s="17" t="s">
        <v>95</v>
      </c>
      <c r="D63" s="93" t="s">
        <v>68</v>
      </c>
      <c r="E63" s="19">
        <v>10</v>
      </c>
      <c r="F63" s="96">
        <v>10</v>
      </c>
      <c r="G63" s="13">
        <v>222.4</v>
      </c>
      <c r="H63" s="103">
        <f t="shared" ref="H63:H70" si="7">SUM(F63*G63/1000)</f>
        <v>2.2240000000000002</v>
      </c>
      <c r="I63" s="13">
        <v>0</v>
      </c>
      <c r="J63" s="25"/>
      <c r="L63" s="21"/>
      <c r="M63" s="22"/>
      <c r="N63" s="23"/>
    </row>
    <row r="64" spans="1:14" ht="15.75" hidden="1" customHeight="1">
      <c r="A64" s="31">
        <v>29</v>
      </c>
      <c r="B64" s="15" t="s">
        <v>49</v>
      </c>
      <c r="C64" s="17" t="s">
        <v>95</v>
      </c>
      <c r="D64" s="93" t="s">
        <v>68</v>
      </c>
      <c r="E64" s="19">
        <v>5</v>
      </c>
      <c r="F64" s="96">
        <v>5</v>
      </c>
      <c r="G64" s="13">
        <v>75.25</v>
      </c>
      <c r="H64" s="103">
        <f t="shared" si="7"/>
        <v>0.37624999999999997</v>
      </c>
      <c r="I64" s="13">
        <v>0</v>
      </c>
      <c r="J64" s="25"/>
      <c r="L64" s="21"/>
      <c r="M64" s="22"/>
      <c r="N64" s="23"/>
    </row>
    <row r="65" spans="1:14" ht="15.75" hidden="1" customHeight="1">
      <c r="A65" s="31">
        <v>8</v>
      </c>
      <c r="B65" s="15" t="s">
        <v>50</v>
      </c>
      <c r="C65" s="17" t="s">
        <v>126</v>
      </c>
      <c r="D65" s="15" t="s">
        <v>55</v>
      </c>
      <c r="E65" s="95">
        <v>13018</v>
      </c>
      <c r="F65" s="13">
        <f>SUM(E65/100)</f>
        <v>130.18</v>
      </c>
      <c r="G65" s="13">
        <v>212.15</v>
      </c>
      <c r="H65" s="103">
        <f t="shared" si="7"/>
        <v>27.617687</v>
      </c>
      <c r="I65" s="13">
        <v>0</v>
      </c>
      <c r="J65" s="25"/>
      <c r="L65" s="21"/>
      <c r="M65" s="22"/>
      <c r="N65" s="23"/>
    </row>
    <row r="66" spans="1:14" ht="15.75" hidden="1" customHeight="1">
      <c r="A66" s="31">
        <v>9</v>
      </c>
      <c r="B66" s="15" t="s">
        <v>51</v>
      </c>
      <c r="C66" s="17" t="s">
        <v>127</v>
      </c>
      <c r="D66" s="15"/>
      <c r="E66" s="95">
        <v>13018</v>
      </c>
      <c r="F66" s="13">
        <f>SUM(E66/1000)</f>
        <v>13.018000000000001</v>
      </c>
      <c r="G66" s="13">
        <v>165.21</v>
      </c>
      <c r="H66" s="103">
        <f t="shared" si="7"/>
        <v>2.1507037800000002</v>
      </c>
      <c r="I66" s="13">
        <v>0</v>
      </c>
      <c r="J66" s="25"/>
      <c r="L66" s="21"/>
      <c r="M66" s="22"/>
      <c r="N66" s="23"/>
    </row>
    <row r="67" spans="1:14" ht="15.75" hidden="1" customHeight="1">
      <c r="A67" s="31">
        <v>10</v>
      </c>
      <c r="B67" s="15" t="s">
        <v>52</v>
      </c>
      <c r="C67" s="17" t="s">
        <v>79</v>
      </c>
      <c r="D67" s="15" t="s">
        <v>55</v>
      </c>
      <c r="E67" s="95">
        <v>1279</v>
      </c>
      <c r="F67" s="13">
        <f>SUM(E67/100)</f>
        <v>12.79</v>
      </c>
      <c r="G67" s="13">
        <v>2074.63</v>
      </c>
      <c r="H67" s="103">
        <f t="shared" si="7"/>
        <v>26.534517700000002</v>
      </c>
      <c r="I67" s="13">
        <v>0</v>
      </c>
      <c r="J67" s="25"/>
      <c r="L67" s="21"/>
      <c r="M67" s="22"/>
      <c r="N67" s="23"/>
    </row>
    <row r="68" spans="1:14" ht="15.75" hidden="1" customHeight="1">
      <c r="A68" s="31">
        <v>11</v>
      </c>
      <c r="B68" s="104" t="s">
        <v>128</v>
      </c>
      <c r="C68" s="17" t="s">
        <v>33</v>
      </c>
      <c r="D68" s="15"/>
      <c r="E68" s="95">
        <v>12</v>
      </c>
      <c r="F68" s="13">
        <f>SUM(E68)</f>
        <v>12</v>
      </c>
      <c r="G68" s="13">
        <v>45.32</v>
      </c>
      <c r="H68" s="103">
        <f t="shared" si="7"/>
        <v>0.54383999999999999</v>
      </c>
      <c r="I68" s="13">
        <v>0</v>
      </c>
      <c r="J68" s="25"/>
      <c r="L68" s="21"/>
      <c r="M68" s="22"/>
      <c r="N68" s="23"/>
    </row>
    <row r="69" spans="1:14" ht="15.75" hidden="1" customHeight="1">
      <c r="A69" s="31">
        <v>12</v>
      </c>
      <c r="B69" s="104" t="s">
        <v>129</v>
      </c>
      <c r="C69" s="17" t="s">
        <v>33</v>
      </c>
      <c r="D69" s="15"/>
      <c r="E69" s="95">
        <v>12</v>
      </c>
      <c r="F69" s="13">
        <f>SUM(E69)</f>
        <v>12</v>
      </c>
      <c r="G69" s="13">
        <v>42.28</v>
      </c>
      <c r="H69" s="103">
        <f t="shared" si="7"/>
        <v>0.50736000000000003</v>
      </c>
      <c r="I69" s="13">
        <v>0</v>
      </c>
      <c r="J69" s="25"/>
      <c r="L69" s="21"/>
      <c r="M69" s="22"/>
      <c r="N69" s="23"/>
    </row>
    <row r="70" spans="1:14" ht="15.75" hidden="1" customHeight="1">
      <c r="A70" s="31">
        <v>13</v>
      </c>
      <c r="B70" s="15" t="s">
        <v>59</v>
      </c>
      <c r="C70" s="17" t="s">
        <v>60</v>
      </c>
      <c r="D70" s="15" t="s">
        <v>55</v>
      </c>
      <c r="E70" s="19">
        <v>1</v>
      </c>
      <c r="F70" s="96">
        <f>SUM(E70)</f>
        <v>1</v>
      </c>
      <c r="G70" s="13">
        <v>49.88</v>
      </c>
      <c r="H70" s="103">
        <f t="shared" si="7"/>
        <v>4.9880000000000001E-2</v>
      </c>
      <c r="I70" s="13">
        <v>0</v>
      </c>
      <c r="J70" s="25"/>
      <c r="L70" s="21"/>
      <c r="M70" s="22"/>
      <c r="N70" s="23"/>
    </row>
    <row r="71" spans="1:14" ht="15.75" hidden="1" customHeight="1">
      <c r="A71" s="53"/>
      <c r="B71" s="63" t="s">
        <v>130</v>
      </c>
      <c r="C71" s="63"/>
      <c r="D71" s="63"/>
      <c r="E71" s="63"/>
      <c r="F71" s="77"/>
      <c r="G71" s="63"/>
      <c r="H71" s="77"/>
      <c r="I71" s="19"/>
      <c r="J71" s="25"/>
      <c r="L71" s="21"/>
      <c r="M71" s="22"/>
      <c r="N71" s="23"/>
    </row>
    <row r="72" spans="1:14" ht="15.75" hidden="1" customHeight="1">
      <c r="A72" s="31">
        <v>15</v>
      </c>
      <c r="B72" s="93" t="s">
        <v>131</v>
      </c>
      <c r="C72" s="17"/>
      <c r="D72" s="15"/>
      <c r="E72" s="87"/>
      <c r="F72" s="13">
        <v>1</v>
      </c>
      <c r="G72" s="13">
        <v>10041.700000000001</v>
      </c>
      <c r="H72" s="103">
        <f>G72*F72/1000</f>
        <v>10.041700000000001</v>
      </c>
      <c r="I72" s="13">
        <v>0</v>
      </c>
      <c r="J72" s="25"/>
      <c r="L72" s="21"/>
      <c r="M72" s="22"/>
      <c r="N72" s="23"/>
    </row>
    <row r="73" spans="1:14" ht="15.75" hidden="1" customHeight="1">
      <c r="A73" s="31"/>
      <c r="B73" s="49" t="s">
        <v>75</v>
      </c>
      <c r="C73" s="49"/>
      <c r="D73" s="49"/>
      <c r="E73" s="19"/>
      <c r="F73" s="19"/>
      <c r="G73" s="31"/>
      <c r="H73" s="31"/>
      <c r="I73" s="19"/>
      <c r="J73" s="25"/>
      <c r="L73" s="21"/>
      <c r="M73" s="22"/>
      <c r="N73" s="23"/>
    </row>
    <row r="74" spans="1:14" ht="15.75" hidden="1" customHeight="1">
      <c r="A74" s="31">
        <v>11</v>
      </c>
      <c r="B74" s="15" t="s">
        <v>76</v>
      </c>
      <c r="C74" s="17" t="s">
        <v>77</v>
      </c>
      <c r="D74" s="15" t="s">
        <v>68</v>
      </c>
      <c r="E74" s="19">
        <v>5</v>
      </c>
      <c r="F74" s="13">
        <v>0.5</v>
      </c>
      <c r="G74" s="13">
        <v>501.62</v>
      </c>
      <c r="H74" s="103">
        <f t="shared" ref="H74:H76" si="8">SUM(F74*G74/1000)</f>
        <v>0.25080999999999998</v>
      </c>
      <c r="I74" s="13">
        <v>0</v>
      </c>
      <c r="J74" s="25"/>
      <c r="L74" s="21"/>
      <c r="M74" s="22"/>
      <c r="N74" s="23"/>
    </row>
    <row r="75" spans="1:14" ht="15.75" hidden="1" customHeight="1">
      <c r="A75" s="31"/>
      <c r="B75" s="15" t="s">
        <v>147</v>
      </c>
      <c r="C75" s="17" t="s">
        <v>95</v>
      </c>
      <c r="D75" s="15"/>
      <c r="E75" s="19">
        <v>1</v>
      </c>
      <c r="F75" s="86">
        <f>E75</f>
        <v>1</v>
      </c>
      <c r="G75" s="13">
        <v>852.99</v>
      </c>
      <c r="H75" s="103">
        <f t="shared" si="8"/>
        <v>0.85299000000000003</v>
      </c>
      <c r="I75" s="13">
        <v>0</v>
      </c>
      <c r="J75" s="25"/>
      <c r="L75" s="21"/>
      <c r="M75" s="22"/>
      <c r="N75" s="23"/>
    </row>
    <row r="76" spans="1:14" ht="15.75" hidden="1" customHeight="1">
      <c r="A76" s="31"/>
      <c r="B76" s="15" t="s">
        <v>148</v>
      </c>
      <c r="C76" s="17" t="s">
        <v>95</v>
      </c>
      <c r="D76" s="15"/>
      <c r="E76" s="19">
        <v>1</v>
      </c>
      <c r="F76" s="96">
        <f>SUM(E76)</f>
        <v>1</v>
      </c>
      <c r="G76" s="13">
        <v>358.51</v>
      </c>
      <c r="H76" s="103">
        <f t="shared" si="8"/>
        <v>0.35851</v>
      </c>
      <c r="I76" s="13">
        <v>0</v>
      </c>
      <c r="J76" s="25"/>
      <c r="L76" s="21"/>
      <c r="M76" s="22"/>
      <c r="N76" s="23"/>
    </row>
    <row r="77" spans="1:14" ht="15.75" hidden="1" customHeight="1">
      <c r="A77" s="31"/>
      <c r="B77" s="50" t="s">
        <v>78</v>
      </c>
      <c r="C77" s="38"/>
      <c r="D77" s="31"/>
      <c r="E77" s="19"/>
      <c r="F77" s="19"/>
      <c r="G77" s="37" t="s">
        <v>132</v>
      </c>
      <c r="H77" s="37"/>
      <c r="I77" s="19"/>
      <c r="J77" s="25"/>
      <c r="L77" s="21"/>
      <c r="M77" s="22"/>
      <c r="N77" s="23"/>
    </row>
    <row r="78" spans="1:14" ht="15.75" hidden="1" customHeight="1">
      <c r="A78" s="31">
        <v>12</v>
      </c>
      <c r="B78" s="52" t="s">
        <v>133</v>
      </c>
      <c r="C78" s="17" t="s">
        <v>79</v>
      </c>
      <c r="D78" s="15"/>
      <c r="E78" s="19"/>
      <c r="F78" s="13">
        <v>0.3</v>
      </c>
      <c r="G78" s="13">
        <v>2759.44</v>
      </c>
      <c r="H78" s="103">
        <f t="shared" ref="H78" si="9">SUM(F78*G78/1000)</f>
        <v>0.82783200000000001</v>
      </c>
      <c r="I78" s="13">
        <v>0</v>
      </c>
      <c r="J78" s="25"/>
      <c r="L78" s="21"/>
      <c r="M78" s="22"/>
      <c r="N78" s="23"/>
    </row>
    <row r="79" spans="1:14" ht="15.75" customHeight="1">
      <c r="A79" s="154" t="s">
        <v>153</v>
      </c>
      <c r="B79" s="155"/>
      <c r="C79" s="155"/>
      <c r="D79" s="155"/>
      <c r="E79" s="155"/>
      <c r="F79" s="155"/>
      <c r="G79" s="155"/>
      <c r="H79" s="155"/>
      <c r="I79" s="156"/>
      <c r="J79" s="25"/>
      <c r="L79" s="21"/>
      <c r="M79" s="22"/>
      <c r="N79" s="23"/>
    </row>
    <row r="80" spans="1:14" ht="15.75" customHeight="1">
      <c r="A80" s="31">
        <v>17</v>
      </c>
      <c r="B80" s="93" t="s">
        <v>134</v>
      </c>
      <c r="C80" s="17" t="s">
        <v>56</v>
      </c>
      <c r="D80" s="106" t="s">
        <v>57</v>
      </c>
      <c r="E80" s="13">
        <v>2581.1999999999998</v>
      </c>
      <c r="F80" s="13">
        <f>SUM(E80*12)</f>
        <v>30974.399999999998</v>
      </c>
      <c r="G80" s="13">
        <v>2.1</v>
      </c>
      <c r="H80" s="103">
        <f>SUM(F80*G80/1000)</f>
        <v>65.046239999999997</v>
      </c>
      <c r="I80" s="13">
        <f>F80/12*G80</f>
        <v>5420.5199999999995</v>
      </c>
      <c r="J80" s="25"/>
      <c r="L80" s="21"/>
    </row>
    <row r="81" spans="1:22" ht="31.5" customHeight="1">
      <c r="A81" s="31">
        <v>18</v>
      </c>
      <c r="B81" s="15" t="s">
        <v>80</v>
      </c>
      <c r="C81" s="17"/>
      <c r="D81" s="106" t="s">
        <v>57</v>
      </c>
      <c r="E81" s="95">
        <v>2581.1999999999998</v>
      </c>
      <c r="F81" s="13">
        <f>E81*12</f>
        <v>30974.399999999998</v>
      </c>
      <c r="G81" s="13">
        <v>1.63</v>
      </c>
      <c r="H81" s="103">
        <f>F81*G81/1000</f>
        <v>50.488271999999988</v>
      </c>
      <c r="I81" s="13">
        <f>F81/12*G81</f>
        <v>4207.3559999999998</v>
      </c>
    </row>
    <row r="82" spans="1:22" ht="15.75" customHeight="1">
      <c r="A82" s="53"/>
      <c r="B82" s="39" t="s">
        <v>83</v>
      </c>
      <c r="C82" s="41"/>
      <c r="D82" s="16"/>
      <c r="E82" s="16"/>
      <c r="F82" s="16"/>
      <c r="G82" s="19"/>
      <c r="H82" s="19"/>
      <c r="I82" s="33">
        <f>SUM(I16+I17+I18+I20+I21+I27+I28+I37+I38+I39+I40+I42+I49+I53+I56+I59+I80+I81)</f>
        <v>55452.656145000001</v>
      </c>
    </row>
    <row r="83" spans="1:22" ht="15.75" customHeight="1">
      <c r="A83" s="157" t="s">
        <v>62</v>
      </c>
      <c r="B83" s="158"/>
      <c r="C83" s="158"/>
      <c r="D83" s="158"/>
      <c r="E83" s="158"/>
      <c r="F83" s="158"/>
      <c r="G83" s="158"/>
      <c r="H83" s="158"/>
      <c r="I83" s="159"/>
    </row>
    <row r="84" spans="1:22" ht="15.75" customHeight="1">
      <c r="A84" s="31">
        <v>19</v>
      </c>
      <c r="B84" s="67" t="s">
        <v>156</v>
      </c>
      <c r="C84" s="68" t="s">
        <v>108</v>
      </c>
      <c r="D84" s="52"/>
      <c r="E84" s="13"/>
      <c r="F84" s="13">
        <v>2</v>
      </c>
      <c r="G84" s="13">
        <v>117.11</v>
      </c>
      <c r="H84" s="103">
        <f t="shared" ref="H84:H85" si="10">G84*F84/1000</f>
        <v>0.23422000000000001</v>
      </c>
      <c r="I84" s="13">
        <f>G84*2</f>
        <v>234.22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9"/>
    </row>
    <row r="85" spans="1:22" ht="15.75" customHeight="1">
      <c r="A85" s="31">
        <v>20</v>
      </c>
      <c r="B85" s="67" t="s">
        <v>107</v>
      </c>
      <c r="C85" s="68" t="s">
        <v>95</v>
      </c>
      <c r="D85" s="52"/>
      <c r="E85" s="13"/>
      <c r="F85" s="13">
        <v>368</v>
      </c>
      <c r="G85" s="13">
        <v>53.42</v>
      </c>
      <c r="H85" s="103">
        <f t="shared" si="10"/>
        <v>19.658560000000001</v>
      </c>
      <c r="I85" s="13">
        <f>G85*46</f>
        <v>2457.3200000000002</v>
      </c>
      <c r="J85" s="27"/>
      <c r="K85" s="27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2" ht="15.75" customHeight="1">
      <c r="A86" s="31"/>
      <c r="B86" s="46" t="s">
        <v>53</v>
      </c>
      <c r="C86" s="42"/>
      <c r="D86" s="54"/>
      <c r="E86" s="42">
        <v>1</v>
      </c>
      <c r="F86" s="42"/>
      <c r="G86" s="42"/>
      <c r="H86" s="42"/>
      <c r="I86" s="33">
        <f>SUM(I84:I85)</f>
        <v>2691.54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</row>
    <row r="87" spans="1:22" ht="15.75" customHeight="1">
      <c r="A87" s="31"/>
      <c r="B87" s="52" t="s">
        <v>81</v>
      </c>
      <c r="C87" s="16"/>
      <c r="D87" s="16"/>
      <c r="E87" s="43"/>
      <c r="F87" s="43"/>
      <c r="G87" s="44"/>
      <c r="H87" s="44"/>
      <c r="I87" s="18">
        <v>0</v>
      </c>
    </row>
    <row r="88" spans="1:22" ht="15.75" customHeight="1">
      <c r="A88" s="55"/>
      <c r="B88" s="47" t="s">
        <v>157</v>
      </c>
      <c r="C88" s="36"/>
      <c r="D88" s="36"/>
      <c r="E88" s="36"/>
      <c r="F88" s="36"/>
      <c r="G88" s="36"/>
      <c r="H88" s="36"/>
      <c r="I88" s="45">
        <f>I82+I86</f>
        <v>58144.196145000002</v>
      </c>
    </row>
    <row r="89" spans="1:22" ht="15.75" customHeight="1">
      <c r="A89" s="153" t="s">
        <v>213</v>
      </c>
      <c r="B89" s="153"/>
      <c r="C89" s="153"/>
      <c r="D89" s="153"/>
      <c r="E89" s="153"/>
      <c r="F89" s="153"/>
      <c r="G89" s="153"/>
      <c r="H89" s="153"/>
      <c r="I89" s="153"/>
    </row>
    <row r="90" spans="1:22" ht="15.75" customHeight="1">
      <c r="A90" s="62"/>
      <c r="B90" s="134" t="s">
        <v>214</v>
      </c>
      <c r="C90" s="134"/>
      <c r="D90" s="134"/>
      <c r="E90" s="134"/>
      <c r="F90" s="134"/>
      <c r="G90" s="134"/>
      <c r="H90" s="91"/>
      <c r="I90" s="3"/>
    </row>
    <row r="91" spans="1:22" ht="15.75" customHeight="1">
      <c r="A91" s="56"/>
      <c r="B91" s="135" t="s">
        <v>6</v>
      </c>
      <c r="C91" s="135"/>
      <c r="D91" s="135"/>
      <c r="E91" s="135"/>
      <c r="F91" s="135"/>
      <c r="G91" s="135"/>
      <c r="H91" s="26"/>
      <c r="I91" s="5"/>
    </row>
    <row r="92" spans="1:22" ht="15.75" customHeight="1">
      <c r="A92" s="10"/>
      <c r="B92" s="10"/>
      <c r="C92" s="10"/>
      <c r="D92" s="10"/>
      <c r="E92" s="10"/>
      <c r="F92" s="10"/>
      <c r="G92" s="10"/>
      <c r="H92" s="10"/>
      <c r="I92" s="10"/>
    </row>
    <row r="93" spans="1:22" ht="15.75" customHeight="1">
      <c r="A93" s="136" t="s">
        <v>7</v>
      </c>
      <c r="B93" s="136"/>
      <c r="C93" s="136"/>
      <c r="D93" s="136"/>
      <c r="E93" s="136"/>
      <c r="F93" s="136"/>
      <c r="G93" s="136"/>
      <c r="H93" s="136"/>
      <c r="I93" s="136"/>
    </row>
    <row r="94" spans="1:22" ht="15.75" customHeight="1">
      <c r="A94" s="136" t="s">
        <v>8</v>
      </c>
      <c r="B94" s="136"/>
      <c r="C94" s="136"/>
      <c r="D94" s="136"/>
      <c r="E94" s="136"/>
      <c r="F94" s="136"/>
      <c r="G94" s="136"/>
      <c r="H94" s="136"/>
      <c r="I94" s="136"/>
    </row>
    <row r="95" spans="1:22" ht="15.75" customHeight="1">
      <c r="A95" s="139" t="s">
        <v>63</v>
      </c>
      <c r="B95" s="139"/>
      <c r="C95" s="139"/>
      <c r="D95" s="139"/>
      <c r="E95" s="139"/>
      <c r="F95" s="139"/>
      <c r="G95" s="139"/>
      <c r="H95" s="139"/>
      <c r="I95" s="139"/>
    </row>
    <row r="96" spans="1:22" ht="15.75" customHeight="1">
      <c r="A96" s="11"/>
    </row>
    <row r="97" spans="1:9" ht="15.75" customHeight="1">
      <c r="A97" s="140" t="s">
        <v>9</v>
      </c>
      <c r="B97" s="140"/>
      <c r="C97" s="140"/>
      <c r="D97" s="140"/>
      <c r="E97" s="140"/>
      <c r="F97" s="140"/>
      <c r="G97" s="140"/>
      <c r="H97" s="140"/>
      <c r="I97" s="140"/>
    </row>
    <row r="98" spans="1:9" ht="15.75" customHeight="1">
      <c r="A98" s="4"/>
    </row>
    <row r="99" spans="1:9" ht="15.75" customHeight="1">
      <c r="B99" s="57" t="s">
        <v>10</v>
      </c>
      <c r="C99" s="141" t="s">
        <v>94</v>
      </c>
      <c r="D99" s="141"/>
      <c r="E99" s="141"/>
      <c r="F99" s="89"/>
      <c r="I99" s="59"/>
    </row>
    <row r="100" spans="1:9" ht="15.75" customHeight="1">
      <c r="A100" s="56"/>
      <c r="C100" s="135" t="s">
        <v>11</v>
      </c>
      <c r="D100" s="135"/>
      <c r="E100" s="135"/>
      <c r="F100" s="26"/>
      <c r="I100" s="58" t="s">
        <v>12</v>
      </c>
    </row>
    <row r="101" spans="1:9" ht="15.75" customHeight="1">
      <c r="A101" s="27"/>
      <c r="C101" s="12"/>
      <c r="D101" s="12"/>
      <c r="G101" s="12"/>
      <c r="H101" s="12"/>
    </row>
    <row r="102" spans="1:9" ht="15.75" customHeight="1">
      <c r="B102" s="57" t="s">
        <v>13</v>
      </c>
      <c r="C102" s="142"/>
      <c r="D102" s="142"/>
      <c r="E102" s="142"/>
      <c r="F102" s="90"/>
      <c r="I102" s="59"/>
    </row>
    <row r="103" spans="1:9" ht="15.75" customHeight="1">
      <c r="A103" s="56"/>
      <c r="C103" s="138" t="s">
        <v>11</v>
      </c>
      <c r="D103" s="138"/>
      <c r="E103" s="138"/>
      <c r="F103" s="72"/>
      <c r="I103" s="58" t="s">
        <v>12</v>
      </c>
    </row>
    <row r="104" spans="1:9" ht="15.75" customHeight="1">
      <c r="A104" s="4" t="s">
        <v>14</v>
      </c>
    </row>
    <row r="105" spans="1:9">
      <c r="A105" s="137" t="s">
        <v>15</v>
      </c>
      <c r="B105" s="137"/>
      <c r="C105" s="137"/>
      <c r="D105" s="137"/>
      <c r="E105" s="137"/>
      <c r="F105" s="137"/>
      <c r="G105" s="137"/>
      <c r="H105" s="137"/>
      <c r="I105" s="137"/>
    </row>
    <row r="106" spans="1:9" ht="45" customHeight="1">
      <c r="A106" s="133" t="s">
        <v>16</v>
      </c>
      <c r="B106" s="133"/>
      <c r="C106" s="133"/>
      <c r="D106" s="133"/>
      <c r="E106" s="133"/>
      <c r="F106" s="133"/>
      <c r="G106" s="133"/>
      <c r="H106" s="133"/>
      <c r="I106" s="133"/>
    </row>
    <row r="107" spans="1:9" ht="30" customHeight="1">
      <c r="A107" s="133" t="s">
        <v>17</v>
      </c>
      <c r="B107" s="133"/>
      <c r="C107" s="133"/>
      <c r="D107" s="133"/>
      <c r="E107" s="133"/>
      <c r="F107" s="133"/>
      <c r="G107" s="133"/>
      <c r="H107" s="133"/>
      <c r="I107" s="133"/>
    </row>
    <row r="108" spans="1:9" ht="30" customHeight="1">
      <c r="A108" s="133" t="s">
        <v>21</v>
      </c>
      <c r="B108" s="133"/>
      <c r="C108" s="133"/>
      <c r="D108" s="133"/>
      <c r="E108" s="133"/>
      <c r="F108" s="133"/>
      <c r="G108" s="133"/>
      <c r="H108" s="133"/>
      <c r="I108" s="133"/>
    </row>
    <row r="109" spans="1:9" ht="15" customHeight="1">
      <c r="A109" s="133" t="s">
        <v>20</v>
      </c>
      <c r="B109" s="133"/>
      <c r="C109" s="133"/>
      <c r="D109" s="133"/>
      <c r="E109" s="133"/>
      <c r="F109" s="133"/>
      <c r="G109" s="133"/>
      <c r="H109" s="133"/>
      <c r="I109" s="133"/>
    </row>
  </sheetData>
  <autoFilter ref="I12:I82"/>
  <mergeCells count="28">
    <mergeCell ref="A14:I14"/>
    <mergeCell ref="A15:I15"/>
    <mergeCell ref="A29:I29"/>
    <mergeCell ref="A43:I43"/>
    <mergeCell ref="A89:I89"/>
    <mergeCell ref="A54:I54"/>
    <mergeCell ref="A79:I79"/>
    <mergeCell ref="A83:I83"/>
    <mergeCell ref="A3:I3"/>
    <mergeCell ref="A4:I4"/>
    <mergeCell ref="A8:I8"/>
    <mergeCell ref="A10:I10"/>
    <mergeCell ref="A5:I5"/>
    <mergeCell ref="A106:I106"/>
    <mergeCell ref="A107:I107"/>
    <mergeCell ref="A108:I108"/>
    <mergeCell ref="A109:I109"/>
    <mergeCell ref="B90:G90"/>
    <mergeCell ref="B91:G91"/>
    <mergeCell ref="A93:I93"/>
    <mergeCell ref="A94:I94"/>
    <mergeCell ref="A105:I105"/>
    <mergeCell ref="C103:E103"/>
    <mergeCell ref="A95:I95"/>
    <mergeCell ref="A97:I97"/>
    <mergeCell ref="C99:E99"/>
    <mergeCell ref="C100:E100"/>
    <mergeCell ref="C102:E10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91</v>
      </c>
      <c r="I1" s="28"/>
      <c r="J1" s="1"/>
      <c r="K1" s="1"/>
      <c r="L1" s="1"/>
      <c r="M1" s="1"/>
    </row>
    <row r="2" spans="1:13" ht="15.75" customHeight="1">
      <c r="A2" s="30" t="s">
        <v>64</v>
      </c>
      <c r="J2" s="2"/>
      <c r="K2" s="2"/>
      <c r="L2" s="2"/>
      <c r="M2" s="2"/>
    </row>
    <row r="3" spans="1:13" ht="15.75" customHeight="1">
      <c r="A3" s="143" t="s">
        <v>198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135</v>
      </c>
      <c r="B4" s="144"/>
      <c r="C4" s="144"/>
      <c r="D4" s="144"/>
      <c r="E4" s="144"/>
      <c r="F4" s="144"/>
      <c r="G4" s="144"/>
      <c r="H4" s="144"/>
      <c r="I4" s="144"/>
    </row>
    <row r="5" spans="1:13" ht="15.75" customHeight="1">
      <c r="A5" s="143" t="s">
        <v>199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 customHeight="1">
      <c r="A6" s="2"/>
      <c r="B6" s="84"/>
      <c r="C6" s="84"/>
      <c r="D6" s="84"/>
      <c r="E6" s="84"/>
      <c r="F6" s="84"/>
      <c r="G6" s="84"/>
      <c r="H6" s="84"/>
      <c r="I6" s="32">
        <v>43039</v>
      </c>
      <c r="J6" s="2"/>
      <c r="K6" s="2"/>
      <c r="L6" s="2"/>
      <c r="M6" s="2"/>
    </row>
    <row r="7" spans="1:13" ht="15.75" customHeight="1">
      <c r="B7" s="85"/>
      <c r="C7" s="85"/>
      <c r="D7" s="85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45" t="s">
        <v>201</v>
      </c>
      <c r="B8" s="145"/>
      <c r="C8" s="145"/>
      <c r="D8" s="145"/>
      <c r="E8" s="145"/>
      <c r="F8" s="145"/>
      <c r="G8" s="145"/>
      <c r="H8" s="145"/>
      <c r="I8" s="145"/>
      <c r="J8" s="78"/>
      <c r="K8" s="78"/>
      <c r="L8" s="78"/>
      <c r="M8" s="78"/>
    </row>
    <row r="9" spans="1:13" ht="15.75">
      <c r="A9" s="4"/>
      <c r="J9" s="2"/>
      <c r="K9" s="2"/>
      <c r="L9" s="2"/>
      <c r="M9" s="2"/>
    </row>
    <row r="10" spans="1:13" ht="47.25" customHeight="1">
      <c r="A10" s="146" t="s">
        <v>202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8" t="s">
        <v>61</v>
      </c>
      <c r="B14" s="148"/>
      <c r="C14" s="148"/>
      <c r="D14" s="148"/>
      <c r="E14" s="148"/>
      <c r="F14" s="148"/>
      <c r="G14" s="148"/>
      <c r="H14" s="148"/>
      <c r="I14" s="148"/>
      <c r="J14" s="8"/>
      <c r="K14" s="8"/>
      <c r="L14" s="8"/>
      <c r="M14" s="8"/>
    </row>
    <row r="15" spans="1:13" ht="15.75" customHeight="1">
      <c r="A15" s="149" t="s">
        <v>4</v>
      </c>
      <c r="B15" s="149"/>
      <c r="C15" s="149"/>
      <c r="D15" s="149"/>
      <c r="E15" s="149"/>
      <c r="F15" s="149"/>
      <c r="G15" s="149"/>
      <c r="H15" s="149"/>
      <c r="I15" s="149"/>
      <c r="J15" s="8"/>
      <c r="K15" s="8"/>
      <c r="L15" s="8"/>
      <c r="M15" s="8"/>
    </row>
    <row r="16" spans="1:13" ht="15.75" customHeight="1">
      <c r="A16" s="31">
        <v>1</v>
      </c>
      <c r="B16" s="93" t="s">
        <v>92</v>
      </c>
      <c r="C16" s="94" t="s">
        <v>102</v>
      </c>
      <c r="D16" s="93" t="s">
        <v>140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8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111</v>
      </c>
      <c r="C17" s="94" t="s">
        <v>102</v>
      </c>
      <c r="D17" s="93" t="s">
        <v>141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112</v>
      </c>
      <c r="C18" s="94" t="s">
        <v>102</v>
      </c>
      <c r="D18" s="93" t="s">
        <v>142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3" t="s">
        <v>136</v>
      </c>
      <c r="C19" s="94" t="s">
        <v>137</v>
      </c>
      <c r="D19" s="93" t="s">
        <v>138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f>F19/2*G19</f>
        <v>157.22784000000001</v>
      </c>
      <c r="J19" s="8"/>
      <c r="K19" s="8"/>
      <c r="L19" s="8"/>
      <c r="M19" s="8"/>
    </row>
    <row r="20" spans="1:13" ht="15.75" customHeight="1">
      <c r="A20" s="31">
        <v>4</v>
      </c>
      <c r="B20" s="93" t="s">
        <v>101</v>
      </c>
      <c r="C20" s="94" t="s">
        <v>102</v>
      </c>
      <c r="D20" s="93" t="s">
        <v>30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3" t="s">
        <v>109</v>
      </c>
      <c r="C21" s="94" t="s">
        <v>102</v>
      </c>
      <c r="D21" s="93" t="s">
        <v>30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3" t="s">
        <v>103</v>
      </c>
      <c r="C22" s="94" t="s">
        <v>54</v>
      </c>
      <c r="D22" s="93" t="s">
        <v>138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f>F22*G22</f>
        <v>720.94365000000005</v>
      </c>
      <c r="J22" s="8"/>
      <c r="K22" s="8"/>
      <c r="L22" s="8"/>
      <c r="M22" s="8"/>
    </row>
    <row r="23" spans="1:13" ht="15.75" hidden="1" customHeight="1">
      <c r="A23" s="31">
        <v>8</v>
      </c>
      <c r="B23" s="93" t="s">
        <v>104</v>
      </c>
      <c r="C23" s="94" t="s">
        <v>54</v>
      </c>
      <c r="D23" s="93" t="s">
        <v>138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f t="shared" ref="I23:I26" si="1">F23*G23</f>
        <v>9.6552199999999999</v>
      </c>
      <c r="J23" s="8"/>
      <c r="K23" s="8"/>
      <c r="L23" s="8"/>
      <c r="M23" s="8"/>
    </row>
    <row r="24" spans="1:13" ht="15.75" hidden="1" customHeight="1">
      <c r="A24" s="31">
        <v>9</v>
      </c>
      <c r="B24" s="93" t="s">
        <v>105</v>
      </c>
      <c r="C24" s="94" t="s">
        <v>54</v>
      </c>
      <c r="D24" s="93" t="s">
        <v>139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f t="shared" si="1"/>
        <v>58.457999999999998</v>
      </c>
      <c r="J24" s="8"/>
      <c r="K24" s="8"/>
      <c r="L24" s="8"/>
      <c r="M24" s="8"/>
    </row>
    <row r="25" spans="1:13" ht="15.75" hidden="1" customHeight="1">
      <c r="A25" s="31">
        <v>10</v>
      </c>
      <c r="B25" s="93" t="s">
        <v>110</v>
      </c>
      <c r="C25" s="94" t="s">
        <v>102</v>
      </c>
      <c r="D25" s="93" t="s">
        <v>55</v>
      </c>
      <c r="E25" s="95">
        <v>14.25</v>
      </c>
      <c r="F25" s="96">
        <v>0.1</v>
      </c>
      <c r="G25" s="96">
        <v>216.12</v>
      </c>
      <c r="H25" s="97">
        <v>3.1E-2</v>
      </c>
      <c r="I25" s="13">
        <f t="shared" si="1"/>
        <v>21.612000000000002</v>
      </c>
      <c r="J25" s="8"/>
      <c r="K25" s="8"/>
      <c r="L25" s="8"/>
      <c r="M25" s="8"/>
    </row>
    <row r="26" spans="1:13" ht="15.75" hidden="1" customHeight="1">
      <c r="A26" s="31">
        <v>11</v>
      </c>
      <c r="B26" s="93" t="s">
        <v>106</v>
      </c>
      <c r="C26" s="94" t="s">
        <v>54</v>
      </c>
      <c r="D26" s="93" t="s">
        <v>138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f t="shared" si="1"/>
        <v>33.227039999999995</v>
      </c>
      <c r="J26" s="8"/>
      <c r="K26" s="8"/>
      <c r="L26" s="8"/>
      <c r="M26" s="8"/>
    </row>
    <row r="27" spans="1:13" ht="15.75" customHeight="1">
      <c r="A27" s="31">
        <v>6</v>
      </c>
      <c r="B27" s="93" t="s">
        <v>66</v>
      </c>
      <c r="C27" s="94" t="s">
        <v>33</v>
      </c>
      <c r="D27" s="34" t="s">
        <v>90</v>
      </c>
      <c r="E27" s="95">
        <v>0.1</v>
      </c>
      <c r="F27" s="96">
        <f>SUM(E27*365)</f>
        <v>36.5</v>
      </c>
      <c r="G27" s="96">
        <v>147.03</v>
      </c>
      <c r="H27" s="97">
        <f t="shared" si="0"/>
        <v>5.3665950000000002</v>
      </c>
      <c r="I27" s="13">
        <f>F27/12*G27</f>
        <v>447.21625</v>
      </c>
      <c r="J27" s="8"/>
      <c r="K27" s="8"/>
      <c r="L27" s="8"/>
      <c r="M27" s="8"/>
    </row>
    <row r="28" spans="1:13" ht="15.75" customHeight="1">
      <c r="A28" s="31">
        <v>7</v>
      </c>
      <c r="B28" s="99" t="s">
        <v>23</v>
      </c>
      <c r="C28" s="94" t="s">
        <v>24</v>
      </c>
      <c r="D28" s="34" t="s">
        <v>90</v>
      </c>
      <c r="E28" s="95">
        <v>2581.1999999999998</v>
      </c>
      <c r="F28" s="96">
        <f>SUM(E28*12)</f>
        <v>30974.399999999998</v>
      </c>
      <c r="G28" s="96">
        <v>4.8099999999999996</v>
      </c>
      <c r="H28" s="97">
        <f t="shared" si="0"/>
        <v>148.98686399999997</v>
      </c>
      <c r="I28" s="13">
        <f>F28/12*G28</f>
        <v>12415.571999999998</v>
      </c>
      <c r="J28" s="24"/>
      <c r="K28" s="8"/>
      <c r="L28" s="8"/>
      <c r="M28" s="8"/>
    </row>
    <row r="29" spans="1:13" ht="15.75" customHeight="1">
      <c r="A29" s="149" t="s">
        <v>89</v>
      </c>
      <c r="B29" s="149"/>
      <c r="C29" s="149"/>
      <c r="D29" s="149"/>
      <c r="E29" s="149"/>
      <c r="F29" s="149"/>
      <c r="G29" s="149"/>
      <c r="H29" s="149"/>
      <c r="I29" s="149"/>
      <c r="J29" s="24"/>
      <c r="K29" s="8"/>
      <c r="L29" s="8"/>
      <c r="M29" s="8"/>
    </row>
    <row r="30" spans="1:13" ht="15.75" customHeight="1">
      <c r="A30" s="41"/>
      <c r="B30" s="51" t="s">
        <v>28</v>
      </c>
      <c r="C30" s="51"/>
      <c r="D30" s="51"/>
      <c r="E30" s="51"/>
      <c r="F30" s="51"/>
      <c r="G30" s="51"/>
      <c r="H30" s="51"/>
      <c r="I30" s="19"/>
      <c r="J30" s="24"/>
      <c r="K30" s="8"/>
      <c r="L30" s="8"/>
      <c r="M30" s="8"/>
    </row>
    <row r="31" spans="1:13" ht="15.75" customHeight="1">
      <c r="A31" s="41">
        <v>8</v>
      </c>
      <c r="B31" s="93" t="s">
        <v>114</v>
      </c>
      <c r="C31" s="94" t="s">
        <v>115</v>
      </c>
      <c r="D31" s="93" t="s">
        <v>116</v>
      </c>
      <c r="E31" s="96">
        <v>1167.4000000000001</v>
      </c>
      <c r="F31" s="96">
        <f>SUM(E31*52/1000)</f>
        <v>60.704800000000006</v>
      </c>
      <c r="G31" s="96">
        <v>155.88999999999999</v>
      </c>
      <c r="H31" s="97">
        <f t="shared" ref="H31:H33" si="2">SUM(F31*G31/1000)</f>
        <v>9.4632712720000001</v>
      </c>
      <c r="I31" s="13">
        <f>F31/6*G31</f>
        <v>1577.2118786666665</v>
      </c>
      <c r="J31" s="24"/>
      <c r="K31" s="8"/>
      <c r="L31" s="8"/>
      <c r="M31" s="8"/>
    </row>
    <row r="32" spans="1:13" ht="31.5" customHeight="1">
      <c r="A32" s="41">
        <v>9</v>
      </c>
      <c r="B32" s="93" t="s">
        <v>154</v>
      </c>
      <c r="C32" s="94" t="s">
        <v>115</v>
      </c>
      <c r="D32" s="93" t="s">
        <v>117</v>
      </c>
      <c r="E32" s="96">
        <v>540.04999999999995</v>
      </c>
      <c r="F32" s="96">
        <f>SUM(E32*78/1000)</f>
        <v>42.123899999999992</v>
      </c>
      <c r="G32" s="96">
        <v>258.63</v>
      </c>
      <c r="H32" s="97">
        <f t="shared" si="2"/>
        <v>10.894504256999998</v>
      </c>
      <c r="I32" s="13">
        <f t="shared" ref="I32:I34" si="3">F32/6*G32</f>
        <v>1815.7507094999996</v>
      </c>
      <c r="J32" s="24"/>
      <c r="K32" s="8"/>
      <c r="L32" s="8"/>
      <c r="M32" s="8"/>
    </row>
    <row r="33" spans="1:13" ht="15.75" hidden="1" customHeight="1">
      <c r="A33" s="41">
        <v>16</v>
      </c>
      <c r="B33" s="93" t="s">
        <v>27</v>
      </c>
      <c r="C33" s="94" t="s">
        <v>115</v>
      </c>
      <c r="D33" s="93" t="s">
        <v>55</v>
      </c>
      <c r="E33" s="96">
        <v>1167.4000000000001</v>
      </c>
      <c r="F33" s="96">
        <f>SUM(E33/1000)</f>
        <v>1.1674</v>
      </c>
      <c r="G33" s="96">
        <v>3020.33</v>
      </c>
      <c r="H33" s="97">
        <f t="shared" si="2"/>
        <v>3.5259332420000002</v>
      </c>
      <c r="I33" s="13">
        <f>F33*G33</f>
        <v>3525.9332420000001</v>
      </c>
      <c r="J33" s="24"/>
      <c r="K33" s="8"/>
      <c r="L33" s="8"/>
      <c r="M33" s="8"/>
    </row>
    <row r="34" spans="1:13" ht="15.75" customHeight="1">
      <c r="A34" s="41">
        <v>10</v>
      </c>
      <c r="B34" s="93" t="s">
        <v>118</v>
      </c>
      <c r="C34" s="94" t="s">
        <v>31</v>
      </c>
      <c r="D34" s="93" t="s">
        <v>65</v>
      </c>
      <c r="E34" s="100">
        <v>0.33333333333333331</v>
      </c>
      <c r="F34" s="96">
        <f>155/3</f>
        <v>51.666666666666664</v>
      </c>
      <c r="G34" s="96">
        <v>56.69</v>
      </c>
      <c r="H34" s="97">
        <f>SUM(G34*155/3/1000)</f>
        <v>2.9289833333333331</v>
      </c>
      <c r="I34" s="13">
        <f t="shared" si="3"/>
        <v>488.16388888888883</v>
      </c>
      <c r="J34" s="24"/>
      <c r="K34" s="8"/>
      <c r="L34" s="8"/>
      <c r="M34" s="8"/>
    </row>
    <row r="35" spans="1:13" ht="15.75" hidden="1" customHeight="1">
      <c r="A35" s="41">
        <v>4</v>
      </c>
      <c r="B35" s="93" t="s">
        <v>67</v>
      </c>
      <c r="C35" s="94" t="s">
        <v>33</v>
      </c>
      <c r="D35" s="93" t="s">
        <v>68</v>
      </c>
      <c r="E35" s="95"/>
      <c r="F35" s="96">
        <v>3</v>
      </c>
      <c r="G35" s="96">
        <v>191.32</v>
      </c>
      <c r="H35" s="97">
        <f t="shared" ref="H35" si="4">SUM(F35*G35/1000)</f>
        <v>0.57396000000000003</v>
      </c>
      <c r="I35" s="13">
        <v>0</v>
      </c>
      <c r="J35" s="24"/>
      <c r="K35" s="8"/>
      <c r="L35" s="8"/>
      <c r="M35" s="8"/>
    </row>
    <row r="36" spans="1:13" ht="15.75" hidden="1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9"/>
      <c r="J36" s="24"/>
      <c r="K36" s="8"/>
      <c r="L36" s="8"/>
      <c r="M36" s="8"/>
    </row>
    <row r="37" spans="1:13" ht="15.75" hidden="1" customHeight="1">
      <c r="A37" s="41">
        <v>8</v>
      </c>
      <c r="B37" s="93" t="s">
        <v>26</v>
      </c>
      <c r="C37" s="94" t="s">
        <v>32</v>
      </c>
      <c r="D37" s="93"/>
      <c r="E37" s="95"/>
      <c r="F37" s="96">
        <v>6</v>
      </c>
      <c r="G37" s="96">
        <v>1527.2</v>
      </c>
      <c r="H37" s="97">
        <f t="shared" ref="H37:H42" si="5">SUM(F37*G37/1000)</f>
        <v>9.1632000000000016</v>
      </c>
      <c r="I37" s="13">
        <f t="shared" ref="I37:I42" si="6">F37/6*G37</f>
        <v>1527.2</v>
      </c>
      <c r="J37" s="24"/>
      <c r="K37" s="8"/>
      <c r="L37" s="8"/>
      <c r="M37" s="8"/>
    </row>
    <row r="38" spans="1:13" ht="15.75" hidden="1" customHeight="1">
      <c r="A38" s="35">
        <v>9</v>
      </c>
      <c r="B38" s="93" t="s">
        <v>69</v>
      </c>
      <c r="C38" s="94" t="s">
        <v>29</v>
      </c>
      <c r="D38" s="93" t="s">
        <v>143</v>
      </c>
      <c r="E38" s="96">
        <v>1080.0999999999999</v>
      </c>
      <c r="F38" s="96">
        <f>SUM(E38*30/1000)</f>
        <v>32.402999999999999</v>
      </c>
      <c r="G38" s="96">
        <v>2102.6999999999998</v>
      </c>
      <c r="H38" s="97">
        <f t="shared" si="5"/>
        <v>68.13378809999999</v>
      </c>
      <c r="I38" s="13">
        <f t="shared" si="6"/>
        <v>11355.63135</v>
      </c>
      <c r="J38" s="24"/>
      <c r="K38" s="8"/>
      <c r="L38" s="8"/>
      <c r="M38" s="8"/>
    </row>
    <row r="39" spans="1:13" ht="15.75" hidden="1" customHeight="1">
      <c r="A39" s="35">
        <v>10</v>
      </c>
      <c r="B39" s="93" t="s">
        <v>70</v>
      </c>
      <c r="C39" s="94" t="s">
        <v>29</v>
      </c>
      <c r="D39" s="93" t="s">
        <v>119</v>
      </c>
      <c r="E39" s="96">
        <v>45</v>
      </c>
      <c r="F39" s="96">
        <f>SUM(E39*155/1000)</f>
        <v>6.9749999999999996</v>
      </c>
      <c r="G39" s="96">
        <v>350.75</v>
      </c>
      <c r="H39" s="97">
        <f t="shared" si="5"/>
        <v>2.4464812499999997</v>
      </c>
      <c r="I39" s="13">
        <f t="shared" si="6"/>
        <v>407.74687499999993</v>
      </c>
      <c r="J39" s="24"/>
      <c r="K39" s="8"/>
      <c r="L39" s="8"/>
      <c r="M39" s="8"/>
    </row>
    <row r="40" spans="1:13" ht="47.25" hidden="1" customHeight="1">
      <c r="A40" s="35">
        <v>11</v>
      </c>
      <c r="B40" s="93" t="s">
        <v>87</v>
      </c>
      <c r="C40" s="94" t="s">
        <v>115</v>
      </c>
      <c r="D40" s="93" t="s">
        <v>71</v>
      </c>
      <c r="E40" s="96">
        <v>45</v>
      </c>
      <c r="F40" s="96">
        <f>SUM(E40*70/1000)</f>
        <v>3.15</v>
      </c>
      <c r="G40" s="96">
        <v>5803.28</v>
      </c>
      <c r="H40" s="97">
        <f t="shared" si="5"/>
        <v>18.280331999999998</v>
      </c>
      <c r="I40" s="13">
        <f t="shared" si="6"/>
        <v>3046.7220000000002</v>
      </c>
      <c r="J40" s="24"/>
      <c r="K40" s="8"/>
      <c r="L40" s="8"/>
      <c r="M40" s="8"/>
    </row>
    <row r="41" spans="1:13" ht="15.75" hidden="1" customHeight="1">
      <c r="A41" s="35">
        <v>12</v>
      </c>
      <c r="B41" s="93" t="s">
        <v>120</v>
      </c>
      <c r="C41" s="94" t="s">
        <v>115</v>
      </c>
      <c r="D41" s="93" t="s">
        <v>72</v>
      </c>
      <c r="E41" s="96">
        <v>45</v>
      </c>
      <c r="F41" s="96">
        <f>SUM(E41*45/1000)</f>
        <v>2.0249999999999999</v>
      </c>
      <c r="G41" s="96">
        <v>428.7</v>
      </c>
      <c r="H41" s="97">
        <f t="shared" si="5"/>
        <v>0.86811749999999999</v>
      </c>
      <c r="I41" s="13">
        <f t="shared" si="6"/>
        <v>144.68624999999997</v>
      </c>
      <c r="J41" s="24"/>
      <c r="K41" s="8"/>
      <c r="L41" s="8"/>
      <c r="M41" s="8"/>
    </row>
    <row r="42" spans="1:13" ht="15.75" hidden="1" customHeight="1">
      <c r="A42" s="35">
        <v>13</v>
      </c>
      <c r="B42" s="93" t="s">
        <v>73</v>
      </c>
      <c r="C42" s="94" t="s">
        <v>33</v>
      </c>
      <c r="D42" s="93"/>
      <c r="E42" s="95"/>
      <c r="F42" s="96">
        <v>0.6</v>
      </c>
      <c r="G42" s="96">
        <v>798</v>
      </c>
      <c r="H42" s="97">
        <f t="shared" si="5"/>
        <v>0.47879999999999995</v>
      </c>
      <c r="I42" s="13">
        <f t="shared" si="6"/>
        <v>79.8</v>
      </c>
      <c r="J42" s="24"/>
      <c r="K42" s="8"/>
      <c r="L42" s="8"/>
      <c r="M42" s="8"/>
    </row>
    <row r="43" spans="1:13" ht="15.75" customHeight="1">
      <c r="A43" s="150" t="s">
        <v>151</v>
      </c>
      <c r="B43" s="151"/>
      <c r="C43" s="151"/>
      <c r="D43" s="151"/>
      <c r="E43" s="151"/>
      <c r="F43" s="151"/>
      <c r="G43" s="151"/>
      <c r="H43" s="151"/>
      <c r="I43" s="152"/>
      <c r="J43" s="24"/>
      <c r="K43" s="8"/>
      <c r="L43" s="8"/>
      <c r="M43" s="8"/>
    </row>
    <row r="44" spans="1:13" ht="15.75" hidden="1" customHeight="1">
      <c r="A44" s="41">
        <v>11</v>
      </c>
      <c r="B44" s="93" t="s">
        <v>121</v>
      </c>
      <c r="C44" s="94" t="s">
        <v>115</v>
      </c>
      <c r="D44" s="93" t="s">
        <v>43</v>
      </c>
      <c r="E44" s="95">
        <v>965.8</v>
      </c>
      <c r="F44" s="96">
        <f>SUM(E44*2/1000)</f>
        <v>1.9316</v>
      </c>
      <c r="G44" s="13">
        <v>849.49</v>
      </c>
      <c r="H44" s="97">
        <f t="shared" ref="H44:H53" si="7">SUM(F44*G44/1000)</f>
        <v>1.640874884</v>
      </c>
      <c r="I44" s="13">
        <f t="shared" ref="I44:I47" si="8">F44/2*G44</f>
        <v>820.43744200000003</v>
      </c>
      <c r="J44" s="24"/>
      <c r="K44" s="8"/>
    </row>
    <row r="45" spans="1:13" ht="15.75" hidden="1" customHeight="1">
      <c r="A45" s="41">
        <v>12</v>
      </c>
      <c r="B45" s="93" t="s">
        <v>36</v>
      </c>
      <c r="C45" s="94" t="s">
        <v>115</v>
      </c>
      <c r="D45" s="93" t="s">
        <v>43</v>
      </c>
      <c r="E45" s="95">
        <v>36</v>
      </c>
      <c r="F45" s="96">
        <f>SUM(E45*2/1000)</f>
        <v>7.1999999999999995E-2</v>
      </c>
      <c r="G45" s="13">
        <v>579.48</v>
      </c>
      <c r="H45" s="97">
        <f t="shared" si="7"/>
        <v>4.1722559999999999E-2</v>
      </c>
      <c r="I45" s="13">
        <f t="shared" si="8"/>
        <v>20.861280000000001</v>
      </c>
      <c r="J45" s="25"/>
    </row>
    <row r="46" spans="1:13" ht="15.75" hidden="1" customHeight="1">
      <c r="A46" s="41">
        <v>13</v>
      </c>
      <c r="B46" s="93" t="s">
        <v>37</v>
      </c>
      <c r="C46" s="94" t="s">
        <v>115</v>
      </c>
      <c r="D46" s="93" t="s">
        <v>43</v>
      </c>
      <c r="E46" s="95">
        <v>1197.7</v>
      </c>
      <c r="F46" s="96">
        <f>SUM(E46*2/1000)</f>
        <v>2.3954</v>
      </c>
      <c r="G46" s="13">
        <v>579.48</v>
      </c>
      <c r="H46" s="97">
        <f t="shared" si="7"/>
        <v>1.3880863919999999</v>
      </c>
      <c r="I46" s="13">
        <f t="shared" si="8"/>
        <v>694.04319599999997</v>
      </c>
      <c r="J46" s="25"/>
    </row>
    <row r="47" spans="1:13" ht="15.75" hidden="1" customHeight="1">
      <c r="A47" s="41">
        <v>14</v>
      </c>
      <c r="B47" s="93" t="s">
        <v>38</v>
      </c>
      <c r="C47" s="94" t="s">
        <v>115</v>
      </c>
      <c r="D47" s="93" t="s">
        <v>43</v>
      </c>
      <c r="E47" s="95">
        <v>2275.92</v>
      </c>
      <c r="F47" s="96">
        <f>SUM(E47*2/1000)</f>
        <v>4.5518400000000003</v>
      </c>
      <c r="G47" s="13">
        <v>606.77</v>
      </c>
      <c r="H47" s="97">
        <f t="shared" si="7"/>
        <v>2.7619199567999999</v>
      </c>
      <c r="I47" s="13">
        <f t="shared" si="8"/>
        <v>1380.9599784</v>
      </c>
      <c r="J47" s="25"/>
    </row>
    <row r="48" spans="1:13" ht="15.75" hidden="1" customHeight="1">
      <c r="A48" s="41">
        <v>15</v>
      </c>
      <c r="B48" s="93" t="s">
        <v>34</v>
      </c>
      <c r="C48" s="94" t="s">
        <v>35</v>
      </c>
      <c r="D48" s="93" t="s">
        <v>43</v>
      </c>
      <c r="E48" s="95">
        <v>81.709999999999994</v>
      </c>
      <c r="F48" s="96">
        <f>SUM(E48*2/100)</f>
        <v>1.6341999999999999</v>
      </c>
      <c r="G48" s="13">
        <v>68.56</v>
      </c>
      <c r="H48" s="97">
        <f t="shared" si="7"/>
        <v>0.11204075199999999</v>
      </c>
      <c r="I48" s="13">
        <f>F48/2*G48</f>
        <v>56.020375999999999</v>
      </c>
      <c r="J48" s="25"/>
    </row>
    <row r="49" spans="1:14" ht="15.75" hidden="1" customHeight="1">
      <c r="A49" s="41">
        <v>16</v>
      </c>
      <c r="B49" s="93" t="s">
        <v>58</v>
      </c>
      <c r="C49" s="94" t="s">
        <v>115</v>
      </c>
      <c r="D49" s="93" t="s">
        <v>155</v>
      </c>
      <c r="E49" s="95">
        <v>1711.8</v>
      </c>
      <c r="F49" s="96">
        <f>SUM(E49*5/1000)</f>
        <v>8.5589999999999993</v>
      </c>
      <c r="G49" s="13">
        <v>1213.55</v>
      </c>
      <c r="H49" s="97">
        <f t="shared" si="7"/>
        <v>10.386774449999999</v>
      </c>
      <c r="I49" s="13">
        <f>F49/5*G49</f>
        <v>2077.3548899999996</v>
      </c>
      <c r="J49" s="25"/>
    </row>
    <row r="50" spans="1:14" ht="31.5" hidden="1" customHeight="1">
      <c r="A50" s="41">
        <v>17</v>
      </c>
      <c r="B50" s="93" t="s">
        <v>122</v>
      </c>
      <c r="C50" s="94" t="s">
        <v>115</v>
      </c>
      <c r="D50" s="93" t="s">
        <v>43</v>
      </c>
      <c r="E50" s="95">
        <v>1711.8</v>
      </c>
      <c r="F50" s="96">
        <f>SUM(E50*2/1000)</f>
        <v>3.4236</v>
      </c>
      <c r="G50" s="13">
        <v>1213.55</v>
      </c>
      <c r="H50" s="97">
        <f t="shared" si="7"/>
        <v>4.1547097800000001</v>
      </c>
      <c r="I50" s="13">
        <f>F50/2*G50</f>
        <v>2077.3548900000001</v>
      </c>
      <c r="J50" s="25"/>
    </row>
    <row r="51" spans="1:14" ht="31.5" hidden="1" customHeight="1">
      <c r="A51" s="41">
        <v>18</v>
      </c>
      <c r="B51" s="93" t="s">
        <v>123</v>
      </c>
      <c r="C51" s="94" t="s">
        <v>39</v>
      </c>
      <c r="D51" s="93" t="s">
        <v>43</v>
      </c>
      <c r="E51" s="95">
        <v>15</v>
      </c>
      <c r="F51" s="96">
        <f>SUM(E51*2/100)</f>
        <v>0.3</v>
      </c>
      <c r="G51" s="13">
        <v>2730.49</v>
      </c>
      <c r="H51" s="97">
        <f t="shared" si="7"/>
        <v>0.81914699999999996</v>
      </c>
      <c r="I51" s="13">
        <f t="shared" ref="I51:I52" si="9">F51/2*G51</f>
        <v>409.57349999999997</v>
      </c>
      <c r="J51" s="25"/>
    </row>
    <row r="52" spans="1:14" ht="15.75" hidden="1" customHeight="1">
      <c r="A52" s="41">
        <v>19</v>
      </c>
      <c r="B52" s="93" t="s">
        <v>40</v>
      </c>
      <c r="C52" s="94" t="s">
        <v>41</v>
      </c>
      <c r="D52" s="93" t="s">
        <v>43</v>
      </c>
      <c r="E52" s="95">
        <v>1</v>
      </c>
      <c r="F52" s="96">
        <v>0.02</v>
      </c>
      <c r="G52" s="13">
        <v>5322.15</v>
      </c>
      <c r="H52" s="97">
        <f t="shared" si="7"/>
        <v>0.106443</v>
      </c>
      <c r="I52" s="13">
        <f t="shared" si="9"/>
        <v>53.221499999999999</v>
      </c>
      <c r="J52" s="25"/>
      <c r="L52" s="21"/>
      <c r="M52" s="22"/>
      <c r="N52" s="23"/>
    </row>
    <row r="53" spans="1:14" ht="15.75" customHeight="1">
      <c r="A53" s="41">
        <v>11</v>
      </c>
      <c r="B53" s="93" t="s">
        <v>42</v>
      </c>
      <c r="C53" s="94" t="s">
        <v>95</v>
      </c>
      <c r="D53" s="93" t="s">
        <v>74</v>
      </c>
      <c r="E53" s="95">
        <v>90</v>
      </c>
      <c r="F53" s="96">
        <f>SUM(E53)*3</f>
        <v>270</v>
      </c>
      <c r="G53" s="13">
        <v>65.67</v>
      </c>
      <c r="H53" s="97">
        <f t="shared" si="7"/>
        <v>17.730900000000002</v>
      </c>
      <c r="I53" s="13">
        <f>E53*G53</f>
        <v>5910.3</v>
      </c>
      <c r="J53" s="25"/>
      <c r="L53" s="21"/>
      <c r="M53" s="22"/>
      <c r="N53" s="23"/>
    </row>
    <row r="54" spans="1:14" ht="15.75" customHeight="1">
      <c r="A54" s="150" t="s">
        <v>152</v>
      </c>
      <c r="B54" s="151"/>
      <c r="C54" s="151"/>
      <c r="D54" s="151"/>
      <c r="E54" s="151"/>
      <c r="F54" s="151"/>
      <c r="G54" s="151"/>
      <c r="H54" s="151"/>
      <c r="I54" s="152"/>
      <c r="J54" s="25"/>
      <c r="L54" s="21"/>
      <c r="M54" s="22"/>
      <c r="N54" s="23"/>
    </row>
    <row r="55" spans="1:14" ht="15.75" hidden="1" customHeight="1">
      <c r="A55" s="92"/>
      <c r="B55" s="48" t="s">
        <v>44</v>
      </c>
      <c r="C55" s="17"/>
      <c r="D55" s="16"/>
      <c r="E55" s="16"/>
      <c r="F55" s="16"/>
      <c r="G55" s="31"/>
      <c r="H55" s="31"/>
      <c r="I55" s="19"/>
      <c r="J55" s="25"/>
      <c r="L55" s="21"/>
      <c r="M55" s="22"/>
      <c r="N55" s="23"/>
    </row>
    <row r="56" spans="1:14" ht="31.5" hidden="1" customHeight="1">
      <c r="A56" s="41">
        <v>14</v>
      </c>
      <c r="B56" s="93" t="s">
        <v>124</v>
      </c>
      <c r="C56" s="94" t="s">
        <v>102</v>
      </c>
      <c r="D56" s="93" t="s">
        <v>125</v>
      </c>
      <c r="E56" s="95">
        <v>96.58</v>
      </c>
      <c r="F56" s="96">
        <f>SUM(E56*6/100)</f>
        <v>5.7948000000000004</v>
      </c>
      <c r="G56" s="13">
        <v>1547.28</v>
      </c>
      <c r="H56" s="97">
        <f>SUM(F56*G56/1000)</f>
        <v>8.9661781440000006</v>
      </c>
      <c r="I56" s="13">
        <f>F56/6*G56</f>
        <v>1494.3630240000002</v>
      </c>
      <c r="J56" s="25"/>
      <c r="L56" s="21"/>
      <c r="M56" s="22"/>
      <c r="N56" s="23"/>
    </row>
    <row r="57" spans="1:14" ht="15.75" customHeight="1">
      <c r="A57" s="41"/>
      <c r="B57" s="69" t="s">
        <v>45</v>
      </c>
      <c r="C57" s="40"/>
      <c r="D57" s="34"/>
      <c r="E57" s="19"/>
      <c r="F57" s="87"/>
      <c r="G57" s="37"/>
      <c r="H57" s="70"/>
      <c r="I57" s="20"/>
      <c r="J57" s="25"/>
      <c r="L57" s="21"/>
      <c r="M57" s="22"/>
      <c r="N57" s="23"/>
    </row>
    <row r="58" spans="1:14" ht="15.75" hidden="1" customHeight="1">
      <c r="A58" s="41"/>
      <c r="B58" s="93" t="s">
        <v>46</v>
      </c>
      <c r="C58" s="94" t="s">
        <v>102</v>
      </c>
      <c r="D58" s="93" t="s">
        <v>55</v>
      </c>
      <c r="E58" s="95">
        <v>855.9</v>
      </c>
      <c r="F58" s="97">
        <v>8.6</v>
      </c>
      <c r="G58" s="13">
        <v>747.3</v>
      </c>
      <c r="H58" s="101">
        <v>6.4</v>
      </c>
      <c r="I58" s="13">
        <v>0</v>
      </c>
      <c r="J58" s="25"/>
      <c r="L58" s="21"/>
      <c r="M58" s="22"/>
      <c r="N58" s="23"/>
    </row>
    <row r="59" spans="1:14" ht="15.75" customHeight="1">
      <c r="A59" s="41">
        <v>12</v>
      </c>
      <c r="B59" s="93" t="s">
        <v>96</v>
      </c>
      <c r="C59" s="94" t="s">
        <v>25</v>
      </c>
      <c r="D59" s="93" t="s">
        <v>144</v>
      </c>
      <c r="E59" s="95">
        <v>256</v>
      </c>
      <c r="F59" s="97">
        <f>E59*12</f>
        <v>3072</v>
      </c>
      <c r="G59" s="13">
        <v>2.5958999999999999</v>
      </c>
      <c r="H59" s="101">
        <f>F59*G59/1000</f>
        <v>7.9746047999999989</v>
      </c>
      <c r="I59" s="13">
        <f>F59/12*G59</f>
        <v>664.55039999999997</v>
      </c>
      <c r="J59" s="25"/>
      <c r="L59" s="21"/>
      <c r="M59" s="22"/>
      <c r="N59" s="23"/>
    </row>
    <row r="60" spans="1:14" ht="15.75" hidden="1" customHeight="1">
      <c r="A60" s="41"/>
      <c r="B60" s="69" t="s">
        <v>145</v>
      </c>
      <c r="C60" s="40"/>
      <c r="D60" s="34"/>
      <c r="E60" s="19"/>
      <c r="F60" s="87"/>
      <c r="G60" s="71"/>
      <c r="H60" s="70"/>
      <c r="I60" s="20"/>
      <c r="J60" s="25"/>
      <c r="L60" s="21"/>
      <c r="M60" s="22"/>
      <c r="N60" s="23"/>
    </row>
    <row r="61" spans="1:14" ht="15.75" hidden="1" customHeight="1">
      <c r="A61" s="41"/>
      <c r="B61" s="93" t="s">
        <v>146</v>
      </c>
      <c r="C61" s="94" t="s">
        <v>95</v>
      </c>
      <c r="D61" s="93" t="s">
        <v>68</v>
      </c>
      <c r="E61" s="95">
        <v>2</v>
      </c>
      <c r="F61" s="96">
        <f>SUM(E61)</f>
        <v>2</v>
      </c>
      <c r="G61" s="102">
        <v>237.75</v>
      </c>
      <c r="H61" s="97">
        <f t="shared" ref="H61" si="10">SUM(F61*G61/1000)</f>
        <v>0.47549999999999998</v>
      </c>
      <c r="I61" s="13">
        <v>0</v>
      </c>
      <c r="J61" s="25"/>
      <c r="L61" s="21"/>
      <c r="M61" s="22"/>
      <c r="N61" s="23"/>
    </row>
    <row r="62" spans="1:14" ht="15.75" customHeight="1">
      <c r="A62" s="41"/>
      <c r="B62" s="83" t="s">
        <v>47</v>
      </c>
      <c r="C62" s="17"/>
      <c r="D62" s="16"/>
      <c r="E62" s="16"/>
      <c r="F62" s="88"/>
      <c r="G62" s="65"/>
      <c r="H62" s="70"/>
      <c r="I62" s="19"/>
      <c r="J62" s="25"/>
      <c r="L62" s="21"/>
      <c r="M62" s="22"/>
      <c r="N62" s="23"/>
    </row>
    <row r="63" spans="1:14" ht="15.75" customHeight="1">
      <c r="A63" s="41">
        <v>13</v>
      </c>
      <c r="B63" s="15" t="s">
        <v>48</v>
      </c>
      <c r="C63" s="17" t="s">
        <v>95</v>
      </c>
      <c r="D63" s="93" t="s">
        <v>68</v>
      </c>
      <c r="E63" s="19">
        <v>10</v>
      </c>
      <c r="F63" s="96">
        <v>10</v>
      </c>
      <c r="G63" s="13">
        <v>222.4</v>
      </c>
      <c r="H63" s="103">
        <f t="shared" ref="H63:H70" si="11">SUM(F63*G63/1000)</f>
        <v>2.2240000000000002</v>
      </c>
      <c r="I63" s="13">
        <f>G63</f>
        <v>222.4</v>
      </c>
      <c r="J63" s="25"/>
      <c r="L63" s="21"/>
      <c r="M63" s="22"/>
      <c r="N63" s="23"/>
    </row>
    <row r="64" spans="1:14" ht="15.75" hidden="1" customHeight="1">
      <c r="A64" s="31">
        <v>29</v>
      </c>
      <c r="B64" s="15" t="s">
        <v>49</v>
      </c>
      <c r="C64" s="17" t="s">
        <v>95</v>
      </c>
      <c r="D64" s="93" t="s">
        <v>68</v>
      </c>
      <c r="E64" s="19">
        <v>5</v>
      </c>
      <c r="F64" s="96">
        <v>5</v>
      </c>
      <c r="G64" s="13">
        <v>75.25</v>
      </c>
      <c r="H64" s="103">
        <f t="shared" si="11"/>
        <v>0.37624999999999997</v>
      </c>
      <c r="I64" s="13">
        <v>0</v>
      </c>
      <c r="J64" s="25"/>
      <c r="L64" s="21"/>
      <c r="M64" s="22"/>
      <c r="N64" s="23"/>
    </row>
    <row r="65" spans="1:14" ht="15.75" hidden="1" customHeight="1">
      <c r="A65" s="31">
        <v>25</v>
      </c>
      <c r="B65" s="15" t="s">
        <v>50</v>
      </c>
      <c r="C65" s="17" t="s">
        <v>126</v>
      </c>
      <c r="D65" s="15" t="s">
        <v>55</v>
      </c>
      <c r="E65" s="95">
        <v>13018</v>
      </c>
      <c r="F65" s="13">
        <f>SUM(E65/100)</f>
        <v>130.18</v>
      </c>
      <c r="G65" s="13">
        <v>212.15</v>
      </c>
      <c r="H65" s="103">
        <f t="shared" si="11"/>
        <v>27.617687</v>
      </c>
      <c r="I65" s="13">
        <f>F65*G65</f>
        <v>27617.687000000002</v>
      </c>
      <c r="J65" s="25"/>
      <c r="L65" s="21"/>
      <c r="M65" s="22"/>
      <c r="N65" s="23"/>
    </row>
    <row r="66" spans="1:14" ht="15.75" hidden="1" customHeight="1">
      <c r="A66" s="31">
        <v>26</v>
      </c>
      <c r="B66" s="15" t="s">
        <v>51</v>
      </c>
      <c r="C66" s="17" t="s">
        <v>127</v>
      </c>
      <c r="D66" s="15"/>
      <c r="E66" s="95">
        <v>13018</v>
      </c>
      <c r="F66" s="13">
        <f>SUM(E66/1000)</f>
        <v>13.018000000000001</v>
      </c>
      <c r="G66" s="13">
        <v>165.21</v>
      </c>
      <c r="H66" s="103">
        <f t="shared" si="11"/>
        <v>2.1507037800000002</v>
      </c>
      <c r="I66" s="13">
        <f t="shared" ref="I66:I70" si="12">F66*G66</f>
        <v>2150.7037800000003</v>
      </c>
      <c r="J66" s="25"/>
      <c r="L66" s="21"/>
      <c r="M66" s="22"/>
      <c r="N66" s="23"/>
    </row>
    <row r="67" spans="1:14" ht="15.75" hidden="1" customHeight="1">
      <c r="A67" s="31">
        <v>27</v>
      </c>
      <c r="B67" s="15" t="s">
        <v>52</v>
      </c>
      <c r="C67" s="17" t="s">
        <v>79</v>
      </c>
      <c r="D67" s="15" t="s">
        <v>55</v>
      </c>
      <c r="E67" s="95">
        <v>1279</v>
      </c>
      <c r="F67" s="13">
        <f>SUM(E67/100)</f>
        <v>12.79</v>
      </c>
      <c r="G67" s="13">
        <v>2074.63</v>
      </c>
      <c r="H67" s="103">
        <f t="shared" si="11"/>
        <v>26.534517700000002</v>
      </c>
      <c r="I67" s="13">
        <f t="shared" si="12"/>
        <v>26534.5177</v>
      </c>
      <c r="J67" s="25"/>
      <c r="L67" s="21"/>
      <c r="M67" s="22"/>
      <c r="N67" s="23"/>
    </row>
    <row r="68" spans="1:14" ht="15.75" hidden="1" customHeight="1">
      <c r="A68" s="31">
        <v>28</v>
      </c>
      <c r="B68" s="104" t="s">
        <v>128</v>
      </c>
      <c r="C68" s="17" t="s">
        <v>33</v>
      </c>
      <c r="D68" s="15"/>
      <c r="E68" s="95">
        <v>12</v>
      </c>
      <c r="F68" s="13">
        <f>SUM(E68)</f>
        <v>12</v>
      </c>
      <c r="G68" s="13">
        <v>45.32</v>
      </c>
      <c r="H68" s="103">
        <f t="shared" si="11"/>
        <v>0.54383999999999999</v>
      </c>
      <c r="I68" s="13">
        <f t="shared" si="12"/>
        <v>543.84</v>
      </c>
      <c r="J68" s="25"/>
      <c r="L68" s="21"/>
      <c r="M68" s="22"/>
      <c r="N68" s="23"/>
    </row>
    <row r="69" spans="1:14" ht="15.75" hidden="1" customHeight="1">
      <c r="A69" s="31">
        <v>29</v>
      </c>
      <c r="B69" s="104" t="s">
        <v>129</v>
      </c>
      <c r="C69" s="17" t="s">
        <v>33</v>
      </c>
      <c r="D69" s="15"/>
      <c r="E69" s="95">
        <v>12</v>
      </c>
      <c r="F69" s="13">
        <f>SUM(E69)</f>
        <v>12</v>
      </c>
      <c r="G69" s="13">
        <v>42.28</v>
      </c>
      <c r="H69" s="103">
        <f t="shared" si="11"/>
        <v>0.50736000000000003</v>
      </c>
      <c r="I69" s="13">
        <f t="shared" si="12"/>
        <v>507.36</v>
      </c>
      <c r="J69" s="25"/>
      <c r="L69" s="21"/>
      <c r="M69" s="22"/>
      <c r="N69" s="23"/>
    </row>
    <row r="70" spans="1:14" ht="15.75" hidden="1" customHeight="1">
      <c r="A70" s="31">
        <v>22</v>
      </c>
      <c r="B70" s="15" t="s">
        <v>59</v>
      </c>
      <c r="C70" s="17" t="s">
        <v>60</v>
      </c>
      <c r="D70" s="15" t="s">
        <v>55</v>
      </c>
      <c r="E70" s="19">
        <v>1</v>
      </c>
      <c r="F70" s="96">
        <f>SUM(E70)</f>
        <v>1</v>
      </c>
      <c r="G70" s="13">
        <v>49.88</v>
      </c>
      <c r="H70" s="103">
        <f t="shared" si="11"/>
        <v>4.9880000000000001E-2</v>
      </c>
      <c r="I70" s="13">
        <f t="shared" si="12"/>
        <v>49.88</v>
      </c>
      <c r="J70" s="25"/>
      <c r="L70" s="21"/>
      <c r="M70" s="22"/>
      <c r="N70" s="23"/>
    </row>
    <row r="71" spans="1:14" ht="15.75" hidden="1" customHeight="1">
      <c r="A71" s="92"/>
      <c r="B71" s="83" t="s">
        <v>130</v>
      </c>
      <c r="C71" s="83"/>
      <c r="D71" s="83"/>
      <c r="E71" s="83"/>
      <c r="F71" s="83"/>
      <c r="G71" s="83"/>
      <c r="H71" s="83"/>
      <c r="I71" s="19"/>
      <c r="J71" s="25"/>
      <c r="L71" s="21"/>
      <c r="M71" s="22"/>
      <c r="N71" s="23"/>
    </row>
    <row r="72" spans="1:14" ht="15.75" hidden="1" customHeight="1">
      <c r="A72" s="31">
        <v>16</v>
      </c>
      <c r="B72" s="93" t="s">
        <v>131</v>
      </c>
      <c r="C72" s="17"/>
      <c r="D72" s="15"/>
      <c r="E72" s="87"/>
      <c r="F72" s="13">
        <v>1</v>
      </c>
      <c r="G72" s="13">
        <v>10041.700000000001</v>
      </c>
      <c r="H72" s="103">
        <f>G72*F72/1000</f>
        <v>10.041700000000001</v>
      </c>
      <c r="I72" s="13">
        <f>G72</f>
        <v>10041.700000000001</v>
      </c>
      <c r="J72" s="25"/>
      <c r="L72" s="21"/>
      <c r="M72" s="22"/>
      <c r="N72" s="23"/>
    </row>
    <row r="73" spans="1:14" ht="15.75" hidden="1" customHeight="1">
      <c r="A73" s="31"/>
      <c r="B73" s="49" t="s">
        <v>75</v>
      </c>
      <c r="C73" s="49"/>
      <c r="D73" s="49"/>
      <c r="E73" s="19"/>
      <c r="F73" s="19"/>
      <c r="G73" s="31"/>
      <c r="H73" s="31"/>
      <c r="I73" s="19"/>
      <c r="J73" s="25"/>
      <c r="L73" s="21"/>
      <c r="M73" s="22"/>
      <c r="N73" s="23"/>
    </row>
    <row r="74" spans="1:14" ht="15.75" hidden="1" customHeight="1">
      <c r="A74" s="31">
        <v>23</v>
      </c>
      <c r="B74" s="15" t="s">
        <v>76</v>
      </c>
      <c r="C74" s="17" t="s">
        <v>77</v>
      </c>
      <c r="D74" s="15" t="s">
        <v>68</v>
      </c>
      <c r="E74" s="19">
        <v>5</v>
      </c>
      <c r="F74" s="13">
        <v>0.5</v>
      </c>
      <c r="G74" s="13">
        <v>501.62</v>
      </c>
      <c r="H74" s="103">
        <f t="shared" ref="H74:H76" si="13">SUM(F74*G74/1000)</f>
        <v>0.25080999999999998</v>
      </c>
      <c r="I74" s="13">
        <f>G74*0.2</f>
        <v>100.32400000000001</v>
      </c>
      <c r="J74" s="25"/>
      <c r="L74" s="21"/>
      <c r="M74" s="22"/>
      <c r="N74" s="23"/>
    </row>
    <row r="75" spans="1:14" ht="15.75" hidden="1" customHeight="1">
      <c r="A75" s="31"/>
      <c r="B75" s="15" t="s">
        <v>147</v>
      </c>
      <c r="C75" s="17" t="s">
        <v>95</v>
      </c>
      <c r="D75" s="15"/>
      <c r="E75" s="19">
        <v>1</v>
      </c>
      <c r="F75" s="86">
        <f>E75</f>
        <v>1</v>
      </c>
      <c r="G75" s="13">
        <v>852.99</v>
      </c>
      <c r="H75" s="103">
        <f t="shared" si="13"/>
        <v>0.85299000000000003</v>
      </c>
      <c r="I75" s="13">
        <v>0</v>
      </c>
      <c r="J75" s="25"/>
      <c r="L75" s="21"/>
      <c r="M75" s="22"/>
      <c r="N75" s="23"/>
    </row>
    <row r="76" spans="1:14" ht="15.75" hidden="1" customHeight="1">
      <c r="A76" s="31"/>
      <c r="B76" s="15" t="s">
        <v>148</v>
      </c>
      <c r="C76" s="17" t="s">
        <v>95</v>
      </c>
      <c r="D76" s="15"/>
      <c r="E76" s="19">
        <v>1</v>
      </c>
      <c r="F76" s="96">
        <f>SUM(E76)</f>
        <v>1</v>
      </c>
      <c r="G76" s="13">
        <v>358.51</v>
      </c>
      <c r="H76" s="103">
        <f t="shared" si="13"/>
        <v>0.35851</v>
      </c>
      <c r="I76" s="13">
        <v>0</v>
      </c>
      <c r="J76" s="25"/>
      <c r="L76" s="21"/>
      <c r="M76" s="22"/>
      <c r="N76" s="23"/>
    </row>
    <row r="77" spans="1:14" ht="15.75" hidden="1" customHeight="1">
      <c r="A77" s="31"/>
      <c r="B77" s="50" t="s">
        <v>78</v>
      </c>
      <c r="C77" s="38"/>
      <c r="D77" s="31"/>
      <c r="E77" s="19"/>
      <c r="F77" s="19"/>
      <c r="G77" s="37" t="s">
        <v>132</v>
      </c>
      <c r="H77" s="37"/>
      <c r="I77" s="19"/>
      <c r="J77" s="25"/>
      <c r="L77" s="21"/>
      <c r="M77" s="22"/>
      <c r="N77" s="23"/>
    </row>
    <row r="78" spans="1:14" ht="15.75" hidden="1" customHeight="1">
      <c r="A78" s="31">
        <v>12</v>
      </c>
      <c r="B78" s="52" t="s">
        <v>133</v>
      </c>
      <c r="C78" s="17" t="s">
        <v>79</v>
      </c>
      <c r="D78" s="15"/>
      <c r="E78" s="19"/>
      <c r="F78" s="13">
        <v>0.3</v>
      </c>
      <c r="G78" s="13">
        <v>2759.44</v>
      </c>
      <c r="H78" s="103">
        <f t="shared" ref="H78" si="14">SUM(F78*G78/1000)</f>
        <v>0.82783200000000001</v>
      </c>
      <c r="I78" s="13">
        <v>0</v>
      </c>
      <c r="J78" s="25"/>
      <c r="L78" s="21"/>
      <c r="M78" s="22"/>
      <c r="N78" s="23"/>
    </row>
    <row r="79" spans="1:14" ht="15.75" customHeight="1">
      <c r="A79" s="154" t="s">
        <v>153</v>
      </c>
      <c r="B79" s="155"/>
      <c r="C79" s="155"/>
      <c r="D79" s="155"/>
      <c r="E79" s="155"/>
      <c r="F79" s="155"/>
      <c r="G79" s="155"/>
      <c r="H79" s="155"/>
      <c r="I79" s="156"/>
      <c r="J79" s="25"/>
      <c r="L79" s="21"/>
      <c r="M79" s="22"/>
      <c r="N79" s="23"/>
    </row>
    <row r="80" spans="1:14" ht="15.75" customHeight="1">
      <c r="A80" s="31">
        <v>14</v>
      </c>
      <c r="B80" s="93" t="s">
        <v>134</v>
      </c>
      <c r="C80" s="17" t="s">
        <v>56</v>
      </c>
      <c r="D80" s="106" t="s">
        <v>57</v>
      </c>
      <c r="E80" s="13">
        <v>2581.1999999999998</v>
      </c>
      <c r="F80" s="13">
        <f>SUM(E80*12)</f>
        <v>30974.399999999998</v>
      </c>
      <c r="G80" s="13">
        <v>2.1</v>
      </c>
      <c r="H80" s="103">
        <f>SUM(F80*G80/1000)</f>
        <v>65.046239999999997</v>
      </c>
      <c r="I80" s="13">
        <f>F80/12*G80</f>
        <v>5420.5199999999995</v>
      </c>
      <c r="J80" s="25"/>
      <c r="L80" s="21"/>
    </row>
    <row r="81" spans="1:22" ht="31.5" customHeight="1">
      <c r="A81" s="31">
        <v>15</v>
      </c>
      <c r="B81" s="15" t="s">
        <v>80</v>
      </c>
      <c r="C81" s="17"/>
      <c r="D81" s="106" t="s">
        <v>57</v>
      </c>
      <c r="E81" s="95">
        <v>2581.1999999999998</v>
      </c>
      <c r="F81" s="13">
        <f>E81*12</f>
        <v>30974.399999999998</v>
      </c>
      <c r="G81" s="13">
        <v>1.63</v>
      </c>
      <c r="H81" s="103">
        <f>F81*G81/1000</f>
        <v>50.488271999999988</v>
      </c>
      <c r="I81" s="13">
        <f>F81/12*G81</f>
        <v>4207.3559999999998</v>
      </c>
    </row>
    <row r="82" spans="1:22" ht="15.75" customHeight="1">
      <c r="A82" s="92"/>
      <c r="B82" s="39" t="s">
        <v>83</v>
      </c>
      <c r="C82" s="41"/>
      <c r="D82" s="16"/>
      <c r="E82" s="16"/>
      <c r="F82" s="16"/>
      <c r="G82" s="19"/>
      <c r="H82" s="19"/>
      <c r="I82" s="33">
        <f>SUM(I16+I17+I18+I20+I21+I27+I28+I31+I32+I34+I53+I59+I63+I80+I81)</f>
        <v>39567.364483055549</v>
      </c>
    </row>
    <row r="83" spans="1:22" ht="15.75" customHeight="1">
      <c r="A83" s="157" t="s">
        <v>62</v>
      </c>
      <c r="B83" s="158"/>
      <c r="C83" s="158"/>
      <c r="D83" s="158"/>
      <c r="E83" s="158"/>
      <c r="F83" s="158"/>
      <c r="G83" s="158"/>
      <c r="H83" s="158"/>
      <c r="I83" s="159"/>
    </row>
    <row r="84" spans="1:22" ht="15.75" customHeight="1">
      <c r="A84" s="31">
        <v>16</v>
      </c>
      <c r="B84" s="67" t="s">
        <v>107</v>
      </c>
      <c r="C84" s="68" t="s">
        <v>95</v>
      </c>
      <c r="D84" s="52"/>
      <c r="E84" s="13"/>
      <c r="F84" s="13">
        <v>368</v>
      </c>
      <c r="G84" s="13">
        <v>53.42</v>
      </c>
      <c r="H84" s="103" t="e">
        <f>#REF!*#REF!/1000</f>
        <v>#REF!</v>
      </c>
      <c r="I84" s="13">
        <f>G84*46</f>
        <v>2457.3200000000002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9"/>
    </row>
    <row r="85" spans="1:22" ht="31.5" customHeight="1">
      <c r="A85" s="31">
        <v>17</v>
      </c>
      <c r="B85" s="107" t="s">
        <v>160</v>
      </c>
      <c r="C85" s="108" t="s">
        <v>84</v>
      </c>
      <c r="D85" s="66"/>
      <c r="E85" s="37"/>
      <c r="F85" s="37">
        <v>8.9</v>
      </c>
      <c r="G85" s="37">
        <v>1187</v>
      </c>
      <c r="H85" s="105">
        <f t="shared" ref="H85:H87" si="15">G85*F85/1000</f>
        <v>10.564300000000001</v>
      </c>
      <c r="I85" s="13">
        <f>G85*4</f>
        <v>4748</v>
      </c>
      <c r="J85" s="27"/>
      <c r="K85" s="27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2" ht="15.75" customHeight="1">
      <c r="A86" s="31">
        <v>18</v>
      </c>
      <c r="B86" s="67" t="s">
        <v>85</v>
      </c>
      <c r="C86" s="68" t="s">
        <v>95</v>
      </c>
      <c r="D86" s="66"/>
      <c r="E86" s="37"/>
      <c r="F86" s="37">
        <v>6</v>
      </c>
      <c r="G86" s="37">
        <v>189.88</v>
      </c>
      <c r="H86" s="105">
        <f t="shared" si="15"/>
        <v>1.1392800000000001</v>
      </c>
      <c r="I86" s="13">
        <f>G86</f>
        <v>189.88</v>
      </c>
      <c r="J86" s="27"/>
      <c r="K86" s="27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2" ht="31.5" customHeight="1">
      <c r="A87" s="31">
        <v>19</v>
      </c>
      <c r="B87" s="67" t="s">
        <v>86</v>
      </c>
      <c r="C87" s="68" t="s">
        <v>39</v>
      </c>
      <c r="D87" s="66"/>
      <c r="E87" s="37"/>
      <c r="F87" s="37">
        <v>0.05</v>
      </c>
      <c r="G87" s="37">
        <v>3581.13</v>
      </c>
      <c r="H87" s="105">
        <f t="shared" si="15"/>
        <v>0.17905650000000004</v>
      </c>
      <c r="I87" s="13">
        <f>G87*0.01</f>
        <v>35.811300000000003</v>
      </c>
      <c r="J87" s="27"/>
      <c r="K87" s="27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2" ht="31.5" customHeight="1">
      <c r="A88" s="31">
        <v>20</v>
      </c>
      <c r="B88" s="67" t="s">
        <v>99</v>
      </c>
      <c r="C88" s="68" t="s">
        <v>100</v>
      </c>
      <c r="D88" s="66"/>
      <c r="E88" s="37"/>
      <c r="F88" s="37">
        <v>2</v>
      </c>
      <c r="G88" s="37">
        <v>54.17</v>
      </c>
      <c r="H88" s="105">
        <f>G88*F88/1000</f>
        <v>0.10834000000000001</v>
      </c>
      <c r="I88" s="13">
        <f>G88</f>
        <v>54.17</v>
      </c>
      <c r="J88" s="27"/>
      <c r="K88" s="27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2" ht="15.75" customHeight="1">
      <c r="A89" s="31">
        <v>21</v>
      </c>
      <c r="B89" s="67" t="s">
        <v>113</v>
      </c>
      <c r="C89" s="68" t="s">
        <v>88</v>
      </c>
      <c r="D89" s="52"/>
      <c r="E89" s="13"/>
      <c r="F89" s="13">
        <v>4</v>
      </c>
      <c r="G89" s="13">
        <v>195.85</v>
      </c>
      <c r="H89" s="103">
        <f>G89*F89/1000</f>
        <v>0.78339999999999999</v>
      </c>
      <c r="I89" s="13">
        <f>G89</f>
        <v>195.85</v>
      </c>
      <c r="J89" s="27"/>
      <c r="K89" s="27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2" ht="15.75" customHeight="1">
      <c r="A90" s="31">
        <v>22</v>
      </c>
      <c r="B90" s="126" t="s">
        <v>203</v>
      </c>
      <c r="C90" s="31" t="s">
        <v>137</v>
      </c>
      <c r="D90" s="127"/>
      <c r="E90" s="18"/>
      <c r="F90" s="128">
        <f>0.6/10</f>
        <v>0.06</v>
      </c>
      <c r="G90" s="37">
        <v>29021.3</v>
      </c>
      <c r="H90" s="105">
        <f t="shared" ref="H90" si="16">G90*F90/1000</f>
        <v>1.7412779999999999</v>
      </c>
      <c r="I90" s="13">
        <f>G90*0.06</f>
        <v>1741.2779999999998</v>
      </c>
      <c r="J90" s="27"/>
      <c r="K90" s="27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2" ht="15.75" customHeight="1">
      <c r="A91" s="31"/>
      <c r="B91" s="46" t="s">
        <v>53</v>
      </c>
      <c r="C91" s="42"/>
      <c r="D91" s="54"/>
      <c r="E91" s="42">
        <v>1</v>
      </c>
      <c r="F91" s="42"/>
      <c r="G91" s="42"/>
      <c r="H91" s="42"/>
      <c r="I91" s="33">
        <f>SUM(I84:I90)</f>
        <v>9422.3093000000008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1:22" ht="15.75" customHeight="1">
      <c r="A92" s="31"/>
      <c r="B92" s="52" t="s">
        <v>81</v>
      </c>
      <c r="C92" s="16"/>
      <c r="D92" s="16"/>
      <c r="E92" s="43"/>
      <c r="F92" s="43"/>
      <c r="G92" s="44"/>
      <c r="H92" s="44"/>
      <c r="I92" s="18">
        <v>0</v>
      </c>
    </row>
    <row r="93" spans="1:22" ht="15.75" customHeight="1">
      <c r="A93" s="55"/>
      <c r="B93" s="47" t="s">
        <v>157</v>
      </c>
      <c r="C93" s="36"/>
      <c r="D93" s="36"/>
      <c r="E93" s="36"/>
      <c r="F93" s="36"/>
      <c r="G93" s="36"/>
      <c r="H93" s="36"/>
      <c r="I93" s="45">
        <f>I82+I91</f>
        <v>48989.67378305555</v>
      </c>
    </row>
    <row r="94" spans="1:22" ht="15.75" customHeight="1">
      <c r="A94" s="153" t="s">
        <v>204</v>
      </c>
      <c r="B94" s="153"/>
      <c r="C94" s="153"/>
      <c r="D94" s="153"/>
      <c r="E94" s="153"/>
      <c r="F94" s="153"/>
      <c r="G94" s="153"/>
      <c r="H94" s="153"/>
      <c r="I94" s="153"/>
    </row>
    <row r="95" spans="1:22" ht="15.75" customHeight="1">
      <c r="A95" s="79"/>
      <c r="B95" s="134" t="s">
        <v>205</v>
      </c>
      <c r="C95" s="134"/>
      <c r="D95" s="134"/>
      <c r="E95" s="134"/>
      <c r="F95" s="134"/>
      <c r="G95" s="134"/>
      <c r="H95" s="91"/>
      <c r="I95" s="3"/>
    </row>
    <row r="96" spans="1:22" ht="15.75" customHeight="1">
      <c r="A96" s="82"/>
      <c r="B96" s="135" t="s">
        <v>6</v>
      </c>
      <c r="C96" s="135"/>
      <c r="D96" s="135"/>
      <c r="E96" s="135"/>
      <c r="F96" s="135"/>
      <c r="G96" s="135"/>
      <c r="H96" s="26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36" t="s">
        <v>7</v>
      </c>
      <c r="B98" s="136"/>
      <c r="C98" s="136"/>
      <c r="D98" s="136"/>
      <c r="E98" s="136"/>
      <c r="F98" s="136"/>
      <c r="G98" s="136"/>
      <c r="H98" s="136"/>
      <c r="I98" s="136"/>
    </row>
    <row r="99" spans="1:9" ht="15.75" customHeight="1">
      <c r="A99" s="136" t="s">
        <v>8</v>
      </c>
      <c r="B99" s="136"/>
      <c r="C99" s="136"/>
      <c r="D99" s="136"/>
      <c r="E99" s="136"/>
      <c r="F99" s="136"/>
      <c r="G99" s="136"/>
      <c r="H99" s="136"/>
      <c r="I99" s="136"/>
    </row>
    <row r="100" spans="1:9" ht="15.75" customHeight="1">
      <c r="A100" s="139" t="s">
        <v>63</v>
      </c>
      <c r="B100" s="139"/>
      <c r="C100" s="139"/>
      <c r="D100" s="139"/>
      <c r="E100" s="139"/>
      <c r="F100" s="139"/>
      <c r="G100" s="139"/>
      <c r="H100" s="139"/>
      <c r="I100" s="139"/>
    </row>
    <row r="101" spans="1:9" ht="15.75" customHeight="1">
      <c r="A101" s="11"/>
    </row>
    <row r="102" spans="1:9" ht="15.75" customHeight="1">
      <c r="A102" s="140" t="s">
        <v>9</v>
      </c>
      <c r="B102" s="140"/>
      <c r="C102" s="140"/>
      <c r="D102" s="140"/>
      <c r="E102" s="140"/>
      <c r="F102" s="140"/>
      <c r="G102" s="140"/>
      <c r="H102" s="140"/>
      <c r="I102" s="140"/>
    </row>
    <row r="103" spans="1:9" ht="15.75" customHeight="1">
      <c r="A103" s="4"/>
    </row>
    <row r="104" spans="1:9" ht="15.75" customHeight="1">
      <c r="B104" s="85" t="s">
        <v>10</v>
      </c>
      <c r="C104" s="141" t="s">
        <v>94</v>
      </c>
      <c r="D104" s="141"/>
      <c r="E104" s="141"/>
      <c r="F104" s="89"/>
      <c r="I104" s="81"/>
    </row>
    <row r="105" spans="1:9" ht="15.75" customHeight="1">
      <c r="A105" s="82"/>
      <c r="C105" s="135" t="s">
        <v>11</v>
      </c>
      <c r="D105" s="135"/>
      <c r="E105" s="135"/>
      <c r="F105" s="26"/>
      <c r="I105" s="80" t="s">
        <v>12</v>
      </c>
    </row>
    <row r="106" spans="1:9" ht="15.75" customHeight="1">
      <c r="A106" s="27"/>
      <c r="C106" s="12"/>
      <c r="D106" s="12"/>
      <c r="G106" s="12"/>
      <c r="H106" s="12"/>
    </row>
    <row r="107" spans="1:9" ht="15.75" customHeight="1">
      <c r="B107" s="85" t="s">
        <v>13</v>
      </c>
      <c r="C107" s="142"/>
      <c r="D107" s="142"/>
      <c r="E107" s="142"/>
      <c r="F107" s="90"/>
      <c r="I107" s="81"/>
    </row>
    <row r="108" spans="1:9" ht="15.75" customHeight="1">
      <c r="A108" s="82"/>
      <c r="C108" s="138" t="s">
        <v>11</v>
      </c>
      <c r="D108" s="138"/>
      <c r="E108" s="138"/>
      <c r="F108" s="82"/>
      <c r="I108" s="80" t="s">
        <v>12</v>
      </c>
    </row>
    <row r="109" spans="1:9" ht="15.75" customHeight="1">
      <c r="A109" s="4" t="s">
        <v>14</v>
      </c>
    </row>
    <row r="110" spans="1:9">
      <c r="A110" s="137" t="s">
        <v>15</v>
      </c>
      <c r="B110" s="137"/>
      <c r="C110" s="137"/>
      <c r="D110" s="137"/>
      <c r="E110" s="137"/>
      <c r="F110" s="137"/>
      <c r="G110" s="137"/>
      <c r="H110" s="137"/>
      <c r="I110" s="137"/>
    </row>
    <row r="111" spans="1:9" ht="45" customHeight="1">
      <c r="A111" s="133" t="s">
        <v>16</v>
      </c>
      <c r="B111" s="133"/>
      <c r="C111" s="133"/>
      <c r="D111" s="133"/>
      <c r="E111" s="133"/>
      <c r="F111" s="133"/>
      <c r="G111" s="133"/>
      <c r="H111" s="133"/>
      <c r="I111" s="133"/>
    </row>
    <row r="112" spans="1:9" ht="30" customHeight="1">
      <c r="A112" s="133" t="s">
        <v>17</v>
      </c>
      <c r="B112" s="133"/>
      <c r="C112" s="133"/>
      <c r="D112" s="133"/>
      <c r="E112" s="133"/>
      <c r="F112" s="133"/>
      <c r="G112" s="133"/>
      <c r="H112" s="133"/>
      <c r="I112" s="133"/>
    </row>
    <row r="113" spans="1:9" ht="30" customHeight="1">
      <c r="A113" s="133" t="s">
        <v>21</v>
      </c>
      <c r="B113" s="133"/>
      <c r="C113" s="133"/>
      <c r="D113" s="133"/>
      <c r="E113" s="133"/>
      <c r="F113" s="133"/>
      <c r="G113" s="133"/>
      <c r="H113" s="133"/>
      <c r="I113" s="133"/>
    </row>
    <row r="114" spans="1:9" ht="15" customHeight="1">
      <c r="A114" s="133" t="s">
        <v>20</v>
      </c>
      <c r="B114" s="133"/>
      <c r="C114" s="133"/>
      <c r="D114" s="133"/>
      <c r="E114" s="133"/>
      <c r="F114" s="133"/>
      <c r="G114" s="133"/>
      <c r="H114" s="133"/>
      <c r="I114" s="133"/>
    </row>
  </sheetData>
  <autoFilter ref="I12:I82"/>
  <mergeCells count="28"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  <mergeCell ref="A100:I100"/>
    <mergeCell ref="A15:I15"/>
    <mergeCell ref="A29:I29"/>
    <mergeCell ref="A43:I43"/>
    <mergeCell ref="A54:I54"/>
    <mergeCell ref="A79:I79"/>
    <mergeCell ref="A83:I83"/>
    <mergeCell ref="A94:I94"/>
    <mergeCell ref="B95:G95"/>
    <mergeCell ref="B96:G96"/>
    <mergeCell ref="A98:I98"/>
    <mergeCell ref="A99:I99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91</v>
      </c>
      <c r="I1" s="28"/>
      <c r="J1" s="1"/>
      <c r="K1" s="1"/>
      <c r="L1" s="1"/>
      <c r="M1" s="1"/>
    </row>
    <row r="2" spans="1:13" ht="15.75" customHeight="1">
      <c r="A2" s="30" t="s">
        <v>64</v>
      </c>
      <c r="J2" s="2"/>
      <c r="K2" s="2"/>
      <c r="L2" s="2"/>
      <c r="M2" s="2"/>
    </row>
    <row r="3" spans="1:13" ht="15.75" customHeight="1">
      <c r="A3" s="143" t="s">
        <v>206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135</v>
      </c>
      <c r="B4" s="144"/>
      <c r="C4" s="144"/>
      <c r="D4" s="144"/>
      <c r="E4" s="144"/>
      <c r="F4" s="144"/>
      <c r="G4" s="144"/>
      <c r="H4" s="144"/>
      <c r="I4" s="144"/>
    </row>
    <row r="5" spans="1:13" ht="15.75" customHeight="1">
      <c r="A5" s="143" t="s">
        <v>207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 customHeight="1">
      <c r="A6" s="2"/>
      <c r="B6" s="114"/>
      <c r="C6" s="114"/>
      <c r="D6" s="114"/>
      <c r="E6" s="114"/>
      <c r="F6" s="114"/>
      <c r="G6" s="114"/>
      <c r="H6" s="114"/>
      <c r="I6" s="32">
        <v>43069</v>
      </c>
      <c r="J6" s="2"/>
      <c r="K6" s="2"/>
      <c r="L6" s="2"/>
      <c r="M6" s="2"/>
    </row>
    <row r="7" spans="1:13" ht="15.75" customHeight="1">
      <c r="B7" s="117"/>
      <c r="C7" s="117"/>
      <c r="D7" s="117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45" t="s">
        <v>201</v>
      </c>
      <c r="B8" s="145"/>
      <c r="C8" s="145"/>
      <c r="D8" s="145"/>
      <c r="E8" s="145"/>
      <c r="F8" s="145"/>
      <c r="G8" s="145"/>
      <c r="H8" s="145"/>
      <c r="I8" s="145"/>
      <c r="J8" s="78"/>
      <c r="K8" s="78"/>
      <c r="L8" s="78"/>
      <c r="M8" s="78"/>
    </row>
    <row r="9" spans="1:13" ht="15.75">
      <c r="A9" s="4"/>
      <c r="J9" s="2"/>
      <c r="K9" s="2"/>
      <c r="L9" s="2"/>
      <c r="M9" s="2"/>
    </row>
    <row r="10" spans="1:13" ht="47.25" customHeight="1">
      <c r="A10" s="146" t="s">
        <v>202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8" t="s">
        <v>61</v>
      </c>
      <c r="B14" s="148"/>
      <c r="C14" s="148"/>
      <c r="D14" s="148"/>
      <c r="E14" s="148"/>
      <c r="F14" s="148"/>
      <c r="G14" s="148"/>
      <c r="H14" s="148"/>
      <c r="I14" s="148"/>
      <c r="J14" s="8"/>
      <c r="K14" s="8"/>
      <c r="L14" s="8"/>
      <c r="M14" s="8"/>
    </row>
    <row r="15" spans="1:13" ht="15.75" customHeight="1">
      <c r="A15" s="149" t="s">
        <v>4</v>
      </c>
      <c r="B15" s="149"/>
      <c r="C15" s="149"/>
      <c r="D15" s="149"/>
      <c r="E15" s="149"/>
      <c r="F15" s="149"/>
      <c r="G15" s="149"/>
      <c r="H15" s="149"/>
      <c r="I15" s="149"/>
      <c r="J15" s="8"/>
      <c r="K15" s="8"/>
      <c r="L15" s="8"/>
      <c r="M15" s="8"/>
    </row>
    <row r="16" spans="1:13" ht="15.75" customHeight="1">
      <c r="A16" s="31">
        <v>1</v>
      </c>
      <c r="B16" s="93" t="s">
        <v>92</v>
      </c>
      <c r="C16" s="94" t="s">
        <v>102</v>
      </c>
      <c r="D16" s="93" t="s">
        <v>140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8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111</v>
      </c>
      <c r="C17" s="94" t="s">
        <v>102</v>
      </c>
      <c r="D17" s="93" t="s">
        <v>141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112</v>
      </c>
      <c r="C18" s="94" t="s">
        <v>102</v>
      </c>
      <c r="D18" s="93" t="s">
        <v>142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3" t="s">
        <v>136</v>
      </c>
      <c r="C19" s="94" t="s">
        <v>137</v>
      </c>
      <c r="D19" s="93" t="s">
        <v>138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f>F19/2*G19</f>
        <v>157.22784000000001</v>
      </c>
      <c r="J19" s="8"/>
      <c r="K19" s="8"/>
      <c r="L19" s="8"/>
      <c r="M19" s="8"/>
    </row>
    <row r="20" spans="1:13" ht="15.75" customHeight="1">
      <c r="A20" s="31">
        <v>4</v>
      </c>
      <c r="B20" s="93" t="s">
        <v>101</v>
      </c>
      <c r="C20" s="94" t="s">
        <v>102</v>
      </c>
      <c r="D20" s="93" t="s">
        <v>30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3" t="s">
        <v>109</v>
      </c>
      <c r="C21" s="94" t="s">
        <v>102</v>
      </c>
      <c r="D21" s="93" t="s">
        <v>30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3" t="s">
        <v>103</v>
      </c>
      <c r="C22" s="94" t="s">
        <v>54</v>
      </c>
      <c r="D22" s="93" t="s">
        <v>138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f>F22*G22</f>
        <v>720.94365000000005</v>
      </c>
      <c r="J22" s="8"/>
      <c r="K22" s="8"/>
      <c r="L22" s="8"/>
      <c r="M22" s="8"/>
    </row>
    <row r="23" spans="1:13" ht="15.75" hidden="1" customHeight="1">
      <c r="A23" s="31">
        <v>8</v>
      </c>
      <c r="B23" s="93" t="s">
        <v>104</v>
      </c>
      <c r="C23" s="94" t="s">
        <v>54</v>
      </c>
      <c r="D23" s="93" t="s">
        <v>138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f t="shared" ref="I23:I26" si="1">F23*G23</f>
        <v>9.6552199999999999</v>
      </c>
      <c r="J23" s="8"/>
      <c r="K23" s="8"/>
      <c r="L23" s="8"/>
      <c r="M23" s="8"/>
    </row>
    <row r="24" spans="1:13" ht="15.75" hidden="1" customHeight="1">
      <c r="A24" s="31">
        <v>9</v>
      </c>
      <c r="B24" s="93" t="s">
        <v>105</v>
      </c>
      <c r="C24" s="94" t="s">
        <v>54</v>
      </c>
      <c r="D24" s="93" t="s">
        <v>139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f t="shared" si="1"/>
        <v>58.457999999999998</v>
      </c>
      <c r="J24" s="8"/>
      <c r="K24" s="8"/>
      <c r="L24" s="8"/>
      <c r="M24" s="8"/>
    </row>
    <row r="25" spans="1:13" ht="15.75" hidden="1" customHeight="1">
      <c r="A25" s="31">
        <v>10</v>
      </c>
      <c r="B25" s="93" t="s">
        <v>110</v>
      </c>
      <c r="C25" s="94" t="s">
        <v>102</v>
      </c>
      <c r="D25" s="93" t="s">
        <v>55</v>
      </c>
      <c r="E25" s="95">
        <v>14.25</v>
      </c>
      <c r="F25" s="96">
        <v>0.1</v>
      </c>
      <c r="G25" s="96">
        <v>216.12</v>
      </c>
      <c r="H25" s="97">
        <v>3.1E-2</v>
      </c>
      <c r="I25" s="13">
        <f t="shared" si="1"/>
        <v>21.612000000000002</v>
      </c>
      <c r="J25" s="8"/>
      <c r="K25" s="8"/>
      <c r="L25" s="8"/>
      <c r="M25" s="8"/>
    </row>
    <row r="26" spans="1:13" ht="15.75" hidden="1" customHeight="1">
      <c r="A26" s="31">
        <v>11</v>
      </c>
      <c r="B26" s="93" t="s">
        <v>106</v>
      </c>
      <c r="C26" s="94" t="s">
        <v>54</v>
      </c>
      <c r="D26" s="93" t="s">
        <v>138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f t="shared" si="1"/>
        <v>33.227039999999995</v>
      </c>
      <c r="J26" s="8"/>
      <c r="K26" s="8"/>
      <c r="L26" s="8"/>
      <c r="M26" s="8"/>
    </row>
    <row r="27" spans="1:13" ht="15.75" customHeight="1">
      <c r="A27" s="31">
        <v>6</v>
      </c>
      <c r="B27" s="93" t="s">
        <v>66</v>
      </c>
      <c r="C27" s="94" t="s">
        <v>33</v>
      </c>
      <c r="D27" s="34" t="s">
        <v>90</v>
      </c>
      <c r="E27" s="95">
        <v>0.1</v>
      </c>
      <c r="F27" s="96">
        <f>SUM(E27*365)</f>
        <v>36.5</v>
      </c>
      <c r="G27" s="96">
        <v>147.03</v>
      </c>
      <c r="H27" s="97">
        <f t="shared" si="0"/>
        <v>5.3665950000000002</v>
      </c>
      <c r="I27" s="13">
        <f>F27/12*G27</f>
        <v>447.21625</v>
      </c>
      <c r="J27" s="8"/>
      <c r="K27" s="8"/>
      <c r="L27" s="8"/>
      <c r="M27" s="8"/>
    </row>
    <row r="28" spans="1:13" ht="15.75" customHeight="1">
      <c r="A28" s="31">
        <v>7</v>
      </c>
      <c r="B28" s="99" t="s">
        <v>23</v>
      </c>
      <c r="C28" s="94" t="s">
        <v>24</v>
      </c>
      <c r="D28" s="34" t="s">
        <v>90</v>
      </c>
      <c r="E28" s="95">
        <v>2581.1999999999998</v>
      </c>
      <c r="F28" s="96">
        <f>SUM(E28*12)</f>
        <v>30974.399999999998</v>
      </c>
      <c r="G28" s="96">
        <v>4.8099999999999996</v>
      </c>
      <c r="H28" s="97">
        <f t="shared" si="0"/>
        <v>148.98686399999997</v>
      </c>
      <c r="I28" s="13">
        <f>F28/12*G28</f>
        <v>12415.571999999998</v>
      </c>
      <c r="J28" s="24"/>
      <c r="K28" s="8"/>
      <c r="L28" s="8"/>
      <c r="M28" s="8"/>
    </row>
    <row r="29" spans="1:13" ht="15.75" customHeight="1">
      <c r="A29" s="149" t="s">
        <v>89</v>
      </c>
      <c r="B29" s="149"/>
      <c r="C29" s="149"/>
      <c r="D29" s="149"/>
      <c r="E29" s="149"/>
      <c r="F29" s="149"/>
      <c r="G29" s="149"/>
      <c r="H29" s="149"/>
      <c r="I29" s="149"/>
      <c r="J29" s="24"/>
      <c r="K29" s="8"/>
      <c r="L29" s="8"/>
      <c r="M29" s="8"/>
    </row>
    <row r="30" spans="1:13" ht="15.75" hidden="1" customHeight="1">
      <c r="A30" s="41"/>
      <c r="B30" s="51" t="s">
        <v>28</v>
      </c>
      <c r="C30" s="51"/>
      <c r="D30" s="51"/>
      <c r="E30" s="51"/>
      <c r="F30" s="51"/>
      <c r="G30" s="51"/>
      <c r="H30" s="51"/>
      <c r="I30" s="19"/>
      <c r="J30" s="24"/>
      <c r="K30" s="8"/>
      <c r="L30" s="8"/>
      <c r="M30" s="8"/>
    </row>
    <row r="31" spans="1:13" ht="15.75" hidden="1" customHeight="1">
      <c r="A31" s="41">
        <v>8</v>
      </c>
      <c r="B31" s="93" t="s">
        <v>114</v>
      </c>
      <c r="C31" s="94" t="s">
        <v>115</v>
      </c>
      <c r="D31" s="93" t="s">
        <v>116</v>
      </c>
      <c r="E31" s="96">
        <v>1167.4000000000001</v>
      </c>
      <c r="F31" s="96">
        <f>SUM(E31*52/1000)</f>
        <v>60.704800000000006</v>
      </c>
      <c r="G31" s="96">
        <v>155.88999999999999</v>
      </c>
      <c r="H31" s="97">
        <f t="shared" ref="H31:H33" si="2">SUM(F31*G31/1000)</f>
        <v>9.4632712720000001</v>
      </c>
      <c r="I31" s="13">
        <f>F31/6*G31</f>
        <v>1577.2118786666665</v>
      </c>
      <c r="J31" s="24"/>
      <c r="K31" s="8"/>
      <c r="L31" s="8"/>
      <c r="M31" s="8"/>
    </row>
    <row r="32" spans="1:13" ht="31.5" hidden="1" customHeight="1">
      <c r="A32" s="41">
        <v>9</v>
      </c>
      <c r="B32" s="93" t="s">
        <v>154</v>
      </c>
      <c r="C32" s="94" t="s">
        <v>115</v>
      </c>
      <c r="D32" s="93" t="s">
        <v>117</v>
      </c>
      <c r="E32" s="96">
        <v>540.04999999999995</v>
      </c>
      <c r="F32" s="96">
        <f>SUM(E32*78/1000)</f>
        <v>42.123899999999992</v>
      </c>
      <c r="G32" s="96">
        <v>258.63</v>
      </c>
      <c r="H32" s="97">
        <f t="shared" si="2"/>
        <v>10.894504256999998</v>
      </c>
      <c r="I32" s="13">
        <f t="shared" ref="I32:I34" si="3">F32/6*G32</f>
        <v>1815.7507094999996</v>
      </c>
      <c r="J32" s="24"/>
      <c r="K32" s="8"/>
      <c r="L32" s="8"/>
      <c r="M32" s="8"/>
    </row>
    <row r="33" spans="1:13" ht="15.75" hidden="1" customHeight="1">
      <c r="A33" s="41">
        <v>16</v>
      </c>
      <c r="B33" s="93" t="s">
        <v>27</v>
      </c>
      <c r="C33" s="94" t="s">
        <v>115</v>
      </c>
      <c r="D33" s="93" t="s">
        <v>55</v>
      </c>
      <c r="E33" s="96">
        <v>1167.4000000000001</v>
      </c>
      <c r="F33" s="96">
        <f>SUM(E33/1000)</f>
        <v>1.1674</v>
      </c>
      <c r="G33" s="96">
        <v>3020.33</v>
      </c>
      <c r="H33" s="97">
        <f t="shared" si="2"/>
        <v>3.5259332420000002</v>
      </c>
      <c r="I33" s="13">
        <f>F33*G33</f>
        <v>3525.9332420000001</v>
      </c>
      <c r="J33" s="24"/>
      <c r="K33" s="8"/>
      <c r="L33" s="8"/>
      <c r="M33" s="8"/>
    </row>
    <row r="34" spans="1:13" ht="15.75" hidden="1" customHeight="1">
      <c r="A34" s="41">
        <v>10</v>
      </c>
      <c r="B34" s="93" t="s">
        <v>118</v>
      </c>
      <c r="C34" s="94" t="s">
        <v>31</v>
      </c>
      <c r="D34" s="93" t="s">
        <v>65</v>
      </c>
      <c r="E34" s="100">
        <v>0.33333333333333331</v>
      </c>
      <c r="F34" s="96">
        <f>155/3</f>
        <v>51.666666666666664</v>
      </c>
      <c r="G34" s="96">
        <v>56.69</v>
      </c>
      <c r="H34" s="97">
        <f>SUM(G34*155/3/1000)</f>
        <v>2.9289833333333331</v>
      </c>
      <c r="I34" s="13">
        <f t="shared" si="3"/>
        <v>488.16388888888883</v>
      </c>
      <c r="J34" s="24"/>
      <c r="K34" s="8"/>
      <c r="L34" s="8"/>
      <c r="M34" s="8"/>
    </row>
    <row r="35" spans="1:13" ht="15.75" hidden="1" customHeight="1">
      <c r="A35" s="41">
        <v>4</v>
      </c>
      <c r="B35" s="93" t="s">
        <v>67</v>
      </c>
      <c r="C35" s="94" t="s">
        <v>33</v>
      </c>
      <c r="D35" s="93" t="s">
        <v>68</v>
      </c>
      <c r="E35" s="95"/>
      <c r="F35" s="96">
        <v>3</v>
      </c>
      <c r="G35" s="96">
        <v>191.32</v>
      </c>
      <c r="H35" s="97">
        <f t="shared" ref="H35" si="4">SUM(F35*G35/1000)</f>
        <v>0.57396000000000003</v>
      </c>
      <c r="I35" s="13">
        <v>0</v>
      </c>
      <c r="J35" s="24"/>
      <c r="K35" s="8"/>
      <c r="L35" s="8"/>
      <c r="M35" s="8"/>
    </row>
    <row r="36" spans="1:13" ht="15.75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9"/>
      <c r="J36" s="24"/>
      <c r="K36" s="8"/>
      <c r="L36" s="8"/>
      <c r="M36" s="8"/>
    </row>
    <row r="37" spans="1:13" ht="15.75" customHeight="1">
      <c r="A37" s="41">
        <v>8</v>
      </c>
      <c r="B37" s="93" t="s">
        <v>26</v>
      </c>
      <c r="C37" s="94" t="s">
        <v>32</v>
      </c>
      <c r="D37" s="93"/>
      <c r="E37" s="95"/>
      <c r="F37" s="96">
        <v>6</v>
      </c>
      <c r="G37" s="96">
        <v>1527.2</v>
      </c>
      <c r="H37" s="97">
        <f t="shared" ref="H37:H42" si="5">SUM(F37*G37/1000)</f>
        <v>9.1632000000000016</v>
      </c>
      <c r="I37" s="13">
        <f t="shared" ref="I37:I42" si="6">F37/6*G37</f>
        <v>1527.2</v>
      </c>
      <c r="J37" s="24"/>
      <c r="K37" s="8"/>
      <c r="L37" s="8"/>
      <c r="M37" s="8"/>
    </row>
    <row r="38" spans="1:13" ht="15.75" customHeight="1">
      <c r="A38" s="35">
        <v>9</v>
      </c>
      <c r="B38" s="93" t="s">
        <v>69</v>
      </c>
      <c r="C38" s="94" t="s">
        <v>29</v>
      </c>
      <c r="D38" s="93" t="s">
        <v>143</v>
      </c>
      <c r="E38" s="96">
        <v>1080.0999999999999</v>
      </c>
      <c r="F38" s="96">
        <f>SUM(E38*30/1000)</f>
        <v>32.402999999999999</v>
      </c>
      <c r="G38" s="96">
        <v>2102.6999999999998</v>
      </c>
      <c r="H38" s="97">
        <f t="shared" si="5"/>
        <v>68.13378809999999</v>
      </c>
      <c r="I38" s="13">
        <f t="shared" si="6"/>
        <v>11355.63135</v>
      </c>
      <c r="J38" s="24"/>
      <c r="K38" s="8"/>
      <c r="L38" s="8"/>
      <c r="M38" s="8"/>
    </row>
    <row r="39" spans="1:13" ht="15.75" customHeight="1">
      <c r="A39" s="35">
        <v>10</v>
      </c>
      <c r="B39" s="93" t="s">
        <v>70</v>
      </c>
      <c r="C39" s="94" t="s">
        <v>29</v>
      </c>
      <c r="D39" s="93" t="s">
        <v>119</v>
      </c>
      <c r="E39" s="96">
        <v>45</v>
      </c>
      <c r="F39" s="96">
        <f>SUM(E39*155/1000)</f>
        <v>6.9749999999999996</v>
      </c>
      <c r="G39" s="96">
        <v>350.75</v>
      </c>
      <c r="H39" s="97">
        <f t="shared" si="5"/>
        <v>2.4464812499999997</v>
      </c>
      <c r="I39" s="13">
        <f t="shared" si="6"/>
        <v>407.74687499999993</v>
      </c>
      <c r="J39" s="24"/>
      <c r="K39" s="8"/>
      <c r="L39" s="8"/>
      <c r="M39" s="8"/>
    </row>
    <row r="40" spans="1:13" ht="47.25" customHeight="1">
      <c r="A40" s="35">
        <v>11</v>
      </c>
      <c r="B40" s="93" t="s">
        <v>87</v>
      </c>
      <c r="C40" s="94" t="s">
        <v>115</v>
      </c>
      <c r="D40" s="93" t="s">
        <v>71</v>
      </c>
      <c r="E40" s="96">
        <v>45</v>
      </c>
      <c r="F40" s="96">
        <f>SUM(E40*70/1000)</f>
        <v>3.15</v>
      </c>
      <c r="G40" s="96">
        <v>5803.28</v>
      </c>
      <c r="H40" s="97">
        <f t="shared" si="5"/>
        <v>18.280331999999998</v>
      </c>
      <c r="I40" s="13">
        <f t="shared" si="6"/>
        <v>3046.7220000000002</v>
      </c>
      <c r="J40" s="24"/>
      <c r="K40" s="8"/>
      <c r="L40" s="8"/>
      <c r="M40" s="8"/>
    </row>
    <row r="41" spans="1:13" ht="15.75" hidden="1" customHeight="1">
      <c r="A41" s="35">
        <v>12</v>
      </c>
      <c r="B41" s="93" t="s">
        <v>120</v>
      </c>
      <c r="C41" s="94" t="s">
        <v>115</v>
      </c>
      <c r="D41" s="93" t="s">
        <v>72</v>
      </c>
      <c r="E41" s="96">
        <v>45</v>
      </c>
      <c r="F41" s="96">
        <f>SUM(E41*45/1000)</f>
        <v>2.0249999999999999</v>
      </c>
      <c r="G41" s="96">
        <v>428.7</v>
      </c>
      <c r="H41" s="97">
        <f t="shared" si="5"/>
        <v>0.86811749999999999</v>
      </c>
      <c r="I41" s="13">
        <f t="shared" si="6"/>
        <v>144.68624999999997</v>
      </c>
      <c r="J41" s="24"/>
      <c r="K41" s="8"/>
      <c r="L41" s="8"/>
      <c r="M41" s="8"/>
    </row>
    <row r="42" spans="1:13" ht="15.75" customHeight="1">
      <c r="A42" s="35">
        <v>12</v>
      </c>
      <c r="B42" s="93" t="s">
        <v>73</v>
      </c>
      <c r="C42" s="94" t="s">
        <v>33</v>
      </c>
      <c r="D42" s="93"/>
      <c r="E42" s="95"/>
      <c r="F42" s="96">
        <v>0.6</v>
      </c>
      <c r="G42" s="96">
        <v>798</v>
      </c>
      <c r="H42" s="97">
        <f t="shared" si="5"/>
        <v>0.47879999999999995</v>
      </c>
      <c r="I42" s="13">
        <f t="shared" si="6"/>
        <v>79.8</v>
      </c>
      <c r="J42" s="24"/>
      <c r="K42" s="8"/>
      <c r="L42" s="8"/>
      <c r="M42" s="8"/>
    </row>
    <row r="43" spans="1:13" ht="15.75" hidden="1" customHeight="1">
      <c r="A43" s="150" t="s">
        <v>151</v>
      </c>
      <c r="B43" s="151"/>
      <c r="C43" s="151"/>
      <c r="D43" s="151"/>
      <c r="E43" s="151"/>
      <c r="F43" s="151"/>
      <c r="G43" s="151"/>
      <c r="H43" s="151"/>
      <c r="I43" s="152"/>
      <c r="J43" s="24"/>
      <c r="K43" s="8"/>
      <c r="L43" s="8"/>
      <c r="M43" s="8"/>
    </row>
    <row r="44" spans="1:13" ht="15.75" hidden="1" customHeight="1">
      <c r="A44" s="41">
        <v>11</v>
      </c>
      <c r="B44" s="93" t="s">
        <v>121</v>
      </c>
      <c r="C44" s="94" t="s">
        <v>115</v>
      </c>
      <c r="D44" s="93" t="s">
        <v>43</v>
      </c>
      <c r="E44" s="95">
        <v>965.8</v>
      </c>
      <c r="F44" s="96">
        <f>SUM(E44*2/1000)</f>
        <v>1.9316</v>
      </c>
      <c r="G44" s="13">
        <v>849.49</v>
      </c>
      <c r="H44" s="97">
        <f t="shared" ref="H44:H53" si="7">SUM(F44*G44/1000)</f>
        <v>1.640874884</v>
      </c>
      <c r="I44" s="13">
        <f t="shared" ref="I44:I47" si="8">F44/2*G44</f>
        <v>820.43744200000003</v>
      </c>
      <c r="J44" s="24"/>
      <c r="K44" s="8"/>
    </row>
    <row r="45" spans="1:13" ht="15.75" hidden="1" customHeight="1">
      <c r="A45" s="41">
        <v>12</v>
      </c>
      <c r="B45" s="93" t="s">
        <v>36</v>
      </c>
      <c r="C45" s="94" t="s">
        <v>115</v>
      </c>
      <c r="D45" s="93" t="s">
        <v>43</v>
      </c>
      <c r="E45" s="95">
        <v>36</v>
      </c>
      <c r="F45" s="96">
        <f>SUM(E45*2/1000)</f>
        <v>7.1999999999999995E-2</v>
      </c>
      <c r="G45" s="13">
        <v>579.48</v>
      </c>
      <c r="H45" s="97">
        <f t="shared" si="7"/>
        <v>4.1722559999999999E-2</v>
      </c>
      <c r="I45" s="13">
        <f t="shared" si="8"/>
        <v>20.861280000000001</v>
      </c>
      <c r="J45" s="25"/>
    </row>
    <row r="46" spans="1:13" ht="15.75" hidden="1" customHeight="1">
      <c r="A46" s="41">
        <v>13</v>
      </c>
      <c r="B46" s="93" t="s">
        <v>37</v>
      </c>
      <c r="C46" s="94" t="s">
        <v>115</v>
      </c>
      <c r="D46" s="93" t="s">
        <v>43</v>
      </c>
      <c r="E46" s="95">
        <v>1197.7</v>
      </c>
      <c r="F46" s="96">
        <f>SUM(E46*2/1000)</f>
        <v>2.3954</v>
      </c>
      <c r="G46" s="13">
        <v>579.48</v>
      </c>
      <c r="H46" s="97">
        <f t="shared" si="7"/>
        <v>1.3880863919999999</v>
      </c>
      <c r="I46" s="13">
        <f t="shared" si="8"/>
        <v>694.04319599999997</v>
      </c>
      <c r="J46" s="25"/>
    </row>
    <row r="47" spans="1:13" ht="15.75" hidden="1" customHeight="1">
      <c r="A47" s="41">
        <v>14</v>
      </c>
      <c r="B47" s="93" t="s">
        <v>38</v>
      </c>
      <c r="C47" s="94" t="s">
        <v>115</v>
      </c>
      <c r="D47" s="93" t="s">
        <v>43</v>
      </c>
      <c r="E47" s="95">
        <v>2275.92</v>
      </c>
      <c r="F47" s="96">
        <f>SUM(E47*2/1000)</f>
        <v>4.5518400000000003</v>
      </c>
      <c r="G47" s="13">
        <v>606.77</v>
      </c>
      <c r="H47" s="97">
        <f t="shared" si="7"/>
        <v>2.7619199567999999</v>
      </c>
      <c r="I47" s="13">
        <f t="shared" si="8"/>
        <v>1380.9599784</v>
      </c>
      <c r="J47" s="25"/>
    </row>
    <row r="48" spans="1:13" ht="15.75" hidden="1" customHeight="1">
      <c r="A48" s="41">
        <v>15</v>
      </c>
      <c r="B48" s="93" t="s">
        <v>34</v>
      </c>
      <c r="C48" s="94" t="s">
        <v>35</v>
      </c>
      <c r="D48" s="93" t="s">
        <v>43</v>
      </c>
      <c r="E48" s="95">
        <v>81.709999999999994</v>
      </c>
      <c r="F48" s="96">
        <f>SUM(E48*2/100)</f>
        <v>1.6341999999999999</v>
      </c>
      <c r="G48" s="13">
        <v>68.56</v>
      </c>
      <c r="H48" s="97">
        <f t="shared" si="7"/>
        <v>0.11204075199999999</v>
      </c>
      <c r="I48" s="13">
        <f>F48/2*G48</f>
        <v>56.020375999999999</v>
      </c>
      <c r="J48" s="25"/>
    </row>
    <row r="49" spans="1:14" ht="15.75" hidden="1" customHeight="1">
      <c r="A49" s="41">
        <v>16</v>
      </c>
      <c r="B49" s="93" t="s">
        <v>58</v>
      </c>
      <c r="C49" s="94" t="s">
        <v>115</v>
      </c>
      <c r="D49" s="93" t="s">
        <v>155</v>
      </c>
      <c r="E49" s="95">
        <v>1711.8</v>
      </c>
      <c r="F49" s="96">
        <f>SUM(E49*5/1000)</f>
        <v>8.5589999999999993</v>
      </c>
      <c r="G49" s="13">
        <v>1213.55</v>
      </c>
      <c r="H49" s="97">
        <f t="shared" si="7"/>
        <v>10.386774449999999</v>
      </c>
      <c r="I49" s="13">
        <f>F49/5*G49</f>
        <v>2077.3548899999996</v>
      </c>
      <c r="J49" s="25"/>
    </row>
    <row r="50" spans="1:14" ht="31.5" hidden="1" customHeight="1">
      <c r="A50" s="41">
        <v>17</v>
      </c>
      <c r="B50" s="93" t="s">
        <v>122</v>
      </c>
      <c r="C50" s="94" t="s">
        <v>115</v>
      </c>
      <c r="D50" s="93" t="s">
        <v>43</v>
      </c>
      <c r="E50" s="95">
        <v>1711.8</v>
      </c>
      <c r="F50" s="96">
        <f>SUM(E50*2/1000)</f>
        <v>3.4236</v>
      </c>
      <c r="G50" s="13">
        <v>1213.55</v>
      </c>
      <c r="H50" s="97">
        <f t="shared" si="7"/>
        <v>4.1547097800000001</v>
      </c>
      <c r="I50" s="13">
        <f>F50/2*G50</f>
        <v>2077.3548900000001</v>
      </c>
      <c r="J50" s="25"/>
    </row>
    <row r="51" spans="1:14" ht="31.5" hidden="1" customHeight="1">
      <c r="A51" s="41">
        <v>18</v>
      </c>
      <c r="B51" s="93" t="s">
        <v>123</v>
      </c>
      <c r="C51" s="94" t="s">
        <v>39</v>
      </c>
      <c r="D51" s="93" t="s">
        <v>43</v>
      </c>
      <c r="E51" s="95">
        <v>15</v>
      </c>
      <c r="F51" s="96">
        <f>SUM(E51*2/100)</f>
        <v>0.3</v>
      </c>
      <c r="G51" s="13">
        <v>2730.49</v>
      </c>
      <c r="H51" s="97">
        <f t="shared" si="7"/>
        <v>0.81914699999999996</v>
      </c>
      <c r="I51" s="13">
        <f t="shared" ref="I51:I52" si="9">F51/2*G51</f>
        <v>409.57349999999997</v>
      </c>
      <c r="J51" s="25"/>
    </row>
    <row r="52" spans="1:14" ht="15.75" hidden="1" customHeight="1">
      <c r="A52" s="41">
        <v>19</v>
      </c>
      <c r="B52" s="93" t="s">
        <v>40</v>
      </c>
      <c r="C52" s="94" t="s">
        <v>41</v>
      </c>
      <c r="D52" s="93" t="s">
        <v>43</v>
      </c>
      <c r="E52" s="95">
        <v>1</v>
      </c>
      <c r="F52" s="96">
        <v>0.02</v>
      </c>
      <c r="G52" s="13">
        <v>5322.15</v>
      </c>
      <c r="H52" s="97">
        <f t="shared" si="7"/>
        <v>0.106443</v>
      </c>
      <c r="I52" s="13">
        <f t="shared" si="9"/>
        <v>53.221499999999999</v>
      </c>
      <c r="J52" s="25"/>
      <c r="L52" s="21"/>
      <c r="M52" s="22"/>
      <c r="N52" s="23"/>
    </row>
    <row r="53" spans="1:14" ht="15.75" hidden="1" customHeight="1">
      <c r="A53" s="41">
        <v>11</v>
      </c>
      <c r="B53" s="93" t="s">
        <v>42</v>
      </c>
      <c r="C53" s="94" t="s">
        <v>95</v>
      </c>
      <c r="D53" s="93" t="s">
        <v>74</v>
      </c>
      <c r="E53" s="95">
        <v>90</v>
      </c>
      <c r="F53" s="96">
        <f>SUM(E53)*3</f>
        <v>270</v>
      </c>
      <c r="G53" s="13">
        <v>65.67</v>
      </c>
      <c r="H53" s="97">
        <f t="shared" si="7"/>
        <v>17.730900000000002</v>
      </c>
      <c r="I53" s="13">
        <f>E53*G53</f>
        <v>5910.3</v>
      </c>
      <c r="J53" s="25"/>
      <c r="L53" s="21"/>
      <c r="M53" s="22"/>
      <c r="N53" s="23"/>
    </row>
    <row r="54" spans="1:14" ht="15.75" customHeight="1">
      <c r="A54" s="150" t="s">
        <v>171</v>
      </c>
      <c r="B54" s="151"/>
      <c r="C54" s="151"/>
      <c r="D54" s="151"/>
      <c r="E54" s="151"/>
      <c r="F54" s="151"/>
      <c r="G54" s="151"/>
      <c r="H54" s="151"/>
      <c r="I54" s="152"/>
      <c r="J54" s="25"/>
      <c r="L54" s="21"/>
      <c r="M54" s="22"/>
      <c r="N54" s="23"/>
    </row>
    <row r="55" spans="1:14" ht="15.75" customHeight="1">
      <c r="A55" s="113"/>
      <c r="B55" s="48" t="s">
        <v>44</v>
      </c>
      <c r="C55" s="17"/>
      <c r="D55" s="16"/>
      <c r="E55" s="16"/>
      <c r="F55" s="16"/>
      <c r="G55" s="31"/>
      <c r="H55" s="31"/>
      <c r="I55" s="19"/>
      <c r="J55" s="25"/>
      <c r="L55" s="21"/>
      <c r="M55" s="22"/>
      <c r="N55" s="23"/>
    </row>
    <row r="56" spans="1:14" ht="31.5" customHeight="1">
      <c r="A56" s="41">
        <v>13</v>
      </c>
      <c r="B56" s="93" t="s">
        <v>124</v>
      </c>
      <c r="C56" s="94" t="s">
        <v>102</v>
      </c>
      <c r="D56" s="93" t="s">
        <v>125</v>
      </c>
      <c r="E56" s="95">
        <v>96.58</v>
      </c>
      <c r="F56" s="96">
        <f>SUM(E56*6/100)</f>
        <v>5.7948000000000004</v>
      </c>
      <c r="G56" s="13">
        <v>1547.28</v>
      </c>
      <c r="H56" s="97">
        <f>SUM(F56*G56/1000)</f>
        <v>8.9661781440000006</v>
      </c>
      <c r="I56" s="13">
        <f>F56/6*G56</f>
        <v>1494.3630240000002</v>
      </c>
      <c r="J56" s="25"/>
      <c r="L56" s="21"/>
      <c r="M56" s="22"/>
      <c r="N56" s="23"/>
    </row>
    <row r="57" spans="1:14" ht="15.75" customHeight="1">
      <c r="A57" s="41"/>
      <c r="B57" s="69" t="s">
        <v>45</v>
      </c>
      <c r="C57" s="40"/>
      <c r="D57" s="34"/>
      <c r="E57" s="19"/>
      <c r="F57" s="87"/>
      <c r="G57" s="37"/>
      <c r="H57" s="70"/>
      <c r="I57" s="20"/>
      <c r="J57" s="25"/>
      <c r="L57" s="21"/>
      <c r="M57" s="22"/>
      <c r="N57" s="23"/>
    </row>
    <row r="58" spans="1:14" ht="15.75" hidden="1" customHeight="1">
      <c r="A58" s="41"/>
      <c r="B58" s="93" t="s">
        <v>46</v>
      </c>
      <c r="C58" s="94" t="s">
        <v>102</v>
      </c>
      <c r="D58" s="93" t="s">
        <v>55</v>
      </c>
      <c r="E58" s="95">
        <v>855.9</v>
      </c>
      <c r="F58" s="97">
        <v>8.6</v>
      </c>
      <c r="G58" s="13">
        <v>747.3</v>
      </c>
      <c r="H58" s="101">
        <v>6.4</v>
      </c>
      <c r="I58" s="13">
        <v>0</v>
      </c>
      <c r="J58" s="25"/>
      <c r="L58" s="21"/>
      <c r="M58" s="22"/>
      <c r="N58" s="23"/>
    </row>
    <row r="59" spans="1:14" ht="15.75" customHeight="1">
      <c r="A59" s="41">
        <v>14</v>
      </c>
      <c r="B59" s="93" t="s">
        <v>96</v>
      </c>
      <c r="C59" s="94" t="s">
        <v>25</v>
      </c>
      <c r="D59" s="93" t="s">
        <v>144</v>
      </c>
      <c r="E59" s="95">
        <v>256</v>
      </c>
      <c r="F59" s="97">
        <f>E59*12</f>
        <v>3072</v>
      </c>
      <c r="G59" s="13">
        <v>2.5958999999999999</v>
      </c>
      <c r="H59" s="101">
        <f>F59*G59/1000</f>
        <v>7.9746047999999989</v>
      </c>
      <c r="I59" s="13">
        <f>F59/12*G59</f>
        <v>664.55039999999997</v>
      </c>
      <c r="J59" s="25"/>
      <c r="L59" s="21"/>
      <c r="M59" s="22"/>
      <c r="N59" s="23"/>
    </row>
    <row r="60" spans="1:14" ht="15.75" hidden="1" customHeight="1">
      <c r="A60" s="41"/>
      <c r="B60" s="69" t="s">
        <v>145</v>
      </c>
      <c r="C60" s="40"/>
      <c r="D60" s="34"/>
      <c r="E60" s="19"/>
      <c r="F60" s="87"/>
      <c r="G60" s="71"/>
      <c r="H60" s="70"/>
      <c r="I60" s="20"/>
      <c r="J60" s="25"/>
      <c r="L60" s="21"/>
      <c r="M60" s="22"/>
      <c r="N60" s="23"/>
    </row>
    <row r="61" spans="1:14" ht="15.75" hidden="1" customHeight="1">
      <c r="A61" s="41"/>
      <c r="B61" s="93" t="s">
        <v>146</v>
      </c>
      <c r="C61" s="94" t="s">
        <v>95</v>
      </c>
      <c r="D61" s="93" t="s">
        <v>68</v>
      </c>
      <c r="E61" s="95">
        <v>2</v>
      </c>
      <c r="F61" s="96">
        <f>SUM(E61)</f>
        <v>2</v>
      </c>
      <c r="G61" s="102">
        <v>237.75</v>
      </c>
      <c r="H61" s="97">
        <f t="shared" ref="H61" si="10">SUM(F61*G61/1000)</f>
        <v>0.47549999999999998</v>
      </c>
      <c r="I61" s="13">
        <v>0</v>
      </c>
      <c r="J61" s="25"/>
      <c r="L61" s="21"/>
      <c r="M61" s="22"/>
      <c r="N61" s="23"/>
    </row>
    <row r="62" spans="1:14" ht="15.75" hidden="1" customHeight="1">
      <c r="A62" s="41"/>
      <c r="B62" s="112" t="s">
        <v>47</v>
      </c>
      <c r="C62" s="17"/>
      <c r="D62" s="16"/>
      <c r="E62" s="16"/>
      <c r="F62" s="88"/>
      <c r="G62" s="65"/>
      <c r="H62" s="70"/>
      <c r="I62" s="19"/>
      <c r="J62" s="25"/>
      <c r="L62" s="21"/>
      <c r="M62" s="22"/>
      <c r="N62" s="23"/>
    </row>
    <row r="63" spans="1:14" ht="15.75" hidden="1" customHeight="1">
      <c r="A63" s="41">
        <v>13</v>
      </c>
      <c r="B63" s="15" t="s">
        <v>48</v>
      </c>
      <c r="C63" s="17" t="s">
        <v>95</v>
      </c>
      <c r="D63" s="93" t="s">
        <v>68</v>
      </c>
      <c r="E63" s="19">
        <v>10</v>
      </c>
      <c r="F63" s="96">
        <v>10</v>
      </c>
      <c r="G63" s="13">
        <v>222.4</v>
      </c>
      <c r="H63" s="103">
        <f t="shared" ref="H63:H70" si="11">SUM(F63*G63/1000)</f>
        <v>2.2240000000000002</v>
      </c>
      <c r="I63" s="13">
        <f>G63</f>
        <v>222.4</v>
      </c>
      <c r="J63" s="25"/>
      <c r="L63" s="21"/>
      <c r="M63" s="22"/>
      <c r="N63" s="23"/>
    </row>
    <row r="64" spans="1:14" ht="15.75" hidden="1" customHeight="1">
      <c r="A64" s="31">
        <v>29</v>
      </c>
      <c r="B64" s="15" t="s">
        <v>49</v>
      </c>
      <c r="C64" s="17" t="s">
        <v>95</v>
      </c>
      <c r="D64" s="93" t="s">
        <v>68</v>
      </c>
      <c r="E64" s="19">
        <v>5</v>
      </c>
      <c r="F64" s="96">
        <v>5</v>
      </c>
      <c r="G64" s="13">
        <v>75.25</v>
      </c>
      <c r="H64" s="103">
        <f t="shared" si="11"/>
        <v>0.37624999999999997</v>
      </c>
      <c r="I64" s="13">
        <v>0</v>
      </c>
      <c r="J64" s="25"/>
      <c r="L64" s="21"/>
      <c r="M64" s="22"/>
      <c r="N64" s="23"/>
    </row>
    <row r="65" spans="1:14" ht="15.75" hidden="1" customHeight="1">
      <c r="A65" s="31">
        <v>25</v>
      </c>
      <c r="B65" s="15" t="s">
        <v>50</v>
      </c>
      <c r="C65" s="17" t="s">
        <v>126</v>
      </c>
      <c r="D65" s="15" t="s">
        <v>55</v>
      </c>
      <c r="E65" s="95">
        <v>13018</v>
      </c>
      <c r="F65" s="13">
        <f>SUM(E65/100)</f>
        <v>130.18</v>
      </c>
      <c r="G65" s="13">
        <v>212.15</v>
      </c>
      <c r="H65" s="103">
        <f t="shared" si="11"/>
        <v>27.617687</v>
      </c>
      <c r="I65" s="13">
        <f>F65*G65</f>
        <v>27617.687000000002</v>
      </c>
      <c r="J65" s="25"/>
      <c r="L65" s="21"/>
      <c r="M65" s="22"/>
      <c r="N65" s="23"/>
    </row>
    <row r="66" spans="1:14" ht="15.75" hidden="1" customHeight="1">
      <c r="A66" s="31">
        <v>26</v>
      </c>
      <c r="B66" s="15" t="s">
        <v>51</v>
      </c>
      <c r="C66" s="17" t="s">
        <v>127</v>
      </c>
      <c r="D66" s="15"/>
      <c r="E66" s="95">
        <v>13018</v>
      </c>
      <c r="F66" s="13">
        <f>SUM(E66/1000)</f>
        <v>13.018000000000001</v>
      </c>
      <c r="G66" s="13">
        <v>165.21</v>
      </c>
      <c r="H66" s="103">
        <f t="shared" si="11"/>
        <v>2.1507037800000002</v>
      </c>
      <c r="I66" s="13">
        <f t="shared" ref="I66:I70" si="12">F66*G66</f>
        <v>2150.7037800000003</v>
      </c>
      <c r="J66" s="25"/>
      <c r="L66" s="21"/>
      <c r="M66" s="22"/>
      <c r="N66" s="23"/>
    </row>
    <row r="67" spans="1:14" ht="15.75" hidden="1" customHeight="1">
      <c r="A67" s="31">
        <v>27</v>
      </c>
      <c r="B67" s="15" t="s">
        <v>52</v>
      </c>
      <c r="C67" s="17" t="s">
        <v>79</v>
      </c>
      <c r="D67" s="15" t="s">
        <v>55</v>
      </c>
      <c r="E67" s="95">
        <v>1279</v>
      </c>
      <c r="F67" s="13">
        <f>SUM(E67/100)</f>
        <v>12.79</v>
      </c>
      <c r="G67" s="13">
        <v>2074.63</v>
      </c>
      <c r="H67" s="103">
        <f t="shared" si="11"/>
        <v>26.534517700000002</v>
      </c>
      <c r="I67" s="13">
        <f t="shared" si="12"/>
        <v>26534.5177</v>
      </c>
      <c r="J67" s="25"/>
      <c r="L67" s="21"/>
      <c r="M67" s="22"/>
      <c r="N67" s="23"/>
    </row>
    <row r="68" spans="1:14" ht="15.75" hidden="1" customHeight="1">
      <c r="A68" s="31">
        <v>28</v>
      </c>
      <c r="B68" s="104" t="s">
        <v>128</v>
      </c>
      <c r="C68" s="17" t="s">
        <v>33</v>
      </c>
      <c r="D68" s="15"/>
      <c r="E68" s="95">
        <v>12</v>
      </c>
      <c r="F68" s="13">
        <f>SUM(E68)</f>
        <v>12</v>
      </c>
      <c r="G68" s="13">
        <v>45.32</v>
      </c>
      <c r="H68" s="103">
        <f t="shared" si="11"/>
        <v>0.54383999999999999</v>
      </c>
      <c r="I68" s="13">
        <f t="shared" si="12"/>
        <v>543.84</v>
      </c>
      <c r="J68" s="25"/>
      <c r="L68" s="21"/>
      <c r="M68" s="22"/>
      <c r="N68" s="23"/>
    </row>
    <row r="69" spans="1:14" ht="15.75" hidden="1" customHeight="1">
      <c r="A69" s="31">
        <v>29</v>
      </c>
      <c r="B69" s="104" t="s">
        <v>129</v>
      </c>
      <c r="C69" s="17" t="s">
        <v>33</v>
      </c>
      <c r="D69" s="15"/>
      <c r="E69" s="95">
        <v>12</v>
      </c>
      <c r="F69" s="13">
        <f>SUM(E69)</f>
        <v>12</v>
      </c>
      <c r="G69" s="13">
        <v>42.28</v>
      </c>
      <c r="H69" s="103">
        <f t="shared" si="11"/>
        <v>0.50736000000000003</v>
      </c>
      <c r="I69" s="13">
        <f t="shared" si="12"/>
        <v>507.36</v>
      </c>
      <c r="J69" s="25"/>
      <c r="L69" s="21"/>
      <c r="M69" s="22"/>
      <c r="N69" s="23"/>
    </row>
    <row r="70" spans="1:14" ht="15.75" hidden="1" customHeight="1">
      <c r="A70" s="31">
        <v>22</v>
      </c>
      <c r="B70" s="15" t="s">
        <v>59</v>
      </c>
      <c r="C70" s="17" t="s">
        <v>60</v>
      </c>
      <c r="D70" s="15" t="s">
        <v>55</v>
      </c>
      <c r="E70" s="19">
        <v>1</v>
      </c>
      <c r="F70" s="96">
        <f>SUM(E70)</f>
        <v>1</v>
      </c>
      <c r="G70" s="13">
        <v>49.88</v>
      </c>
      <c r="H70" s="103">
        <f t="shared" si="11"/>
        <v>4.9880000000000001E-2</v>
      </c>
      <c r="I70" s="13">
        <f t="shared" si="12"/>
        <v>49.88</v>
      </c>
      <c r="J70" s="25"/>
      <c r="L70" s="21"/>
      <c r="M70" s="22"/>
      <c r="N70" s="23"/>
    </row>
    <row r="71" spans="1:14" ht="15.75" hidden="1" customHeight="1">
      <c r="A71" s="113"/>
      <c r="B71" s="112" t="s">
        <v>130</v>
      </c>
      <c r="C71" s="112"/>
      <c r="D71" s="112"/>
      <c r="E71" s="112"/>
      <c r="F71" s="112"/>
      <c r="G71" s="112"/>
      <c r="H71" s="112"/>
      <c r="I71" s="19"/>
      <c r="J71" s="25"/>
      <c r="L71" s="21"/>
      <c r="M71" s="22"/>
      <c r="N71" s="23"/>
    </row>
    <row r="72" spans="1:14" ht="15.75" hidden="1" customHeight="1">
      <c r="A72" s="31">
        <v>16</v>
      </c>
      <c r="B72" s="93" t="s">
        <v>131</v>
      </c>
      <c r="C72" s="17"/>
      <c r="D72" s="15"/>
      <c r="E72" s="87"/>
      <c r="F72" s="13">
        <v>1</v>
      </c>
      <c r="G72" s="13">
        <v>10041.700000000001</v>
      </c>
      <c r="H72" s="103">
        <f>G72*F72/1000</f>
        <v>10.041700000000001</v>
      </c>
      <c r="I72" s="13">
        <f>G72</f>
        <v>10041.700000000001</v>
      </c>
      <c r="J72" s="25"/>
      <c r="L72" s="21"/>
      <c r="M72" s="22"/>
      <c r="N72" s="23"/>
    </row>
    <row r="73" spans="1:14" ht="15.75" hidden="1" customHeight="1">
      <c r="A73" s="31"/>
      <c r="B73" s="49" t="s">
        <v>75</v>
      </c>
      <c r="C73" s="49"/>
      <c r="D73" s="49"/>
      <c r="E73" s="19"/>
      <c r="F73" s="19"/>
      <c r="G73" s="31"/>
      <c r="H73" s="31"/>
      <c r="I73" s="19"/>
      <c r="J73" s="25"/>
      <c r="L73" s="21"/>
      <c r="M73" s="22"/>
      <c r="N73" s="23"/>
    </row>
    <row r="74" spans="1:14" ht="15.75" hidden="1" customHeight="1">
      <c r="A74" s="31">
        <v>23</v>
      </c>
      <c r="B74" s="15" t="s">
        <v>76</v>
      </c>
      <c r="C74" s="17" t="s">
        <v>77</v>
      </c>
      <c r="D74" s="15" t="s">
        <v>68</v>
      </c>
      <c r="E74" s="19">
        <v>5</v>
      </c>
      <c r="F74" s="13">
        <v>0.5</v>
      </c>
      <c r="G74" s="13">
        <v>501.62</v>
      </c>
      <c r="H74" s="103">
        <f t="shared" ref="H74:H76" si="13">SUM(F74*G74/1000)</f>
        <v>0.25080999999999998</v>
      </c>
      <c r="I74" s="13">
        <f>G74*0.2</f>
        <v>100.32400000000001</v>
      </c>
      <c r="J74" s="25"/>
      <c r="L74" s="21"/>
      <c r="M74" s="22"/>
      <c r="N74" s="23"/>
    </row>
    <row r="75" spans="1:14" ht="15.75" hidden="1" customHeight="1">
      <c r="A75" s="31"/>
      <c r="B75" s="15" t="s">
        <v>147</v>
      </c>
      <c r="C75" s="17" t="s">
        <v>95</v>
      </c>
      <c r="D75" s="15"/>
      <c r="E75" s="19">
        <v>1</v>
      </c>
      <c r="F75" s="86">
        <f>E75</f>
        <v>1</v>
      </c>
      <c r="G75" s="13">
        <v>852.99</v>
      </c>
      <c r="H75" s="103">
        <f t="shared" si="13"/>
        <v>0.85299000000000003</v>
      </c>
      <c r="I75" s="13">
        <v>0</v>
      </c>
      <c r="J75" s="25"/>
      <c r="L75" s="21"/>
      <c r="M75" s="22"/>
      <c r="N75" s="23"/>
    </row>
    <row r="76" spans="1:14" ht="15.75" hidden="1" customHeight="1">
      <c r="A76" s="31"/>
      <c r="B76" s="15" t="s">
        <v>148</v>
      </c>
      <c r="C76" s="17" t="s">
        <v>95</v>
      </c>
      <c r="D76" s="15"/>
      <c r="E76" s="19">
        <v>1</v>
      </c>
      <c r="F76" s="96">
        <f>SUM(E76)</f>
        <v>1</v>
      </c>
      <c r="G76" s="13">
        <v>358.51</v>
      </c>
      <c r="H76" s="103">
        <f t="shared" si="13"/>
        <v>0.35851</v>
      </c>
      <c r="I76" s="13">
        <v>0</v>
      </c>
      <c r="J76" s="25"/>
      <c r="L76" s="21"/>
      <c r="M76" s="22"/>
      <c r="N76" s="23"/>
    </row>
    <row r="77" spans="1:14" ht="15.75" hidden="1" customHeight="1">
      <c r="A77" s="31"/>
      <c r="B77" s="50" t="s">
        <v>78</v>
      </c>
      <c r="C77" s="38"/>
      <c r="D77" s="31"/>
      <c r="E77" s="19"/>
      <c r="F77" s="19"/>
      <c r="G77" s="37" t="s">
        <v>132</v>
      </c>
      <c r="H77" s="37"/>
      <c r="I77" s="19"/>
      <c r="J77" s="25"/>
      <c r="L77" s="21"/>
      <c r="M77" s="22"/>
      <c r="N77" s="23"/>
    </row>
    <row r="78" spans="1:14" ht="15.75" hidden="1" customHeight="1">
      <c r="A78" s="31">
        <v>12</v>
      </c>
      <c r="B78" s="52" t="s">
        <v>133</v>
      </c>
      <c r="C78" s="17" t="s">
        <v>79</v>
      </c>
      <c r="D78" s="15"/>
      <c r="E78" s="19"/>
      <c r="F78" s="13">
        <v>0.3</v>
      </c>
      <c r="G78" s="13">
        <v>2759.44</v>
      </c>
      <c r="H78" s="103">
        <f t="shared" ref="H78" si="14">SUM(F78*G78/1000)</f>
        <v>0.82783200000000001</v>
      </c>
      <c r="I78" s="13">
        <v>0</v>
      </c>
      <c r="J78" s="25"/>
      <c r="L78" s="21"/>
      <c r="M78" s="22"/>
      <c r="N78" s="23"/>
    </row>
    <row r="79" spans="1:14" ht="15.75" customHeight="1">
      <c r="A79" s="154" t="s">
        <v>172</v>
      </c>
      <c r="B79" s="155"/>
      <c r="C79" s="155"/>
      <c r="D79" s="155"/>
      <c r="E79" s="155"/>
      <c r="F79" s="155"/>
      <c r="G79" s="155"/>
      <c r="H79" s="155"/>
      <c r="I79" s="156"/>
      <c r="J79" s="25"/>
      <c r="L79" s="21"/>
      <c r="M79" s="22"/>
      <c r="N79" s="23"/>
    </row>
    <row r="80" spans="1:14" ht="15.75" customHeight="1">
      <c r="A80" s="31">
        <v>15</v>
      </c>
      <c r="B80" s="93" t="s">
        <v>134</v>
      </c>
      <c r="C80" s="17" t="s">
        <v>56</v>
      </c>
      <c r="D80" s="106" t="s">
        <v>57</v>
      </c>
      <c r="E80" s="13">
        <v>2581.1999999999998</v>
      </c>
      <c r="F80" s="13">
        <f>SUM(E80*12)</f>
        <v>30974.399999999998</v>
      </c>
      <c r="G80" s="13">
        <v>2.1</v>
      </c>
      <c r="H80" s="103">
        <f>SUM(F80*G80/1000)</f>
        <v>65.046239999999997</v>
      </c>
      <c r="I80" s="13">
        <f>F80/12*G80</f>
        <v>5420.5199999999995</v>
      </c>
      <c r="J80" s="25"/>
      <c r="L80" s="21"/>
    </row>
    <row r="81" spans="1:22" ht="31.5" customHeight="1">
      <c r="A81" s="31">
        <v>16</v>
      </c>
      <c r="B81" s="15" t="s">
        <v>80</v>
      </c>
      <c r="C81" s="17"/>
      <c r="D81" s="106" t="s">
        <v>57</v>
      </c>
      <c r="E81" s="95">
        <v>2581.1999999999998</v>
      </c>
      <c r="F81" s="13">
        <f>E81*12</f>
        <v>30974.399999999998</v>
      </c>
      <c r="G81" s="13">
        <v>1.63</v>
      </c>
      <c r="H81" s="103">
        <f>F81*G81/1000</f>
        <v>50.488271999999988</v>
      </c>
      <c r="I81" s="13">
        <f>F81/12*G81</f>
        <v>4207.3559999999998</v>
      </c>
    </row>
    <row r="82" spans="1:22" ht="15.75" customHeight="1">
      <c r="A82" s="113"/>
      <c r="B82" s="39" t="s">
        <v>83</v>
      </c>
      <c r="C82" s="41"/>
      <c r="D82" s="16"/>
      <c r="E82" s="16"/>
      <c r="F82" s="16"/>
      <c r="G82" s="19"/>
      <c r="H82" s="19"/>
      <c r="I82" s="33">
        <f>SUM(I16+I17+I18+I20+I21+I27+I28+I37+I38+I39+I40+I42+I56+I59+I80+I81)</f>
        <v>47465.001254999996</v>
      </c>
    </row>
    <row r="83" spans="1:22" ht="15.75" customHeight="1">
      <c r="A83" s="157" t="s">
        <v>62</v>
      </c>
      <c r="B83" s="158"/>
      <c r="C83" s="158"/>
      <c r="D83" s="158"/>
      <c r="E83" s="158"/>
      <c r="F83" s="158"/>
      <c r="G83" s="158"/>
      <c r="H83" s="158"/>
      <c r="I83" s="159"/>
    </row>
    <row r="84" spans="1:22" ht="15.75" customHeight="1">
      <c r="A84" s="31">
        <v>17</v>
      </c>
      <c r="B84" s="67" t="s">
        <v>107</v>
      </c>
      <c r="C84" s="68" t="s">
        <v>95</v>
      </c>
      <c r="D84" s="52"/>
      <c r="E84" s="13"/>
      <c r="F84" s="13">
        <v>368</v>
      </c>
      <c r="G84" s="13">
        <v>53.42</v>
      </c>
      <c r="H84" s="103" t="e">
        <f>#REF!*#REF!/1000</f>
        <v>#REF!</v>
      </c>
      <c r="I84" s="13">
        <f>G84*46</f>
        <v>2457.3200000000002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9"/>
    </row>
    <row r="85" spans="1:22" ht="15.75" customHeight="1">
      <c r="A85" s="31">
        <v>18</v>
      </c>
      <c r="B85" s="67" t="s">
        <v>85</v>
      </c>
      <c r="C85" s="68" t="s">
        <v>95</v>
      </c>
      <c r="D85" s="66"/>
      <c r="E85" s="37"/>
      <c r="F85" s="37">
        <v>6</v>
      </c>
      <c r="G85" s="37">
        <v>189.88</v>
      </c>
      <c r="H85" s="105">
        <f t="shared" ref="H85:H86" si="15">G85*F85/1000</f>
        <v>1.1392800000000001</v>
      </c>
      <c r="I85" s="13">
        <f>G85</f>
        <v>189.88</v>
      </c>
      <c r="J85" s="27"/>
      <c r="K85" s="27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2" ht="31.5" customHeight="1">
      <c r="A86" s="31">
        <v>19</v>
      </c>
      <c r="B86" s="67" t="s">
        <v>86</v>
      </c>
      <c r="C86" s="68" t="s">
        <v>39</v>
      </c>
      <c r="D86" s="66"/>
      <c r="E86" s="37"/>
      <c r="F86" s="37">
        <v>0.05</v>
      </c>
      <c r="G86" s="37">
        <v>3581.13</v>
      </c>
      <c r="H86" s="105">
        <f t="shared" si="15"/>
        <v>0.17905650000000004</v>
      </c>
      <c r="I86" s="13">
        <f>G86*0.01</f>
        <v>35.811300000000003</v>
      </c>
      <c r="J86" s="27"/>
      <c r="K86" s="27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2" ht="15" customHeight="1">
      <c r="A87" s="31">
        <v>20</v>
      </c>
      <c r="B87" s="67" t="s">
        <v>167</v>
      </c>
      <c r="C87" s="68" t="s">
        <v>168</v>
      </c>
      <c r="D87" s="52"/>
      <c r="E87" s="13"/>
      <c r="F87" s="13">
        <v>8.5</v>
      </c>
      <c r="G87" s="13">
        <v>1582</v>
      </c>
      <c r="H87" s="103">
        <f>G87*F87/1000</f>
        <v>13.446999999999999</v>
      </c>
      <c r="I87" s="13">
        <f>G87*1.5</f>
        <v>2373</v>
      </c>
      <c r="J87" s="27"/>
      <c r="K87" s="27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2" ht="15.75" customHeight="1">
      <c r="A88" s="31">
        <v>21</v>
      </c>
      <c r="B88" s="67" t="s">
        <v>113</v>
      </c>
      <c r="C88" s="68" t="s">
        <v>88</v>
      </c>
      <c r="D88" s="52"/>
      <c r="E88" s="13"/>
      <c r="F88" s="13">
        <v>4</v>
      </c>
      <c r="G88" s="13">
        <v>195.85</v>
      </c>
      <c r="H88" s="103">
        <f>G88*F88/1000</f>
        <v>0.78339999999999999</v>
      </c>
      <c r="I88" s="13">
        <f>G88</f>
        <v>195.85</v>
      </c>
      <c r="J88" s="27"/>
      <c r="K88" s="27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2" ht="47.25" customHeight="1">
      <c r="A89" s="31">
        <v>22</v>
      </c>
      <c r="B89" s="129" t="s">
        <v>208</v>
      </c>
      <c r="C89" s="130" t="s">
        <v>209</v>
      </c>
      <c r="D89" s="131"/>
      <c r="E89" s="18"/>
      <c r="F89" s="37">
        <f>2/10</f>
        <v>0.2</v>
      </c>
      <c r="G89" s="37">
        <v>10276.98</v>
      </c>
      <c r="H89" s="105">
        <f t="shared" ref="H89" si="16">G89*F89/1000</f>
        <v>2.055396</v>
      </c>
      <c r="I89" s="13">
        <f>G89*0.2</f>
        <v>2055.3960000000002</v>
      </c>
      <c r="J89" s="27"/>
      <c r="K89" s="27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2" ht="15.75" customHeight="1">
      <c r="A90" s="31"/>
      <c r="B90" s="46" t="s">
        <v>53</v>
      </c>
      <c r="C90" s="42"/>
      <c r="D90" s="54"/>
      <c r="E90" s="42">
        <v>1</v>
      </c>
      <c r="F90" s="42"/>
      <c r="G90" s="42"/>
      <c r="H90" s="42"/>
      <c r="I90" s="33">
        <f>SUM(I84:I89)</f>
        <v>7307.2573000000011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1:22" ht="15.75" customHeight="1">
      <c r="A91" s="31"/>
      <c r="B91" s="52" t="s">
        <v>81</v>
      </c>
      <c r="C91" s="16"/>
      <c r="D91" s="16"/>
      <c r="E91" s="43"/>
      <c r="F91" s="43"/>
      <c r="G91" s="44"/>
      <c r="H91" s="44"/>
      <c r="I91" s="18">
        <v>0</v>
      </c>
    </row>
    <row r="92" spans="1:22" ht="15.75" customHeight="1">
      <c r="A92" s="55"/>
      <c r="B92" s="47" t="s">
        <v>157</v>
      </c>
      <c r="C92" s="36"/>
      <c r="D92" s="36"/>
      <c r="E92" s="36"/>
      <c r="F92" s="36"/>
      <c r="G92" s="36"/>
      <c r="H92" s="36"/>
      <c r="I92" s="45">
        <f>I82+I90</f>
        <v>54772.258554999993</v>
      </c>
    </row>
    <row r="93" spans="1:22" ht="15.75" customHeight="1">
      <c r="A93" s="153" t="s">
        <v>223</v>
      </c>
      <c r="B93" s="153"/>
      <c r="C93" s="153"/>
      <c r="D93" s="153"/>
      <c r="E93" s="153"/>
      <c r="F93" s="153"/>
      <c r="G93" s="153"/>
      <c r="H93" s="153"/>
      <c r="I93" s="153"/>
    </row>
    <row r="94" spans="1:22" ht="15.75" customHeight="1">
      <c r="A94" s="79"/>
      <c r="B94" s="134" t="s">
        <v>224</v>
      </c>
      <c r="C94" s="134"/>
      <c r="D94" s="134"/>
      <c r="E94" s="134"/>
      <c r="F94" s="134"/>
      <c r="G94" s="134"/>
      <c r="H94" s="91"/>
      <c r="I94" s="3"/>
    </row>
    <row r="95" spans="1:22" ht="15.75" customHeight="1">
      <c r="A95" s="116"/>
      <c r="B95" s="135" t="s">
        <v>6</v>
      </c>
      <c r="C95" s="135"/>
      <c r="D95" s="135"/>
      <c r="E95" s="135"/>
      <c r="F95" s="135"/>
      <c r="G95" s="135"/>
      <c r="H95" s="26"/>
      <c r="I95" s="5"/>
    </row>
    <row r="96" spans="1:22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36" t="s">
        <v>7</v>
      </c>
      <c r="B97" s="136"/>
      <c r="C97" s="136"/>
      <c r="D97" s="136"/>
      <c r="E97" s="136"/>
      <c r="F97" s="136"/>
      <c r="G97" s="136"/>
      <c r="H97" s="136"/>
      <c r="I97" s="136"/>
    </row>
    <row r="98" spans="1:9" ht="15.75" customHeight="1">
      <c r="A98" s="136" t="s">
        <v>8</v>
      </c>
      <c r="B98" s="136"/>
      <c r="C98" s="136"/>
      <c r="D98" s="136"/>
      <c r="E98" s="136"/>
      <c r="F98" s="136"/>
      <c r="G98" s="136"/>
      <c r="H98" s="136"/>
      <c r="I98" s="136"/>
    </row>
    <row r="99" spans="1:9" ht="15.75" customHeight="1">
      <c r="A99" s="139" t="s">
        <v>63</v>
      </c>
      <c r="B99" s="139"/>
      <c r="C99" s="139"/>
      <c r="D99" s="139"/>
      <c r="E99" s="139"/>
      <c r="F99" s="139"/>
      <c r="G99" s="139"/>
      <c r="H99" s="139"/>
      <c r="I99" s="139"/>
    </row>
    <row r="100" spans="1:9" ht="15.75" customHeight="1">
      <c r="A100" s="11"/>
    </row>
    <row r="101" spans="1:9" ht="15.75" customHeight="1">
      <c r="A101" s="140" t="s">
        <v>9</v>
      </c>
      <c r="B101" s="140"/>
      <c r="C101" s="140"/>
      <c r="D101" s="140"/>
      <c r="E101" s="140"/>
      <c r="F101" s="140"/>
      <c r="G101" s="140"/>
      <c r="H101" s="140"/>
      <c r="I101" s="140"/>
    </row>
    <row r="102" spans="1:9" ht="15.75" customHeight="1">
      <c r="A102" s="4"/>
    </row>
    <row r="103" spans="1:9" ht="15.75" customHeight="1">
      <c r="B103" s="117" t="s">
        <v>10</v>
      </c>
      <c r="C103" s="141" t="s">
        <v>94</v>
      </c>
      <c r="D103" s="141"/>
      <c r="E103" s="141"/>
      <c r="F103" s="89"/>
      <c r="I103" s="118"/>
    </row>
    <row r="104" spans="1:9" ht="15.75" customHeight="1">
      <c r="A104" s="116"/>
      <c r="C104" s="135" t="s">
        <v>11</v>
      </c>
      <c r="D104" s="135"/>
      <c r="E104" s="135"/>
      <c r="F104" s="26"/>
      <c r="I104" s="115" t="s">
        <v>12</v>
      </c>
    </row>
    <row r="105" spans="1:9" ht="15.75" customHeight="1">
      <c r="A105" s="27"/>
      <c r="C105" s="12"/>
      <c r="D105" s="12"/>
      <c r="G105" s="12"/>
      <c r="H105" s="12"/>
    </row>
    <row r="106" spans="1:9" ht="15.75" customHeight="1">
      <c r="B106" s="117" t="s">
        <v>13</v>
      </c>
      <c r="C106" s="142"/>
      <c r="D106" s="142"/>
      <c r="E106" s="142"/>
      <c r="F106" s="90"/>
      <c r="I106" s="118"/>
    </row>
    <row r="107" spans="1:9" ht="15.75" customHeight="1">
      <c r="A107" s="116"/>
      <c r="C107" s="138" t="s">
        <v>11</v>
      </c>
      <c r="D107" s="138"/>
      <c r="E107" s="138"/>
      <c r="F107" s="116"/>
      <c r="I107" s="115" t="s">
        <v>12</v>
      </c>
    </row>
    <row r="108" spans="1:9" ht="15.75" customHeight="1">
      <c r="A108" s="4" t="s">
        <v>14</v>
      </c>
    </row>
    <row r="109" spans="1:9">
      <c r="A109" s="137" t="s">
        <v>15</v>
      </c>
      <c r="B109" s="137"/>
      <c r="C109" s="137"/>
      <c r="D109" s="137"/>
      <c r="E109" s="137"/>
      <c r="F109" s="137"/>
      <c r="G109" s="137"/>
      <c r="H109" s="137"/>
      <c r="I109" s="137"/>
    </row>
    <row r="110" spans="1:9" ht="45" customHeight="1">
      <c r="A110" s="133" t="s">
        <v>16</v>
      </c>
      <c r="B110" s="133"/>
      <c r="C110" s="133"/>
      <c r="D110" s="133"/>
      <c r="E110" s="133"/>
      <c r="F110" s="133"/>
      <c r="G110" s="133"/>
      <c r="H110" s="133"/>
      <c r="I110" s="133"/>
    </row>
    <row r="111" spans="1:9" ht="30" customHeight="1">
      <c r="A111" s="133" t="s">
        <v>17</v>
      </c>
      <c r="B111" s="133"/>
      <c r="C111" s="133"/>
      <c r="D111" s="133"/>
      <c r="E111" s="133"/>
      <c r="F111" s="133"/>
      <c r="G111" s="133"/>
      <c r="H111" s="133"/>
      <c r="I111" s="133"/>
    </row>
    <row r="112" spans="1:9" ht="30" customHeight="1">
      <c r="A112" s="133" t="s">
        <v>21</v>
      </c>
      <c r="B112" s="133"/>
      <c r="C112" s="133"/>
      <c r="D112" s="133"/>
      <c r="E112" s="133"/>
      <c r="F112" s="133"/>
      <c r="G112" s="133"/>
      <c r="H112" s="133"/>
      <c r="I112" s="133"/>
    </row>
    <row r="113" spans="1:9" ht="15" customHeight="1">
      <c r="A113" s="133" t="s">
        <v>20</v>
      </c>
      <c r="B113" s="133"/>
      <c r="C113" s="133"/>
      <c r="D113" s="133"/>
      <c r="E113" s="133"/>
      <c r="F113" s="133"/>
      <c r="G113" s="133"/>
      <c r="H113" s="133"/>
      <c r="I113" s="133"/>
    </row>
  </sheetData>
  <autoFilter ref="I12:I82"/>
  <mergeCells count="28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9:I29"/>
    <mergeCell ref="A43:I43"/>
    <mergeCell ref="A54:I54"/>
    <mergeCell ref="A79:I79"/>
    <mergeCell ref="A83:I83"/>
    <mergeCell ref="A93:I93"/>
    <mergeCell ref="B94:G94"/>
    <mergeCell ref="B95:G95"/>
    <mergeCell ref="A97:I97"/>
    <mergeCell ref="A98:I98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2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91</v>
      </c>
      <c r="I1" s="28"/>
      <c r="J1" s="1"/>
      <c r="K1" s="1"/>
      <c r="L1" s="1"/>
      <c r="M1" s="1"/>
    </row>
    <row r="2" spans="1:13" ht="15.75" customHeight="1">
      <c r="A2" s="30" t="s">
        <v>64</v>
      </c>
      <c r="J2" s="2"/>
      <c r="K2" s="2"/>
      <c r="L2" s="2"/>
      <c r="M2" s="2"/>
    </row>
    <row r="3" spans="1:13" ht="15.75" customHeight="1">
      <c r="A3" s="143" t="s">
        <v>210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135</v>
      </c>
      <c r="B4" s="144"/>
      <c r="C4" s="144"/>
      <c r="D4" s="144"/>
      <c r="E4" s="144"/>
      <c r="F4" s="144"/>
      <c r="G4" s="144"/>
      <c r="H4" s="144"/>
      <c r="I4" s="144"/>
    </row>
    <row r="5" spans="1:13" ht="15.75" customHeight="1">
      <c r="A5" s="143" t="s">
        <v>211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 customHeight="1">
      <c r="A6" s="2"/>
      <c r="B6" s="123"/>
      <c r="C6" s="123"/>
      <c r="D6" s="123"/>
      <c r="E6" s="123"/>
      <c r="F6" s="123"/>
      <c r="G6" s="123"/>
      <c r="H6" s="123"/>
      <c r="I6" s="32">
        <v>43100</v>
      </c>
      <c r="J6" s="2"/>
      <c r="K6" s="2"/>
      <c r="L6" s="2"/>
      <c r="M6" s="2"/>
    </row>
    <row r="7" spans="1:13" ht="15.75" customHeight="1">
      <c r="B7" s="121"/>
      <c r="C7" s="121"/>
      <c r="D7" s="121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45" t="s">
        <v>201</v>
      </c>
      <c r="B8" s="145"/>
      <c r="C8" s="145"/>
      <c r="D8" s="145"/>
      <c r="E8" s="145"/>
      <c r="F8" s="145"/>
      <c r="G8" s="145"/>
      <c r="H8" s="145"/>
      <c r="I8" s="145"/>
      <c r="J8" s="78"/>
      <c r="K8" s="78"/>
      <c r="L8" s="78"/>
      <c r="M8" s="78"/>
    </row>
    <row r="9" spans="1:13" ht="15.75">
      <c r="A9" s="4"/>
      <c r="J9" s="2"/>
      <c r="K9" s="2"/>
      <c r="L9" s="2"/>
      <c r="M9" s="2"/>
    </row>
    <row r="10" spans="1:13" ht="47.25" customHeight="1">
      <c r="A10" s="146" t="s">
        <v>202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8" t="s">
        <v>61</v>
      </c>
      <c r="B14" s="148"/>
      <c r="C14" s="148"/>
      <c r="D14" s="148"/>
      <c r="E14" s="148"/>
      <c r="F14" s="148"/>
      <c r="G14" s="148"/>
      <c r="H14" s="148"/>
      <c r="I14" s="148"/>
      <c r="J14" s="8"/>
      <c r="K14" s="8"/>
      <c r="L14" s="8"/>
      <c r="M14" s="8"/>
    </row>
    <row r="15" spans="1:13" ht="15.75" customHeight="1">
      <c r="A15" s="149" t="s">
        <v>4</v>
      </c>
      <c r="B15" s="149"/>
      <c r="C15" s="149"/>
      <c r="D15" s="149"/>
      <c r="E15" s="149"/>
      <c r="F15" s="149"/>
      <c r="G15" s="149"/>
      <c r="H15" s="149"/>
      <c r="I15" s="149"/>
      <c r="J15" s="8"/>
      <c r="K15" s="8"/>
      <c r="L15" s="8"/>
      <c r="M15" s="8"/>
    </row>
    <row r="16" spans="1:13" ht="15.75" customHeight="1">
      <c r="A16" s="31">
        <v>1</v>
      </c>
      <c r="B16" s="93" t="s">
        <v>92</v>
      </c>
      <c r="C16" s="94" t="s">
        <v>102</v>
      </c>
      <c r="D16" s="93" t="s">
        <v>140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8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111</v>
      </c>
      <c r="C17" s="94" t="s">
        <v>102</v>
      </c>
      <c r="D17" s="93" t="s">
        <v>141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112</v>
      </c>
      <c r="C18" s="94" t="s">
        <v>102</v>
      </c>
      <c r="D18" s="93" t="s">
        <v>142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3" t="s">
        <v>136</v>
      </c>
      <c r="C19" s="94" t="s">
        <v>137</v>
      </c>
      <c r="D19" s="93" t="s">
        <v>138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f>F19/2*G19</f>
        <v>157.22784000000001</v>
      </c>
      <c r="J19" s="8"/>
      <c r="K19" s="8"/>
      <c r="L19" s="8"/>
      <c r="M19" s="8"/>
    </row>
    <row r="20" spans="1:13" ht="15.75" customHeight="1">
      <c r="A20" s="31">
        <v>4</v>
      </c>
      <c r="B20" s="93" t="s">
        <v>101</v>
      </c>
      <c r="C20" s="94" t="s">
        <v>102</v>
      </c>
      <c r="D20" s="93" t="s">
        <v>30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3" t="s">
        <v>109</v>
      </c>
      <c r="C21" s="94" t="s">
        <v>102</v>
      </c>
      <c r="D21" s="93" t="s">
        <v>30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3" t="s">
        <v>103</v>
      </c>
      <c r="C22" s="94" t="s">
        <v>54</v>
      </c>
      <c r="D22" s="93" t="s">
        <v>138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f>F22*G22</f>
        <v>720.94365000000005</v>
      </c>
      <c r="J22" s="8"/>
      <c r="K22" s="8"/>
      <c r="L22" s="8"/>
      <c r="M22" s="8"/>
    </row>
    <row r="23" spans="1:13" ht="15.75" hidden="1" customHeight="1">
      <c r="A23" s="31">
        <v>8</v>
      </c>
      <c r="B23" s="93" t="s">
        <v>104</v>
      </c>
      <c r="C23" s="94" t="s">
        <v>54</v>
      </c>
      <c r="D23" s="93" t="s">
        <v>138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f t="shared" ref="I23:I26" si="1">F23*G23</f>
        <v>9.6552199999999999</v>
      </c>
      <c r="J23" s="8"/>
      <c r="K23" s="8"/>
      <c r="L23" s="8"/>
      <c r="M23" s="8"/>
    </row>
    <row r="24" spans="1:13" ht="15.75" hidden="1" customHeight="1">
      <c r="A24" s="31">
        <v>9</v>
      </c>
      <c r="B24" s="93" t="s">
        <v>105</v>
      </c>
      <c r="C24" s="94" t="s">
        <v>54</v>
      </c>
      <c r="D24" s="93" t="s">
        <v>139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f t="shared" si="1"/>
        <v>58.457999999999998</v>
      </c>
      <c r="J24" s="8"/>
      <c r="K24" s="8"/>
      <c r="L24" s="8"/>
      <c r="M24" s="8"/>
    </row>
    <row r="25" spans="1:13" ht="15.75" hidden="1" customHeight="1">
      <c r="A25" s="31">
        <v>10</v>
      </c>
      <c r="B25" s="93" t="s">
        <v>110</v>
      </c>
      <c r="C25" s="94" t="s">
        <v>102</v>
      </c>
      <c r="D25" s="93" t="s">
        <v>55</v>
      </c>
      <c r="E25" s="95">
        <v>14.25</v>
      </c>
      <c r="F25" s="96">
        <v>0.1</v>
      </c>
      <c r="G25" s="96">
        <v>216.12</v>
      </c>
      <c r="H25" s="97">
        <v>3.1E-2</v>
      </c>
      <c r="I25" s="13">
        <f t="shared" si="1"/>
        <v>21.612000000000002</v>
      </c>
      <c r="J25" s="8"/>
      <c r="K25" s="8"/>
      <c r="L25" s="8"/>
      <c r="M25" s="8"/>
    </row>
    <row r="26" spans="1:13" ht="15.75" hidden="1" customHeight="1">
      <c r="A26" s="31">
        <v>11</v>
      </c>
      <c r="B26" s="93" t="s">
        <v>106</v>
      </c>
      <c r="C26" s="94" t="s">
        <v>54</v>
      </c>
      <c r="D26" s="93" t="s">
        <v>138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f t="shared" si="1"/>
        <v>33.227039999999995</v>
      </c>
      <c r="J26" s="8"/>
      <c r="K26" s="8"/>
      <c r="L26" s="8"/>
      <c r="M26" s="8"/>
    </row>
    <row r="27" spans="1:13" ht="15.75" customHeight="1">
      <c r="A27" s="31">
        <v>6</v>
      </c>
      <c r="B27" s="93" t="s">
        <v>66</v>
      </c>
      <c r="C27" s="94" t="s">
        <v>33</v>
      </c>
      <c r="D27" s="34" t="s">
        <v>90</v>
      </c>
      <c r="E27" s="95">
        <v>0.1</v>
      </c>
      <c r="F27" s="96">
        <f>SUM(E27*365)</f>
        <v>36.5</v>
      </c>
      <c r="G27" s="96">
        <v>147.03</v>
      </c>
      <c r="H27" s="97">
        <f t="shared" si="0"/>
        <v>5.3665950000000002</v>
      </c>
      <c r="I27" s="13">
        <f>F27/12*G27</f>
        <v>447.21625</v>
      </c>
      <c r="J27" s="8"/>
      <c r="K27" s="8"/>
      <c r="L27" s="8"/>
      <c r="M27" s="8"/>
    </row>
    <row r="28" spans="1:13" ht="15.75" customHeight="1">
      <c r="A28" s="31">
        <v>7</v>
      </c>
      <c r="B28" s="99" t="s">
        <v>23</v>
      </c>
      <c r="C28" s="94" t="s">
        <v>24</v>
      </c>
      <c r="D28" s="34" t="s">
        <v>90</v>
      </c>
      <c r="E28" s="95">
        <v>2581.1999999999998</v>
      </c>
      <c r="F28" s="96">
        <f>SUM(E28*12)</f>
        <v>30974.399999999998</v>
      </c>
      <c r="G28" s="96">
        <v>4.8099999999999996</v>
      </c>
      <c r="H28" s="97">
        <f t="shared" si="0"/>
        <v>148.98686399999997</v>
      </c>
      <c r="I28" s="13">
        <f>F28/12*G28</f>
        <v>12415.571999999998</v>
      </c>
      <c r="J28" s="24"/>
      <c r="K28" s="8"/>
      <c r="L28" s="8"/>
      <c r="M28" s="8"/>
    </row>
    <row r="29" spans="1:13" ht="15.75" customHeight="1">
      <c r="A29" s="149" t="s">
        <v>89</v>
      </c>
      <c r="B29" s="149"/>
      <c r="C29" s="149"/>
      <c r="D29" s="149"/>
      <c r="E29" s="149"/>
      <c r="F29" s="149"/>
      <c r="G29" s="149"/>
      <c r="H29" s="149"/>
      <c r="I29" s="149"/>
      <c r="J29" s="24"/>
      <c r="K29" s="8"/>
      <c r="L29" s="8"/>
      <c r="M29" s="8"/>
    </row>
    <row r="30" spans="1:13" ht="15.75" hidden="1" customHeight="1">
      <c r="A30" s="41"/>
      <c r="B30" s="51" t="s">
        <v>28</v>
      </c>
      <c r="C30" s="51"/>
      <c r="D30" s="51"/>
      <c r="E30" s="51"/>
      <c r="F30" s="51"/>
      <c r="G30" s="51"/>
      <c r="H30" s="51"/>
      <c r="I30" s="19"/>
      <c r="J30" s="24"/>
      <c r="K30" s="8"/>
      <c r="L30" s="8"/>
      <c r="M30" s="8"/>
    </row>
    <row r="31" spans="1:13" ht="15.75" hidden="1" customHeight="1">
      <c r="A31" s="41">
        <v>8</v>
      </c>
      <c r="B31" s="93" t="s">
        <v>114</v>
      </c>
      <c r="C31" s="94" t="s">
        <v>115</v>
      </c>
      <c r="D31" s="93" t="s">
        <v>116</v>
      </c>
      <c r="E31" s="96">
        <v>1167.4000000000001</v>
      </c>
      <c r="F31" s="96">
        <f>SUM(E31*52/1000)</f>
        <v>60.704800000000006</v>
      </c>
      <c r="G31" s="96">
        <v>155.88999999999999</v>
      </c>
      <c r="H31" s="97">
        <f t="shared" ref="H31:H33" si="2">SUM(F31*G31/1000)</f>
        <v>9.4632712720000001</v>
      </c>
      <c r="I31" s="13">
        <f>F31/6*G31</f>
        <v>1577.2118786666665</v>
      </c>
      <c r="J31" s="24"/>
      <c r="K31" s="8"/>
      <c r="L31" s="8"/>
      <c r="M31" s="8"/>
    </row>
    <row r="32" spans="1:13" ht="31.5" hidden="1" customHeight="1">
      <c r="A32" s="41">
        <v>9</v>
      </c>
      <c r="B32" s="93" t="s">
        <v>154</v>
      </c>
      <c r="C32" s="94" t="s">
        <v>115</v>
      </c>
      <c r="D32" s="93" t="s">
        <v>117</v>
      </c>
      <c r="E32" s="96">
        <v>540.04999999999995</v>
      </c>
      <c r="F32" s="96">
        <f>SUM(E32*78/1000)</f>
        <v>42.123899999999992</v>
      </c>
      <c r="G32" s="96">
        <v>258.63</v>
      </c>
      <c r="H32" s="97">
        <f t="shared" si="2"/>
        <v>10.894504256999998</v>
      </c>
      <c r="I32" s="13">
        <f t="shared" ref="I32:I34" si="3">F32/6*G32</f>
        <v>1815.7507094999996</v>
      </c>
      <c r="J32" s="24"/>
      <c r="K32" s="8"/>
      <c r="L32" s="8"/>
      <c r="M32" s="8"/>
    </row>
    <row r="33" spans="1:13" ht="15.75" hidden="1" customHeight="1">
      <c r="A33" s="41">
        <v>16</v>
      </c>
      <c r="B33" s="93" t="s">
        <v>27</v>
      </c>
      <c r="C33" s="94" t="s">
        <v>115</v>
      </c>
      <c r="D33" s="93" t="s">
        <v>55</v>
      </c>
      <c r="E33" s="96">
        <v>1167.4000000000001</v>
      </c>
      <c r="F33" s="96">
        <f>SUM(E33/1000)</f>
        <v>1.1674</v>
      </c>
      <c r="G33" s="96">
        <v>3020.33</v>
      </c>
      <c r="H33" s="97">
        <f t="shared" si="2"/>
        <v>3.5259332420000002</v>
      </c>
      <c r="I33" s="13">
        <f>F33*G33</f>
        <v>3525.9332420000001</v>
      </c>
      <c r="J33" s="24"/>
      <c r="K33" s="8"/>
      <c r="L33" s="8"/>
      <c r="M33" s="8"/>
    </row>
    <row r="34" spans="1:13" ht="15.75" hidden="1" customHeight="1">
      <c r="A34" s="41">
        <v>10</v>
      </c>
      <c r="B34" s="93" t="s">
        <v>118</v>
      </c>
      <c r="C34" s="94" t="s">
        <v>31</v>
      </c>
      <c r="D34" s="93" t="s">
        <v>65</v>
      </c>
      <c r="E34" s="100">
        <v>0.33333333333333331</v>
      </c>
      <c r="F34" s="96">
        <f>155/3</f>
        <v>51.666666666666664</v>
      </c>
      <c r="G34" s="96">
        <v>56.69</v>
      </c>
      <c r="H34" s="97">
        <f>SUM(G34*155/3/1000)</f>
        <v>2.9289833333333331</v>
      </c>
      <c r="I34" s="13">
        <f t="shared" si="3"/>
        <v>488.16388888888883</v>
      </c>
      <c r="J34" s="24"/>
      <c r="K34" s="8"/>
      <c r="L34" s="8"/>
      <c r="M34" s="8"/>
    </row>
    <row r="35" spans="1:13" ht="15.75" hidden="1" customHeight="1">
      <c r="A35" s="41">
        <v>4</v>
      </c>
      <c r="B35" s="93" t="s">
        <v>67</v>
      </c>
      <c r="C35" s="94" t="s">
        <v>33</v>
      </c>
      <c r="D35" s="93" t="s">
        <v>68</v>
      </c>
      <c r="E35" s="95"/>
      <c r="F35" s="96">
        <v>3</v>
      </c>
      <c r="G35" s="96">
        <v>191.32</v>
      </c>
      <c r="H35" s="97">
        <f t="shared" ref="H35" si="4">SUM(F35*G35/1000)</f>
        <v>0.57396000000000003</v>
      </c>
      <c r="I35" s="13">
        <v>0</v>
      </c>
      <c r="J35" s="24"/>
      <c r="K35" s="8"/>
      <c r="L35" s="8"/>
      <c r="M35" s="8"/>
    </row>
    <row r="36" spans="1:13" ht="15.75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9"/>
      <c r="J36" s="24"/>
      <c r="K36" s="8"/>
      <c r="L36" s="8"/>
      <c r="M36" s="8"/>
    </row>
    <row r="37" spans="1:13" ht="15.75" customHeight="1">
      <c r="A37" s="41">
        <v>8</v>
      </c>
      <c r="B37" s="93" t="s">
        <v>26</v>
      </c>
      <c r="C37" s="94" t="s">
        <v>32</v>
      </c>
      <c r="D37" s="93"/>
      <c r="E37" s="95"/>
      <c r="F37" s="96">
        <v>6</v>
      </c>
      <c r="G37" s="96">
        <v>1527.2</v>
      </c>
      <c r="H37" s="97">
        <f t="shared" ref="H37:H42" si="5">SUM(F37*G37/1000)</f>
        <v>9.1632000000000016</v>
      </c>
      <c r="I37" s="13">
        <f t="shared" ref="I37:I42" si="6">F37/6*G37</f>
        <v>1527.2</v>
      </c>
      <c r="J37" s="24"/>
      <c r="K37" s="8"/>
      <c r="L37" s="8"/>
      <c r="M37" s="8"/>
    </row>
    <row r="38" spans="1:13" ht="15.75" customHeight="1">
      <c r="A38" s="35">
        <v>9</v>
      </c>
      <c r="B38" s="93" t="s">
        <v>69</v>
      </c>
      <c r="C38" s="94" t="s">
        <v>29</v>
      </c>
      <c r="D38" s="93" t="s">
        <v>143</v>
      </c>
      <c r="E38" s="96">
        <v>1080.0999999999999</v>
      </c>
      <c r="F38" s="96">
        <f>SUM(E38*30/1000)</f>
        <v>32.402999999999999</v>
      </c>
      <c r="G38" s="96">
        <v>2102.6999999999998</v>
      </c>
      <c r="H38" s="97">
        <f t="shared" si="5"/>
        <v>68.13378809999999</v>
      </c>
      <c r="I38" s="13">
        <f t="shared" si="6"/>
        <v>11355.63135</v>
      </c>
      <c r="J38" s="24"/>
      <c r="K38" s="8"/>
      <c r="L38" s="8"/>
      <c r="M38" s="8"/>
    </row>
    <row r="39" spans="1:13" ht="15.75" customHeight="1">
      <c r="A39" s="35">
        <v>10</v>
      </c>
      <c r="B39" s="93" t="s">
        <v>70</v>
      </c>
      <c r="C39" s="94" t="s">
        <v>29</v>
      </c>
      <c r="D39" s="93" t="s">
        <v>119</v>
      </c>
      <c r="E39" s="96">
        <v>45</v>
      </c>
      <c r="F39" s="96">
        <f>SUM(E39*155/1000)</f>
        <v>6.9749999999999996</v>
      </c>
      <c r="G39" s="96">
        <v>350.75</v>
      </c>
      <c r="H39" s="97">
        <f t="shared" si="5"/>
        <v>2.4464812499999997</v>
      </c>
      <c r="I39" s="13">
        <f t="shared" si="6"/>
        <v>407.74687499999993</v>
      </c>
      <c r="J39" s="24"/>
      <c r="K39" s="8"/>
      <c r="L39" s="8"/>
      <c r="M39" s="8"/>
    </row>
    <row r="40" spans="1:13" ht="47.25" customHeight="1">
      <c r="A40" s="35">
        <v>11</v>
      </c>
      <c r="B40" s="93" t="s">
        <v>87</v>
      </c>
      <c r="C40" s="94" t="s">
        <v>115</v>
      </c>
      <c r="D40" s="93" t="s">
        <v>71</v>
      </c>
      <c r="E40" s="96">
        <v>45</v>
      </c>
      <c r="F40" s="96">
        <f>SUM(E40*70/1000)</f>
        <v>3.15</v>
      </c>
      <c r="G40" s="96">
        <v>5803.28</v>
      </c>
      <c r="H40" s="97">
        <f t="shared" si="5"/>
        <v>18.280331999999998</v>
      </c>
      <c r="I40" s="13">
        <f t="shared" si="6"/>
        <v>3046.7220000000002</v>
      </c>
      <c r="J40" s="24"/>
      <c r="K40" s="8"/>
      <c r="L40" s="8"/>
      <c r="M40" s="8"/>
    </row>
    <row r="41" spans="1:13" ht="15.75" hidden="1" customHeight="1">
      <c r="A41" s="35">
        <v>12</v>
      </c>
      <c r="B41" s="93" t="s">
        <v>120</v>
      </c>
      <c r="C41" s="94" t="s">
        <v>115</v>
      </c>
      <c r="D41" s="93" t="s">
        <v>72</v>
      </c>
      <c r="E41" s="96">
        <v>45</v>
      </c>
      <c r="F41" s="96">
        <f>SUM(E41*45/1000)</f>
        <v>2.0249999999999999</v>
      </c>
      <c r="G41" s="96">
        <v>428.7</v>
      </c>
      <c r="H41" s="97">
        <f t="shared" si="5"/>
        <v>0.86811749999999999</v>
      </c>
      <c r="I41" s="13">
        <f t="shared" si="6"/>
        <v>144.68624999999997</v>
      </c>
      <c r="J41" s="24"/>
      <c r="K41" s="8"/>
      <c r="L41" s="8"/>
      <c r="M41" s="8"/>
    </row>
    <row r="42" spans="1:13" ht="15.75" customHeight="1">
      <c r="A42" s="35">
        <v>12</v>
      </c>
      <c r="B42" s="93" t="s">
        <v>73</v>
      </c>
      <c r="C42" s="94" t="s">
        <v>33</v>
      </c>
      <c r="D42" s="93"/>
      <c r="E42" s="95"/>
      <c r="F42" s="96">
        <v>0.6</v>
      </c>
      <c r="G42" s="96">
        <v>798</v>
      </c>
      <c r="H42" s="97">
        <f t="shared" si="5"/>
        <v>0.47879999999999995</v>
      </c>
      <c r="I42" s="13">
        <f t="shared" si="6"/>
        <v>79.8</v>
      </c>
      <c r="J42" s="24"/>
      <c r="K42" s="8"/>
      <c r="L42" s="8"/>
      <c r="M42" s="8"/>
    </row>
    <row r="43" spans="1:13" ht="15.75" customHeight="1">
      <c r="A43" s="150" t="s">
        <v>151</v>
      </c>
      <c r="B43" s="151"/>
      <c r="C43" s="151"/>
      <c r="D43" s="151"/>
      <c r="E43" s="151"/>
      <c r="F43" s="151"/>
      <c r="G43" s="151"/>
      <c r="H43" s="151"/>
      <c r="I43" s="152"/>
      <c r="J43" s="24"/>
      <c r="K43" s="8"/>
      <c r="L43" s="8"/>
      <c r="M43" s="8"/>
    </row>
    <row r="44" spans="1:13" ht="15.75" hidden="1" customHeight="1">
      <c r="A44" s="41">
        <v>11</v>
      </c>
      <c r="B44" s="93" t="s">
        <v>121</v>
      </c>
      <c r="C44" s="94" t="s">
        <v>115</v>
      </c>
      <c r="D44" s="93" t="s">
        <v>43</v>
      </c>
      <c r="E44" s="95">
        <v>965.8</v>
      </c>
      <c r="F44" s="96">
        <f>SUM(E44*2/1000)</f>
        <v>1.9316</v>
      </c>
      <c r="G44" s="13">
        <v>849.49</v>
      </c>
      <c r="H44" s="97">
        <f t="shared" ref="H44:H53" si="7">SUM(F44*G44/1000)</f>
        <v>1.640874884</v>
      </c>
      <c r="I44" s="13">
        <f t="shared" ref="I44:I47" si="8">F44/2*G44</f>
        <v>820.43744200000003</v>
      </c>
      <c r="J44" s="24"/>
      <c r="K44" s="8"/>
    </row>
    <row r="45" spans="1:13" ht="15.75" hidden="1" customHeight="1">
      <c r="A45" s="41">
        <v>12</v>
      </c>
      <c r="B45" s="93" t="s">
        <v>36</v>
      </c>
      <c r="C45" s="94" t="s">
        <v>115</v>
      </c>
      <c r="D45" s="93" t="s">
        <v>43</v>
      </c>
      <c r="E45" s="95">
        <v>36</v>
      </c>
      <c r="F45" s="96">
        <f>SUM(E45*2/1000)</f>
        <v>7.1999999999999995E-2</v>
      </c>
      <c r="G45" s="13">
        <v>579.48</v>
      </c>
      <c r="H45" s="97">
        <f t="shared" si="7"/>
        <v>4.1722559999999999E-2</v>
      </c>
      <c r="I45" s="13">
        <f t="shared" si="8"/>
        <v>20.861280000000001</v>
      </c>
      <c r="J45" s="25"/>
    </row>
    <row r="46" spans="1:13" ht="15.75" hidden="1" customHeight="1">
      <c r="A46" s="41">
        <v>13</v>
      </c>
      <c r="B46" s="93" t="s">
        <v>37</v>
      </c>
      <c r="C46" s="94" t="s">
        <v>115</v>
      </c>
      <c r="D46" s="93" t="s">
        <v>43</v>
      </c>
      <c r="E46" s="95">
        <v>1197.7</v>
      </c>
      <c r="F46" s="96">
        <f>SUM(E46*2/1000)</f>
        <v>2.3954</v>
      </c>
      <c r="G46" s="13">
        <v>579.48</v>
      </c>
      <c r="H46" s="97">
        <f t="shared" si="7"/>
        <v>1.3880863919999999</v>
      </c>
      <c r="I46" s="13">
        <f t="shared" si="8"/>
        <v>694.04319599999997</v>
      </c>
      <c r="J46" s="25"/>
    </row>
    <row r="47" spans="1:13" ht="15.75" hidden="1" customHeight="1">
      <c r="A47" s="41">
        <v>14</v>
      </c>
      <c r="B47" s="93" t="s">
        <v>38</v>
      </c>
      <c r="C47" s="94" t="s">
        <v>115</v>
      </c>
      <c r="D47" s="93" t="s">
        <v>43</v>
      </c>
      <c r="E47" s="95">
        <v>2275.92</v>
      </c>
      <c r="F47" s="96">
        <f>SUM(E47*2/1000)</f>
        <v>4.5518400000000003</v>
      </c>
      <c r="G47" s="13">
        <v>606.77</v>
      </c>
      <c r="H47" s="97">
        <f t="shared" si="7"/>
        <v>2.7619199567999999</v>
      </c>
      <c r="I47" s="13">
        <f t="shared" si="8"/>
        <v>1380.9599784</v>
      </c>
      <c r="J47" s="25"/>
    </row>
    <row r="48" spans="1:13" ht="15.75" hidden="1" customHeight="1">
      <c r="A48" s="41">
        <v>15</v>
      </c>
      <c r="B48" s="93" t="s">
        <v>34</v>
      </c>
      <c r="C48" s="94" t="s">
        <v>35</v>
      </c>
      <c r="D48" s="93" t="s">
        <v>43</v>
      </c>
      <c r="E48" s="95">
        <v>81.709999999999994</v>
      </c>
      <c r="F48" s="96">
        <f>SUM(E48*2/100)</f>
        <v>1.6341999999999999</v>
      </c>
      <c r="G48" s="13">
        <v>68.56</v>
      </c>
      <c r="H48" s="97">
        <f t="shared" si="7"/>
        <v>0.11204075199999999</v>
      </c>
      <c r="I48" s="13">
        <f>F48/2*G48</f>
        <v>56.020375999999999</v>
      </c>
      <c r="J48" s="25"/>
    </row>
    <row r="49" spans="1:14" ht="15.75" customHeight="1">
      <c r="A49" s="41">
        <v>13</v>
      </c>
      <c r="B49" s="93" t="s">
        <v>58</v>
      </c>
      <c r="C49" s="94" t="s">
        <v>115</v>
      </c>
      <c r="D49" s="93" t="s">
        <v>155</v>
      </c>
      <c r="E49" s="95">
        <v>1711.8</v>
      </c>
      <c r="F49" s="96">
        <f>SUM(E49*5/1000)</f>
        <v>8.5589999999999993</v>
      </c>
      <c r="G49" s="13">
        <v>1213.55</v>
      </c>
      <c r="H49" s="97">
        <f t="shared" si="7"/>
        <v>10.386774449999999</v>
      </c>
      <c r="I49" s="13">
        <f>F49/5*G49</f>
        <v>2077.3548899999996</v>
      </c>
      <c r="J49" s="25"/>
    </row>
    <row r="50" spans="1:14" ht="31.5" hidden="1" customHeight="1">
      <c r="A50" s="41">
        <v>17</v>
      </c>
      <c r="B50" s="93" t="s">
        <v>122</v>
      </c>
      <c r="C50" s="94" t="s">
        <v>115</v>
      </c>
      <c r="D50" s="93" t="s">
        <v>43</v>
      </c>
      <c r="E50" s="95">
        <v>1711.8</v>
      </c>
      <c r="F50" s="96">
        <f>SUM(E50*2/1000)</f>
        <v>3.4236</v>
      </c>
      <c r="G50" s="13">
        <v>1213.55</v>
      </c>
      <c r="H50" s="97">
        <f t="shared" si="7"/>
        <v>4.1547097800000001</v>
      </c>
      <c r="I50" s="13">
        <f>F50/2*G50</f>
        <v>2077.3548900000001</v>
      </c>
      <c r="J50" s="25"/>
    </row>
    <row r="51" spans="1:14" ht="31.5" hidden="1" customHeight="1">
      <c r="A51" s="41">
        <v>18</v>
      </c>
      <c r="B51" s="93" t="s">
        <v>123</v>
      </c>
      <c r="C51" s="94" t="s">
        <v>39</v>
      </c>
      <c r="D51" s="93" t="s">
        <v>43</v>
      </c>
      <c r="E51" s="95">
        <v>15</v>
      </c>
      <c r="F51" s="96">
        <f>SUM(E51*2/100)</f>
        <v>0.3</v>
      </c>
      <c r="G51" s="13">
        <v>2730.49</v>
      </c>
      <c r="H51" s="97">
        <f t="shared" si="7"/>
        <v>0.81914699999999996</v>
      </c>
      <c r="I51" s="13">
        <f t="shared" ref="I51:I52" si="9">F51/2*G51</f>
        <v>409.57349999999997</v>
      </c>
      <c r="J51" s="25"/>
    </row>
    <row r="52" spans="1:14" ht="15.75" hidden="1" customHeight="1">
      <c r="A52" s="41">
        <v>19</v>
      </c>
      <c r="B52" s="93" t="s">
        <v>40</v>
      </c>
      <c r="C52" s="94" t="s">
        <v>41</v>
      </c>
      <c r="D52" s="93" t="s">
        <v>43</v>
      </c>
      <c r="E52" s="95">
        <v>1</v>
      </c>
      <c r="F52" s="96">
        <v>0.02</v>
      </c>
      <c r="G52" s="13">
        <v>5322.15</v>
      </c>
      <c r="H52" s="97">
        <f t="shared" si="7"/>
        <v>0.106443</v>
      </c>
      <c r="I52" s="13">
        <f t="shared" si="9"/>
        <v>53.221499999999999</v>
      </c>
      <c r="J52" s="25"/>
      <c r="L52" s="21"/>
      <c r="M52" s="22"/>
      <c r="N52" s="23"/>
    </row>
    <row r="53" spans="1:14" ht="15.75" hidden="1" customHeight="1">
      <c r="A53" s="41">
        <v>11</v>
      </c>
      <c r="B53" s="93" t="s">
        <v>42</v>
      </c>
      <c r="C53" s="94" t="s">
        <v>95</v>
      </c>
      <c r="D53" s="93" t="s">
        <v>74</v>
      </c>
      <c r="E53" s="95">
        <v>90</v>
      </c>
      <c r="F53" s="96">
        <f>SUM(E53)*3</f>
        <v>270</v>
      </c>
      <c r="G53" s="13">
        <v>65.67</v>
      </c>
      <c r="H53" s="97">
        <f t="shared" si="7"/>
        <v>17.730900000000002</v>
      </c>
      <c r="I53" s="13">
        <f>E53*G53</f>
        <v>5910.3</v>
      </c>
      <c r="J53" s="25"/>
      <c r="L53" s="21"/>
      <c r="M53" s="22"/>
      <c r="N53" s="23"/>
    </row>
    <row r="54" spans="1:14" ht="15.75" customHeight="1">
      <c r="A54" s="150" t="s">
        <v>152</v>
      </c>
      <c r="B54" s="151"/>
      <c r="C54" s="151"/>
      <c r="D54" s="151"/>
      <c r="E54" s="151"/>
      <c r="F54" s="151"/>
      <c r="G54" s="151"/>
      <c r="H54" s="151"/>
      <c r="I54" s="152"/>
      <c r="J54" s="25"/>
      <c r="L54" s="21"/>
      <c r="M54" s="22"/>
      <c r="N54" s="23"/>
    </row>
    <row r="55" spans="1:14" ht="15.75" customHeight="1">
      <c r="A55" s="125"/>
      <c r="B55" s="48" t="s">
        <v>44</v>
      </c>
      <c r="C55" s="17"/>
      <c r="D55" s="16"/>
      <c r="E55" s="16"/>
      <c r="F55" s="16"/>
      <c r="G55" s="31"/>
      <c r="H55" s="31"/>
      <c r="I55" s="19"/>
      <c r="J55" s="25"/>
      <c r="L55" s="21"/>
      <c r="M55" s="22"/>
      <c r="N55" s="23"/>
    </row>
    <row r="56" spans="1:14" ht="31.5" customHeight="1">
      <c r="A56" s="41">
        <v>14</v>
      </c>
      <c r="B56" s="93" t="s">
        <v>124</v>
      </c>
      <c r="C56" s="94" t="s">
        <v>102</v>
      </c>
      <c r="D56" s="93" t="s">
        <v>125</v>
      </c>
      <c r="E56" s="95">
        <v>96.58</v>
      </c>
      <c r="F56" s="96">
        <f>SUM(E56*6/100)</f>
        <v>5.7948000000000004</v>
      </c>
      <c r="G56" s="13">
        <v>1547.28</v>
      </c>
      <c r="H56" s="97">
        <f>SUM(F56*G56/1000)</f>
        <v>8.9661781440000006</v>
      </c>
      <c r="I56" s="13">
        <f>F56/6*G56</f>
        <v>1494.3630240000002</v>
      </c>
      <c r="J56" s="25"/>
      <c r="L56" s="21"/>
      <c r="M56" s="22"/>
      <c r="N56" s="23"/>
    </row>
    <row r="57" spans="1:14" ht="15.75" customHeight="1">
      <c r="A57" s="41"/>
      <c r="B57" s="69" t="s">
        <v>45</v>
      </c>
      <c r="C57" s="40"/>
      <c r="D57" s="34"/>
      <c r="E57" s="19"/>
      <c r="F57" s="87"/>
      <c r="G57" s="37"/>
      <c r="H57" s="70"/>
      <c r="I57" s="20"/>
      <c r="J57" s="25"/>
      <c r="L57" s="21"/>
      <c r="M57" s="22"/>
      <c r="N57" s="23"/>
    </row>
    <row r="58" spans="1:14" ht="15.75" hidden="1" customHeight="1">
      <c r="A58" s="41"/>
      <c r="B58" s="93" t="s">
        <v>46</v>
      </c>
      <c r="C58" s="94" t="s">
        <v>102</v>
      </c>
      <c r="D58" s="93" t="s">
        <v>55</v>
      </c>
      <c r="E58" s="95">
        <v>855.9</v>
      </c>
      <c r="F58" s="97">
        <v>8.6</v>
      </c>
      <c r="G58" s="13">
        <v>747.3</v>
      </c>
      <c r="H58" s="101">
        <v>6.4</v>
      </c>
      <c r="I58" s="13">
        <v>0</v>
      </c>
      <c r="J58" s="25"/>
      <c r="L58" s="21"/>
      <c r="M58" s="22"/>
      <c r="N58" s="23"/>
    </row>
    <row r="59" spans="1:14" ht="15.75" customHeight="1">
      <c r="A59" s="41">
        <v>15</v>
      </c>
      <c r="B59" s="93" t="s">
        <v>96</v>
      </c>
      <c r="C59" s="94" t="s">
        <v>25</v>
      </c>
      <c r="D59" s="93" t="s">
        <v>144</v>
      </c>
      <c r="E59" s="95">
        <v>256</v>
      </c>
      <c r="F59" s="97">
        <f>E59*12</f>
        <v>3072</v>
      </c>
      <c r="G59" s="13">
        <v>2.5958999999999999</v>
      </c>
      <c r="H59" s="101">
        <f>F59*G59/1000</f>
        <v>7.9746047999999989</v>
      </c>
      <c r="I59" s="13">
        <f>F59/12*G59</f>
        <v>664.55039999999997</v>
      </c>
      <c r="J59" s="25"/>
      <c r="L59" s="21"/>
      <c r="M59" s="22"/>
      <c r="N59" s="23"/>
    </row>
    <row r="60" spans="1:14" ht="15.75" hidden="1" customHeight="1">
      <c r="A60" s="41"/>
      <c r="B60" s="69" t="s">
        <v>145</v>
      </c>
      <c r="C60" s="40"/>
      <c r="D60" s="34"/>
      <c r="E60" s="19"/>
      <c r="F60" s="87"/>
      <c r="G60" s="71"/>
      <c r="H60" s="70"/>
      <c r="I60" s="20"/>
      <c r="J60" s="25"/>
      <c r="L60" s="21"/>
      <c r="M60" s="22"/>
      <c r="N60" s="23"/>
    </row>
    <row r="61" spans="1:14" ht="15.75" hidden="1" customHeight="1">
      <c r="A61" s="41"/>
      <c r="B61" s="93" t="s">
        <v>146</v>
      </c>
      <c r="C61" s="94" t="s">
        <v>95</v>
      </c>
      <c r="D61" s="93" t="s">
        <v>68</v>
      </c>
      <c r="E61" s="95">
        <v>2</v>
      </c>
      <c r="F61" s="96">
        <f>SUM(E61)</f>
        <v>2</v>
      </c>
      <c r="G61" s="102">
        <v>237.75</v>
      </c>
      <c r="H61" s="97">
        <f t="shared" ref="H61" si="10">SUM(F61*G61/1000)</f>
        <v>0.47549999999999998</v>
      </c>
      <c r="I61" s="13">
        <v>0</v>
      </c>
      <c r="J61" s="25"/>
      <c r="L61" s="21"/>
      <c r="M61" s="22"/>
      <c r="N61" s="23"/>
    </row>
    <row r="62" spans="1:14" ht="15.75" hidden="1" customHeight="1">
      <c r="A62" s="41"/>
      <c r="B62" s="124" t="s">
        <v>47</v>
      </c>
      <c r="C62" s="17"/>
      <c r="D62" s="16"/>
      <c r="E62" s="16"/>
      <c r="F62" s="88"/>
      <c r="G62" s="65"/>
      <c r="H62" s="70"/>
      <c r="I62" s="19"/>
      <c r="J62" s="25"/>
      <c r="L62" s="21"/>
      <c r="M62" s="22"/>
      <c r="N62" s="23"/>
    </row>
    <row r="63" spans="1:14" ht="15.75" hidden="1" customHeight="1">
      <c r="A63" s="41">
        <v>13</v>
      </c>
      <c r="B63" s="15" t="s">
        <v>48</v>
      </c>
      <c r="C63" s="17" t="s">
        <v>95</v>
      </c>
      <c r="D63" s="93" t="s">
        <v>68</v>
      </c>
      <c r="E63" s="19">
        <v>10</v>
      </c>
      <c r="F63" s="96">
        <v>10</v>
      </c>
      <c r="G63" s="13">
        <v>222.4</v>
      </c>
      <c r="H63" s="103">
        <f t="shared" ref="H63:H70" si="11">SUM(F63*G63/1000)</f>
        <v>2.2240000000000002</v>
      </c>
      <c r="I63" s="13">
        <f>G63</f>
        <v>222.4</v>
      </c>
      <c r="J63" s="25"/>
      <c r="L63" s="21"/>
      <c r="M63" s="22"/>
      <c r="N63" s="23"/>
    </row>
    <row r="64" spans="1:14" ht="15.75" hidden="1" customHeight="1">
      <c r="A64" s="31">
        <v>29</v>
      </c>
      <c r="B64" s="15" t="s">
        <v>49</v>
      </c>
      <c r="C64" s="17" t="s">
        <v>95</v>
      </c>
      <c r="D64" s="93" t="s">
        <v>68</v>
      </c>
      <c r="E64" s="19">
        <v>5</v>
      </c>
      <c r="F64" s="96">
        <v>5</v>
      </c>
      <c r="G64" s="13">
        <v>75.25</v>
      </c>
      <c r="H64" s="103">
        <f t="shared" si="11"/>
        <v>0.37624999999999997</v>
      </c>
      <c r="I64" s="13">
        <v>0</v>
      </c>
      <c r="J64" s="25"/>
      <c r="L64" s="21"/>
      <c r="M64" s="22"/>
      <c r="N64" s="23"/>
    </row>
    <row r="65" spans="1:14" ht="15.75" hidden="1" customHeight="1">
      <c r="A65" s="31">
        <v>25</v>
      </c>
      <c r="B65" s="15" t="s">
        <v>50</v>
      </c>
      <c r="C65" s="17" t="s">
        <v>126</v>
      </c>
      <c r="D65" s="15" t="s">
        <v>55</v>
      </c>
      <c r="E65" s="95">
        <v>13018</v>
      </c>
      <c r="F65" s="13">
        <f>SUM(E65/100)</f>
        <v>130.18</v>
      </c>
      <c r="G65" s="13">
        <v>212.15</v>
      </c>
      <c r="H65" s="103">
        <f t="shared" si="11"/>
        <v>27.617687</v>
      </c>
      <c r="I65" s="13">
        <f>F65*G65</f>
        <v>27617.687000000002</v>
      </c>
      <c r="J65" s="25"/>
      <c r="L65" s="21"/>
      <c r="M65" s="22"/>
      <c r="N65" s="23"/>
    </row>
    <row r="66" spans="1:14" ht="15.75" hidden="1" customHeight="1">
      <c r="A66" s="31">
        <v>26</v>
      </c>
      <c r="B66" s="15" t="s">
        <v>51</v>
      </c>
      <c r="C66" s="17" t="s">
        <v>127</v>
      </c>
      <c r="D66" s="15"/>
      <c r="E66" s="95">
        <v>13018</v>
      </c>
      <c r="F66" s="13">
        <f>SUM(E66/1000)</f>
        <v>13.018000000000001</v>
      </c>
      <c r="G66" s="13">
        <v>165.21</v>
      </c>
      <c r="H66" s="103">
        <f t="shared" si="11"/>
        <v>2.1507037800000002</v>
      </c>
      <c r="I66" s="13">
        <f t="shared" ref="I66:I70" si="12">F66*G66</f>
        <v>2150.7037800000003</v>
      </c>
      <c r="J66" s="25"/>
      <c r="L66" s="21"/>
      <c r="M66" s="22"/>
      <c r="N66" s="23"/>
    </row>
    <row r="67" spans="1:14" ht="15.75" hidden="1" customHeight="1">
      <c r="A67" s="31">
        <v>27</v>
      </c>
      <c r="B67" s="15" t="s">
        <v>52</v>
      </c>
      <c r="C67" s="17" t="s">
        <v>79</v>
      </c>
      <c r="D67" s="15" t="s">
        <v>55</v>
      </c>
      <c r="E67" s="95">
        <v>1279</v>
      </c>
      <c r="F67" s="13">
        <f>SUM(E67/100)</f>
        <v>12.79</v>
      </c>
      <c r="G67" s="13">
        <v>2074.63</v>
      </c>
      <c r="H67" s="103">
        <f t="shared" si="11"/>
        <v>26.534517700000002</v>
      </c>
      <c r="I67" s="13">
        <f t="shared" si="12"/>
        <v>26534.5177</v>
      </c>
      <c r="J67" s="25"/>
      <c r="L67" s="21"/>
      <c r="M67" s="22"/>
      <c r="N67" s="23"/>
    </row>
    <row r="68" spans="1:14" ht="15.75" hidden="1" customHeight="1">
      <c r="A68" s="31">
        <v>28</v>
      </c>
      <c r="B68" s="104" t="s">
        <v>128</v>
      </c>
      <c r="C68" s="17" t="s">
        <v>33</v>
      </c>
      <c r="D68" s="15"/>
      <c r="E68" s="95">
        <v>12</v>
      </c>
      <c r="F68" s="13">
        <f>SUM(E68)</f>
        <v>12</v>
      </c>
      <c r="G68" s="13">
        <v>45.32</v>
      </c>
      <c r="H68" s="103">
        <f t="shared" si="11"/>
        <v>0.54383999999999999</v>
      </c>
      <c r="I68" s="13">
        <f t="shared" si="12"/>
        <v>543.84</v>
      </c>
      <c r="J68" s="25"/>
      <c r="L68" s="21"/>
      <c r="M68" s="22"/>
      <c r="N68" s="23"/>
    </row>
    <row r="69" spans="1:14" ht="15.75" hidden="1" customHeight="1">
      <c r="A69" s="31">
        <v>29</v>
      </c>
      <c r="B69" s="104" t="s">
        <v>129</v>
      </c>
      <c r="C69" s="17" t="s">
        <v>33</v>
      </c>
      <c r="D69" s="15"/>
      <c r="E69" s="95">
        <v>12</v>
      </c>
      <c r="F69" s="13">
        <f>SUM(E69)</f>
        <v>12</v>
      </c>
      <c r="G69" s="13">
        <v>42.28</v>
      </c>
      <c r="H69" s="103">
        <f t="shared" si="11"/>
        <v>0.50736000000000003</v>
      </c>
      <c r="I69" s="13">
        <f t="shared" si="12"/>
        <v>507.36</v>
      </c>
      <c r="J69" s="25"/>
      <c r="L69" s="21"/>
      <c r="M69" s="22"/>
      <c r="N69" s="23"/>
    </row>
    <row r="70" spans="1:14" ht="15.75" hidden="1" customHeight="1">
      <c r="A70" s="31">
        <v>22</v>
      </c>
      <c r="B70" s="15" t="s">
        <v>59</v>
      </c>
      <c r="C70" s="17" t="s">
        <v>60</v>
      </c>
      <c r="D70" s="15" t="s">
        <v>55</v>
      </c>
      <c r="E70" s="19">
        <v>1</v>
      </c>
      <c r="F70" s="96">
        <f>SUM(E70)</f>
        <v>1</v>
      </c>
      <c r="G70" s="13">
        <v>49.88</v>
      </c>
      <c r="H70" s="103">
        <f t="shared" si="11"/>
        <v>4.9880000000000001E-2</v>
      </c>
      <c r="I70" s="13">
        <f t="shared" si="12"/>
        <v>49.88</v>
      </c>
      <c r="J70" s="25"/>
      <c r="L70" s="21"/>
      <c r="M70" s="22"/>
      <c r="N70" s="23"/>
    </row>
    <row r="71" spans="1:14" ht="15.75" hidden="1" customHeight="1">
      <c r="A71" s="125"/>
      <c r="B71" s="124" t="s">
        <v>130</v>
      </c>
      <c r="C71" s="124"/>
      <c r="D71" s="124"/>
      <c r="E71" s="124"/>
      <c r="F71" s="124"/>
      <c r="G71" s="124"/>
      <c r="H71" s="124"/>
      <c r="I71" s="19"/>
      <c r="J71" s="25"/>
      <c r="L71" s="21"/>
      <c r="M71" s="22"/>
      <c r="N71" s="23"/>
    </row>
    <row r="72" spans="1:14" ht="15.75" hidden="1" customHeight="1">
      <c r="A72" s="31">
        <v>16</v>
      </c>
      <c r="B72" s="93" t="s">
        <v>131</v>
      </c>
      <c r="C72" s="17"/>
      <c r="D72" s="15"/>
      <c r="E72" s="87"/>
      <c r="F72" s="13">
        <v>1</v>
      </c>
      <c r="G72" s="13">
        <v>10041.700000000001</v>
      </c>
      <c r="H72" s="103">
        <f>G72*F72/1000</f>
        <v>10.041700000000001</v>
      </c>
      <c r="I72" s="13">
        <f>G72</f>
        <v>10041.700000000001</v>
      </c>
      <c r="J72" s="25"/>
      <c r="L72" s="21"/>
      <c r="M72" s="22"/>
      <c r="N72" s="23"/>
    </row>
    <row r="73" spans="1:14" ht="15.75" hidden="1" customHeight="1">
      <c r="A73" s="31"/>
      <c r="B73" s="49" t="s">
        <v>75</v>
      </c>
      <c r="C73" s="49"/>
      <c r="D73" s="49"/>
      <c r="E73" s="19"/>
      <c r="F73" s="19"/>
      <c r="G73" s="31"/>
      <c r="H73" s="31"/>
      <c r="I73" s="19"/>
      <c r="J73" s="25"/>
      <c r="L73" s="21"/>
      <c r="M73" s="22"/>
      <c r="N73" s="23"/>
    </row>
    <row r="74" spans="1:14" ht="15.75" hidden="1" customHeight="1">
      <c r="A74" s="31">
        <v>23</v>
      </c>
      <c r="B74" s="15" t="s">
        <v>76</v>
      </c>
      <c r="C74" s="17" t="s">
        <v>77</v>
      </c>
      <c r="D74" s="15" t="s">
        <v>68</v>
      </c>
      <c r="E74" s="19">
        <v>5</v>
      </c>
      <c r="F74" s="13">
        <v>0.5</v>
      </c>
      <c r="G74" s="13">
        <v>501.62</v>
      </c>
      <c r="H74" s="103">
        <f t="shared" ref="H74:H76" si="13">SUM(F74*G74/1000)</f>
        <v>0.25080999999999998</v>
      </c>
      <c r="I74" s="13">
        <f>G74*0.2</f>
        <v>100.32400000000001</v>
      </c>
      <c r="J74" s="25"/>
      <c r="L74" s="21"/>
      <c r="M74" s="22"/>
      <c r="N74" s="23"/>
    </row>
    <row r="75" spans="1:14" ht="15.75" hidden="1" customHeight="1">
      <c r="A75" s="31"/>
      <c r="B75" s="15" t="s">
        <v>147</v>
      </c>
      <c r="C75" s="17" t="s">
        <v>95</v>
      </c>
      <c r="D75" s="15"/>
      <c r="E75" s="19">
        <v>1</v>
      </c>
      <c r="F75" s="86">
        <f>E75</f>
        <v>1</v>
      </c>
      <c r="G75" s="13">
        <v>852.99</v>
      </c>
      <c r="H75" s="103">
        <f t="shared" si="13"/>
        <v>0.85299000000000003</v>
      </c>
      <c r="I75" s="13">
        <v>0</v>
      </c>
      <c r="J75" s="25"/>
      <c r="L75" s="21"/>
      <c r="M75" s="22"/>
      <c r="N75" s="23"/>
    </row>
    <row r="76" spans="1:14" ht="15.75" hidden="1" customHeight="1">
      <c r="A76" s="31"/>
      <c r="B76" s="15" t="s">
        <v>148</v>
      </c>
      <c r="C76" s="17" t="s">
        <v>95</v>
      </c>
      <c r="D76" s="15"/>
      <c r="E76" s="19">
        <v>1</v>
      </c>
      <c r="F76" s="96">
        <f>SUM(E76)</f>
        <v>1</v>
      </c>
      <c r="G76" s="13">
        <v>358.51</v>
      </c>
      <c r="H76" s="103">
        <f t="shared" si="13"/>
        <v>0.35851</v>
      </c>
      <c r="I76" s="13">
        <v>0</v>
      </c>
      <c r="J76" s="25"/>
      <c r="L76" s="21"/>
      <c r="M76" s="22"/>
      <c r="N76" s="23"/>
    </row>
    <row r="77" spans="1:14" ht="15.75" hidden="1" customHeight="1">
      <c r="A77" s="31"/>
      <c r="B77" s="50" t="s">
        <v>78</v>
      </c>
      <c r="C77" s="38"/>
      <c r="D77" s="31"/>
      <c r="E77" s="19"/>
      <c r="F77" s="19"/>
      <c r="G77" s="37" t="s">
        <v>132</v>
      </c>
      <c r="H77" s="37"/>
      <c r="I77" s="19"/>
      <c r="J77" s="25"/>
      <c r="L77" s="21"/>
      <c r="M77" s="22"/>
      <c r="N77" s="23"/>
    </row>
    <row r="78" spans="1:14" ht="15.75" hidden="1" customHeight="1">
      <c r="A78" s="31">
        <v>12</v>
      </c>
      <c r="B78" s="52" t="s">
        <v>133</v>
      </c>
      <c r="C78" s="17" t="s">
        <v>79</v>
      </c>
      <c r="D78" s="15"/>
      <c r="E78" s="19"/>
      <c r="F78" s="13">
        <v>0.3</v>
      </c>
      <c r="G78" s="13">
        <v>2759.44</v>
      </c>
      <c r="H78" s="103">
        <f t="shared" ref="H78" si="14">SUM(F78*G78/1000)</f>
        <v>0.82783200000000001</v>
      </c>
      <c r="I78" s="13">
        <v>0</v>
      </c>
      <c r="J78" s="25"/>
      <c r="L78" s="21"/>
      <c r="M78" s="22"/>
      <c r="N78" s="23"/>
    </row>
    <row r="79" spans="1:14" ht="15.75" customHeight="1">
      <c r="A79" s="154" t="s">
        <v>153</v>
      </c>
      <c r="B79" s="155"/>
      <c r="C79" s="155"/>
      <c r="D79" s="155"/>
      <c r="E79" s="155"/>
      <c r="F79" s="155"/>
      <c r="G79" s="155"/>
      <c r="H79" s="155"/>
      <c r="I79" s="156"/>
      <c r="J79" s="25"/>
      <c r="L79" s="21"/>
      <c r="M79" s="22"/>
      <c r="N79" s="23"/>
    </row>
    <row r="80" spans="1:14" ht="15.75" customHeight="1">
      <c r="A80" s="31">
        <v>16</v>
      </c>
      <c r="B80" s="93" t="s">
        <v>134</v>
      </c>
      <c r="C80" s="17" t="s">
        <v>56</v>
      </c>
      <c r="D80" s="106" t="s">
        <v>57</v>
      </c>
      <c r="E80" s="13">
        <v>2581.1999999999998</v>
      </c>
      <c r="F80" s="13">
        <f>SUM(E80*12)</f>
        <v>30974.399999999998</v>
      </c>
      <c r="G80" s="13">
        <v>2.1</v>
      </c>
      <c r="H80" s="103">
        <f>SUM(F80*G80/1000)</f>
        <v>65.046239999999997</v>
      </c>
      <c r="I80" s="13">
        <f>F80/12*G80</f>
        <v>5420.5199999999995</v>
      </c>
      <c r="J80" s="25"/>
      <c r="L80" s="21"/>
    </row>
    <row r="81" spans="1:22" ht="31.5" customHeight="1">
      <c r="A81" s="31">
        <v>17</v>
      </c>
      <c r="B81" s="15" t="s">
        <v>80</v>
      </c>
      <c r="C81" s="17"/>
      <c r="D81" s="106" t="s">
        <v>57</v>
      </c>
      <c r="E81" s="95">
        <v>2581.1999999999998</v>
      </c>
      <c r="F81" s="13">
        <f>E81*12</f>
        <v>30974.399999999998</v>
      </c>
      <c r="G81" s="13">
        <v>1.63</v>
      </c>
      <c r="H81" s="103">
        <f>F81*G81/1000</f>
        <v>50.488271999999988</v>
      </c>
      <c r="I81" s="13">
        <f>F81/12*G81</f>
        <v>4207.3559999999998</v>
      </c>
    </row>
    <row r="82" spans="1:22" ht="15.75" customHeight="1">
      <c r="A82" s="125"/>
      <c r="B82" s="39" t="s">
        <v>83</v>
      </c>
      <c r="C82" s="41"/>
      <c r="D82" s="16"/>
      <c r="E82" s="16"/>
      <c r="F82" s="16"/>
      <c r="G82" s="19"/>
      <c r="H82" s="19"/>
      <c r="I82" s="33">
        <f>SUM(I16+I17+I18+I20+I21+I27+I28+I37+I38+I39+I40+I42+I49+I56+I59+I80+I81)</f>
        <v>49542.356144999998</v>
      </c>
    </row>
    <row r="83" spans="1:22" ht="15.75" customHeight="1">
      <c r="A83" s="157" t="s">
        <v>62</v>
      </c>
      <c r="B83" s="158"/>
      <c r="C83" s="158"/>
      <c r="D83" s="158"/>
      <c r="E83" s="158"/>
      <c r="F83" s="158"/>
      <c r="G83" s="158"/>
      <c r="H83" s="158"/>
      <c r="I83" s="159"/>
    </row>
    <row r="84" spans="1:22" ht="15.75" customHeight="1">
      <c r="A84" s="31">
        <v>18</v>
      </c>
      <c r="B84" s="67" t="s">
        <v>107</v>
      </c>
      <c r="C84" s="68" t="s">
        <v>95</v>
      </c>
      <c r="D84" s="52"/>
      <c r="E84" s="13"/>
      <c r="F84" s="13">
        <v>368</v>
      </c>
      <c r="G84" s="13">
        <v>53.42</v>
      </c>
      <c r="H84" s="103" t="e">
        <f>#REF!*#REF!/1000</f>
        <v>#REF!</v>
      </c>
      <c r="I84" s="13">
        <f>G84*46</f>
        <v>2457.3200000000002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9"/>
    </row>
    <row r="85" spans="1:22" ht="15" customHeight="1">
      <c r="A85" s="31">
        <v>19</v>
      </c>
      <c r="B85" s="67" t="s">
        <v>167</v>
      </c>
      <c r="C85" s="68" t="s">
        <v>168</v>
      </c>
      <c r="D85" s="52"/>
      <c r="E85" s="13"/>
      <c r="F85" s="13">
        <v>8.5</v>
      </c>
      <c r="G85" s="13">
        <v>1582</v>
      </c>
      <c r="H85" s="103">
        <f>G85*F85/1000</f>
        <v>13.446999999999999</v>
      </c>
      <c r="I85" s="13">
        <f>G85*1.5</f>
        <v>2373</v>
      </c>
      <c r="J85" s="27"/>
      <c r="K85" s="27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2" ht="15.75" customHeight="1">
      <c r="A86" s="31">
        <v>20</v>
      </c>
      <c r="B86" s="67" t="s">
        <v>113</v>
      </c>
      <c r="C86" s="68" t="s">
        <v>88</v>
      </c>
      <c r="D86" s="52"/>
      <c r="E86" s="13"/>
      <c r="F86" s="13">
        <v>4</v>
      </c>
      <c r="G86" s="13">
        <v>195.85</v>
      </c>
      <c r="H86" s="103">
        <f>G86*F86/1000</f>
        <v>0.78339999999999999</v>
      </c>
      <c r="I86" s="13">
        <f>G86</f>
        <v>195.85</v>
      </c>
      <c r="J86" s="27"/>
      <c r="K86" s="27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2" ht="15.75" customHeight="1">
      <c r="A87" s="31">
        <v>21</v>
      </c>
      <c r="B87" s="67" t="s">
        <v>181</v>
      </c>
      <c r="C87" s="68" t="s">
        <v>166</v>
      </c>
      <c r="D87" s="66"/>
      <c r="E87" s="37"/>
      <c r="F87" s="37">
        <v>4</v>
      </c>
      <c r="G87" s="37">
        <v>306.37</v>
      </c>
      <c r="H87" s="105">
        <f>G87*F87/1000</f>
        <v>1.2254800000000001</v>
      </c>
      <c r="I87" s="13">
        <f>G87*3</f>
        <v>919.11</v>
      </c>
      <c r="J87" s="27"/>
      <c r="K87" s="27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2" ht="15.75" customHeight="1">
      <c r="A88" s="31">
        <v>22</v>
      </c>
      <c r="B88" s="132" t="s">
        <v>212</v>
      </c>
      <c r="C88" s="41" t="s">
        <v>137</v>
      </c>
      <c r="D88" s="131"/>
      <c r="E88" s="18"/>
      <c r="F88" s="37">
        <f>1/10</f>
        <v>0.1</v>
      </c>
      <c r="G88" s="37">
        <v>3282.12</v>
      </c>
      <c r="H88" s="105">
        <f t="shared" ref="H88" si="15">G88*F88/1000</f>
        <v>0.328212</v>
      </c>
      <c r="I88" s="13">
        <f>G88*0.1</f>
        <v>328.21199999999999</v>
      </c>
      <c r="J88" s="27"/>
      <c r="K88" s="27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2" ht="15.75" customHeight="1">
      <c r="A89" s="31"/>
      <c r="B89" s="46" t="s">
        <v>53</v>
      </c>
      <c r="C89" s="42"/>
      <c r="D89" s="54"/>
      <c r="E89" s="42">
        <v>1</v>
      </c>
      <c r="F89" s="42"/>
      <c r="G89" s="42"/>
      <c r="H89" s="42"/>
      <c r="I89" s="33">
        <f>SUM(I84:I88)</f>
        <v>6273.4920000000002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1:22" ht="15.75" customHeight="1">
      <c r="A90" s="31"/>
      <c r="B90" s="52" t="s">
        <v>81</v>
      </c>
      <c r="C90" s="16"/>
      <c r="D90" s="16"/>
      <c r="E90" s="43"/>
      <c r="F90" s="43"/>
      <c r="G90" s="44"/>
      <c r="H90" s="44"/>
      <c r="I90" s="18">
        <v>0</v>
      </c>
    </row>
    <row r="91" spans="1:22" ht="15.75" customHeight="1">
      <c r="A91" s="55"/>
      <c r="B91" s="47" t="s">
        <v>157</v>
      </c>
      <c r="C91" s="36"/>
      <c r="D91" s="36"/>
      <c r="E91" s="36"/>
      <c r="F91" s="36"/>
      <c r="G91" s="36"/>
      <c r="H91" s="36"/>
      <c r="I91" s="45">
        <f>I82+I89</f>
        <v>55815.848144999996</v>
      </c>
    </row>
    <row r="92" spans="1:22" ht="15.75" customHeight="1">
      <c r="A92" s="153" t="s">
        <v>225</v>
      </c>
      <c r="B92" s="153"/>
      <c r="C92" s="153"/>
      <c r="D92" s="153"/>
      <c r="E92" s="153"/>
      <c r="F92" s="153"/>
      <c r="G92" s="153"/>
      <c r="H92" s="153"/>
      <c r="I92" s="153"/>
    </row>
    <row r="93" spans="1:22" ht="15.75" customHeight="1">
      <c r="A93" s="79"/>
      <c r="B93" s="134" t="s">
        <v>226</v>
      </c>
      <c r="C93" s="134"/>
      <c r="D93" s="134"/>
      <c r="E93" s="134"/>
      <c r="F93" s="134"/>
      <c r="G93" s="134"/>
      <c r="H93" s="91"/>
      <c r="I93" s="3"/>
    </row>
    <row r="94" spans="1:22" ht="15.75" customHeight="1">
      <c r="A94" s="120"/>
      <c r="B94" s="135" t="s">
        <v>6</v>
      </c>
      <c r="C94" s="135"/>
      <c r="D94" s="135"/>
      <c r="E94" s="135"/>
      <c r="F94" s="135"/>
      <c r="G94" s="135"/>
      <c r="H94" s="26"/>
      <c r="I94" s="5"/>
    </row>
    <row r="95" spans="1:22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22" ht="15.75" customHeight="1">
      <c r="A96" s="136" t="s">
        <v>7</v>
      </c>
      <c r="B96" s="136"/>
      <c r="C96" s="136"/>
      <c r="D96" s="136"/>
      <c r="E96" s="136"/>
      <c r="F96" s="136"/>
      <c r="G96" s="136"/>
      <c r="H96" s="136"/>
      <c r="I96" s="136"/>
    </row>
    <row r="97" spans="1:9" ht="15.75" customHeight="1">
      <c r="A97" s="136" t="s">
        <v>8</v>
      </c>
      <c r="B97" s="136"/>
      <c r="C97" s="136"/>
      <c r="D97" s="136"/>
      <c r="E97" s="136"/>
      <c r="F97" s="136"/>
      <c r="G97" s="136"/>
      <c r="H97" s="136"/>
      <c r="I97" s="136"/>
    </row>
    <row r="98" spans="1:9" ht="15.75" customHeight="1">
      <c r="A98" s="139" t="s">
        <v>63</v>
      </c>
      <c r="B98" s="139"/>
      <c r="C98" s="139"/>
      <c r="D98" s="139"/>
      <c r="E98" s="139"/>
      <c r="F98" s="139"/>
      <c r="G98" s="139"/>
      <c r="H98" s="139"/>
      <c r="I98" s="139"/>
    </row>
    <row r="99" spans="1:9" ht="15.75" customHeight="1">
      <c r="A99" s="11"/>
    </row>
    <row r="100" spans="1:9" ht="15.75" customHeight="1">
      <c r="A100" s="140" t="s">
        <v>9</v>
      </c>
      <c r="B100" s="140"/>
      <c r="C100" s="140"/>
      <c r="D100" s="140"/>
      <c r="E100" s="140"/>
      <c r="F100" s="140"/>
      <c r="G100" s="140"/>
      <c r="H100" s="140"/>
      <c r="I100" s="140"/>
    </row>
    <row r="101" spans="1:9" ht="15.75" customHeight="1">
      <c r="A101" s="4"/>
    </row>
    <row r="102" spans="1:9" ht="15.75" customHeight="1">
      <c r="B102" s="121" t="s">
        <v>10</v>
      </c>
      <c r="C102" s="141" t="s">
        <v>94</v>
      </c>
      <c r="D102" s="141"/>
      <c r="E102" s="141"/>
      <c r="F102" s="89"/>
      <c r="I102" s="122"/>
    </row>
    <row r="103" spans="1:9" ht="15.75" customHeight="1">
      <c r="A103" s="120"/>
      <c r="C103" s="135" t="s">
        <v>11</v>
      </c>
      <c r="D103" s="135"/>
      <c r="E103" s="135"/>
      <c r="F103" s="26"/>
      <c r="I103" s="119" t="s">
        <v>12</v>
      </c>
    </row>
    <row r="104" spans="1:9" ht="15.75" customHeight="1">
      <c r="A104" s="27"/>
      <c r="C104" s="12"/>
      <c r="D104" s="12"/>
      <c r="G104" s="12"/>
      <c r="H104" s="12"/>
    </row>
    <row r="105" spans="1:9" ht="15.75" customHeight="1">
      <c r="B105" s="121" t="s">
        <v>13</v>
      </c>
      <c r="C105" s="142"/>
      <c r="D105" s="142"/>
      <c r="E105" s="142"/>
      <c r="F105" s="90"/>
      <c r="I105" s="122"/>
    </row>
    <row r="106" spans="1:9" ht="15.75" customHeight="1">
      <c r="A106" s="120"/>
      <c r="C106" s="138" t="s">
        <v>11</v>
      </c>
      <c r="D106" s="138"/>
      <c r="E106" s="138"/>
      <c r="F106" s="120"/>
      <c r="I106" s="119" t="s">
        <v>12</v>
      </c>
    </row>
    <row r="107" spans="1:9" ht="15.75" customHeight="1">
      <c r="A107" s="4" t="s">
        <v>14</v>
      </c>
    </row>
    <row r="108" spans="1:9">
      <c r="A108" s="137" t="s">
        <v>15</v>
      </c>
      <c r="B108" s="137"/>
      <c r="C108" s="137"/>
      <c r="D108" s="137"/>
      <c r="E108" s="137"/>
      <c r="F108" s="137"/>
      <c r="G108" s="137"/>
      <c r="H108" s="137"/>
      <c r="I108" s="137"/>
    </row>
    <row r="109" spans="1:9" ht="45" customHeight="1">
      <c r="A109" s="133" t="s">
        <v>16</v>
      </c>
      <c r="B109" s="133"/>
      <c r="C109" s="133"/>
      <c r="D109" s="133"/>
      <c r="E109" s="133"/>
      <c r="F109" s="133"/>
      <c r="G109" s="133"/>
      <c r="H109" s="133"/>
      <c r="I109" s="133"/>
    </row>
    <row r="110" spans="1:9" ht="30" customHeight="1">
      <c r="A110" s="133" t="s">
        <v>17</v>
      </c>
      <c r="B110" s="133"/>
      <c r="C110" s="133"/>
      <c r="D110" s="133"/>
      <c r="E110" s="133"/>
      <c r="F110" s="133"/>
      <c r="G110" s="133"/>
      <c r="H110" s="133"/>
      <c r="I110" s="133"/>
    </row>
    <row r="111" spans="1:9" ht="30" customHeight="1">
      <c r="A111" s="133" t="s">
        <v>21</v>
      </c>
      <c r="B111" s="133"/>
      <c r="C111" s="133"/>
      <c r="D111" s="133"/>
      <c r="E111" s="133"/>
      <c r="F111" s="133"/>
      <c r="G111" s="133"/>
      <c r="H111" s="133"/>
      <c r="I111" s="133"/>
    </row>
    <row r="112" spans="1:9" ht="15" customHeight="1">
      <c r="A112" s="133" t="s">
        <v>20</v>
      </c>
      <c r="B112" s="133"/>
      <c r="C112" s="133"/>
      <c r="D112" s="133"/>
      <c r="E112" s="133"/>
      <c r="F112" s="133"/>
      <c r="G112" s="133"/>
      <c r="H112" s="133"/>
      <c r="I112" s="133"/>
    </row>
  </sheetData>
  <autoFilter ref="I12:I82"/>
  <mergeCells count="28">
    <mergeCell ref="A14:I14"/>
    <mergeCell ref="A3:I3"/>
    <mergeCell ref="A4:I4"/>
    <mergeCell ref="A5:I5"/>
    <mergeCell ref="A8:I8"/>
    <mergeCell ref="A10:I10"/>
    <mergeCell ref="A98:I98"/>
    <mergeCell ref="A15:I15"/>
    <mergeCell ref="A29:I29"/>
    <mergeCell ref="A43:I43"/>
    <mergeCell ref="A54:I54"/>
    <mergeCell ref="A79:I79"/>
    <mergeCell ref="A83:I83"/>
    <mergeCell ref="A92:I92"/>
    <mergeCell ref="B93:G93"/>
    <mergeCell ref="B94:G94"/>
    <mergeCell ref="A96:I96"/>
    <mergeCell ref="A97:I97"/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91</v>
      </c>
      <c r="I1" s="28"/>
      <c r="J1" s="1"/>
      <c r="K1" s="1"/>
      <c r="L1" s="1"/>
      <c r="M1" s="1"/>
    </row>
    <row r="2" spans="1:13" ht="15.75" customHeight="1">
      <c r="A2" s="30" t="s">
        <v>64</v>
      </c>
      <c r="J2" s="2"/>
      <c r="K2" s="2"/>
      <c r="L2" s="2"/>
      <c r="M2" s="2"/>
    </row>
    <row r="3" spans="1:13" ht="15.75" customHeight="1">
      <c r="A3" s="143" t="s">
        <v>158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135</v>
      </c>
      <c r="B4" s="144"/>
      <c r="C4" s="144"/>
      <c r="D4" s="144"/>
      <c r="E4" s="144"/>
      <c r="F4" s="144"/>
      <c r="G4" s="144"/>
      <c r="H4" s="144"/>
      <c r="I4" s="144"/>
    </row>
    <row r="5" spans="1:13" ht="15.75" customHeight="1">
      <c r="A5" s="143" t="s">
        <v>159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2">
        <v>42794</v>
      </c>
      <c r="J6" s="2"/>
      <c r="K6" s="2"/>
      <c r="L6" s="2"/>
      <c r="M6" s="2"/>
    </row>
    <row r="7" spans="1:13" ht="15.75" customHeight="1">
      <c r="B7" s="75"/>
      <c r="C7" s="75"/>
      <c r="D7" s="75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45" t="s">
        <v>201</v>
      </c>
      <c r="B8" s="145"/>
      <c r="C8" s="145"/>
      <c r="D8" s="145"/>
      <c r="E8" s="145"/>
      <c r="F8" s="145"/>
      <c r="G8" s="145"/>
      <c r="H8" s="145"/>
      <c r="I8" s="145"/>
      <c r="J8" s="78"/>
      <c r="K8" s="78"/>
      <c r="L8" s="78"/>
      <c r="M8" s="78"/>
    </row>
    <row r="9" spans="1:13" ht="15.75">
      <c r="A9" s="4"/>
      <c r="J9" s="2"/>
      <c r="K9" s="2"/>
      <c r="L9" s="2"/>
      <c r="M9" s="2"/>
    </row>
    <row r="10" spans="1:13" ht="47.25" customHeight="1">
      <c r="A10" s="146" t="s">
        <v>202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8" t="s">
        <v>61</v>
      </c>
      <c r="B14" s="148"/>
      <c r="C14" s="148"/>
      <c r="D14" s="148"/>
      <c r="E14" s="148"/>
      <c r="F14" s="148"/>
      <c r="G14" s="148"/>
      <c r="H14" s="148"/>
      <c r="I14" s="148"/>
      <c r="J14" s="8"/>
      <c r="K14" s="8"/>
      <c r="L14" s="8"/>
      <c r="M14" s="8"/>
    </row>
    <row r="15" spans="1:13" ht="15.75" customHeight="1">
      <c r="A15" s="149" t="s">
        <v>4</v>
      </c>
      <c r="B15" s="149"/>
      <c r="C15" s="149"/>
      <c r="D15" s="149"/>
      <c r="E15" s="149"/>
      <c r="F15" s="149"/>
      <c r="G15" s="149"/>
      <c r="H15" s="149"/>
      <c r="I15" s="149"/>
      <c r="J15" s="8"/>
      <c r="K15" s="8"/>
      <c r="L15" s="8"/>
      <c r="M15" s="8"/>
    </row>
    <row r="16" spans="1:13" ht="15.75" customHeight="1">
      <c r="A16" s="31">
        <v>1</v>
      </c>
      <c r="B16" s="93" t="s">
        <v>92</v>
      </c>
      <c r="C16" s="94" t="s">
        <v>102</v>
      </c>
      <c r="D16" s="93" t="s">
        <v>140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8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111</v>
      </c>
      <c r="C17" s="94" t="s">
        <v>102</v>
      </c>
      <c r="D17" s="93" t="s">
        <v>141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112</v>
      </c>
      <c r="C18" s="94" t="s">
        <v>102</v>
      </c>
      <c r="D18" s="93" t="s">
        <v>142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3" t="s">
        <v>136</v>
      </c>
      <c r="C19" s="94" t="s">
        <v>137</v>
      </c>
      <c r="D19" s="93" t="s">
        <v>138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v>0</v>
      </c>
      <c r="J19" s="8"/>
      <c r="K19" s="8"/>
      <c r="L19" s="8"/>
      <c r="M19" s="8"/>
    </row>
    <row r="20" spans="1:13" ht="15.75" customHeight="1">
      <c r="A20" s="31">
        <v>4</v>
      </c>
      <c r="B20" s="93" t="s">
        <v>101</v>
      </c>
      <c r="C20" s="94" t="s">
        <v>102</v>
      </c>
      <c r="D20" s="93" t="s">
        <v>30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3" t="s">
        <v>109</v>
      </c>
      <c r="C21" s="94" t="s">
        <v>102</v>
      </c>
      <c r="D21" s="93" t="s">
        <v>30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3" t="s">
        <v>103</v>
      </c>
      <c r="C22" s="94" t="s">
        <v>54</v>
      </c>
      <c r="D22" s="93" t="s">
        <v>138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v>0</v>
      </c>
      <c r="J22" s="8"/>
      <c r="K22" s="8"/>
      <c r="L22" s="8"/>
      <c r="M22" s="8"/>
    </row>
    <row r="23" spans="1:13" ht="15.75" hidden="1" customHeight="1">
      <c r="A23" s="31">
        <v>8</v>
      </c>
      <c r="B23" s="93" t="s">
        <v>104</v>
      </c>
      <c r="C23" s="94" t="s">
        <v>54</v>
      </c>
      <c r="D23" s="93" t="s">
        <v>138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v>0</v>
      </c>
      <c r="J23" s="8"/>
      <c r="K23" s="8"/>
      <c r="L23" s="8"/>
      <c r="M23" s="8"/>
    </row>
    <row r="24" spans="1:13" ht="15.75" hidden="1" customHeight="1">
      <c r="A24" s="31">
        <v>9</v>
      </c>
      <c r="B24" s="93" t="s">
        <v>105</v>
      </c>
      <c r="C24" s="94" t="s">
        <v>54</v>
      </c>
      <c r="D24" s="93" t="s">
        <v>139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v>0</v>
      </c>
      <c r="J24" s="8"/>
      <c r="K24" s="8"/>
      <c r="L24" s="8"/>
      <c r="M24" s="8"/>
    </row>
    <row r="25" spans="1:13" ht="15.75" hidden="1" customHeight="1">
      <c r="A25" s="31">
        <v>10</v>
      </c>
      <c r="B25" s="93" t="s">
        <v>110</v>
      </c>
      <c r="C25" s="94" t="s">
        <v>102</v>
      </c>
      <c r="D25" s="93" t="s">
        <v>55</v>
      </c>
      <c r="E25" s="95">
        <v>14.25</v>
      </c>
      <c r="F25" s="96">
        <v>0.1</v>
      </c>
      <c r="G25" s="96">
        <v>216.12</v>
      </c>
      <c r="H25" s="97">
        <v>3.1E-2</v>
      </c>
      <c r="I25" s="13">
        <v>0</v>
      </c>
      <c r="J25" s="8"/>
      <c r="K25" s="8"/>
      <c r="L25" s="8"/>
      <c r="M25" s="8"/>
    </row>
    <row r="26" spans="1:13" ht="15.75" hidden="1" customHeight="1">
      <c r="A26" s="31">
        <v>11</v>
      </c>
      <c r="B26" s="93" t="s">
        <v>106</v>
      </c>
      <c r="C26" s="94" t="s">
        <v>54</v>
      </c>
      <c r="D26" s="93" t="s">
        <v>138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v>0</v>
      </c>
      <c r="J26" s="8"/>
      <c r="K26" s="8"/>
      <c r="L26" s="8"/>
      <c r="M26" s="8"/>
    </row>
    <row r="27" spans="1:13" ht="15.75" customHeight="1">
      <c r="A27" s="31">
        <v>6</v>
      </c>
      <c r="B27" s="93" t="s">
        <v>66</v>
      </c>
      <c r="C27" s="94" t="s">
        <v>33</v>
      </c>
      <c r="D27" s="34" t="s">
        <v>90</v>
      </c>
      <c r="E27" s="95">
        <v>0.1</v>
      </c>
      <c r="F27" s="96">
        <f>SUM(E27*365)</f>
        <v>36.5</v>
      </c>
      <c r="G27" s="96">
        <v>147.03</v>
      </c>
      <c r="H27" s="97">
        <f t="shared" si="0"/>
        <v>5.3665950000000002</v>
      </c>
      <c r="I27" s="13">
        <f>F27/12*G27</f>
        <v>447.21625</v>
      </c>
      <c r="J27" s="8"/>
      <c r="K27" s="8"/>
      <c r="L27" s="8"/>
      <c r="M27" s="8"/>
    </row>
    <row r="28" spans="1:13" ht="15.75" customHeight="1">
      <c r="A28" s="31">
        <v>7</v>
      </c>
      <c r="B28" s="99" t="s">
        <v>23</v>
      </c>
      <c r="C28" s="94" t="s">
        <v>24</v>
      </c>
      <c r="D28" s="34" t="s">
        <v>90</v>
      </c>
      <c r="E28" s="95">
        <v>2581.1999999999998</v>
      </c>
      <c r="F28" s="96">
        <f>SUM(E28*12)</f>
        <v>30974.399999999998</v>
      </c>
      <c r="G28" s="96">
        <v>4.8099999999999996</v>
      </c>
      <c r="H28" s="97">
        <f t="shared" si="0"/>
        <v>148.98686399999997</v>
      </c>
      <c r="I28" s="13">
        <f>F28/12*G28</f>
        <v>12415.571999999998</v>
      </c>
      <c r="J28" s="24"/>
      <c r="K28" s="8"/>
      <c r="L28" s="8"/>
      <c r="M28" s="8"/>
    </row>
    <row r="29" spans="1:13" ht="15.75" customHeight="1">
      <c r="A29" s="149" t="s">
        <v>89</v>
      </c>
      <c r="B29" s="149"/>
      <c r="C29" s="149"/>
      <c r="D29" s="149"/>
      <c r="E29" s="149"/>
      <c r="F29" s="149"/>
      <c r="G29" s="149"/>
      <c r="H29" s="149"/>
      <c r="I29" s="149"/>
      <c r="J29" s="24"/>
      <c r="K29" s="8"/>
      <c r="L29" s="8"/>
      <c r="M29" s="8"/>
    </row>
    <row r="30" spans="1:13" ht="15.75" hidden="1" customHeight="1">
      <c r="A30" s="41"/>
      <c r="B30" s="51" t="s">
        <v>28</v>
      </c>
      <c r="C30" s="51"/>
      <c r="D30" s="51"/>
      <c r="E30" s="51"/>
      <c r="F30" s="51"/>
      <c r="G30" s="51"/>
      <c r="H30" s="51"/>
      <c r="I30" s="19"/>
      <c r="J30" s="24"/>
      <c r="K30" s="8"/>
      <c r="L30" s="8"/>
      <c r="M30" s="8"/>
    </row>
    <row r="31" spans="1:13" ht="15.75" hidden="1" customHeight="1">
      <c r="A31" s="41">
        <v>2</v>
      </c>
      <c r="B31" s="93" t="s">
        <v>114</v>
      </c>
      <c r="C31" s="94" t="s">
        <v>115</v>
      </c>
      <c r="D31" s="93" t="s">
        <v>116</v>
      </c>
      <c r="E31" s="96">
        <v>1167.4000000000001</v>
      </c>
      <c r="F31" s="96">
        <f>SUM(E31*52/1000)</f>
        <v>60.704800000000006</v>
      </c>
      <c r="G31" s="96">
        <v>155.88999999999999</v>
      </c>
      <c r="H31" s="97">
        <f t="shared" ref="H31:H33" si="1">SUM(F31*G31/1000)</f>
        <v>9.4632712720000001</v>
      </c>
      <c r="I31" s="13">
        <v>0</v>
      </c>
      <c r="J31" s="24"/>
      <c r="K31" s="8"/>
      <c r="L31" s="8"/>
      <c r="M31" s="8"/>
    </row>
    <row r="32" spans="1:13" ht="31.5" hidden="1" customHeight="1">
      <c r="A32" s="41">
        <v>3</v>
      </c>
      <c r="B32" s="93" t="s">
        <v>154</v>
      </c>
      <c r="C32" s="94" t="s">
        <v>115</v>
      </c>
      <c r="D32" s="93" t="s">
        <v>117</v>
      </c>
      <c r="E32" s="96">
        <v>540.04999999999995</v>
      </c>
      <c r="F32" s="96">
        <f>SUM(E32*78/1000)</f>
        <v>42.123899999999992</v>
      </c>
      <c r="G32" s="96">
        <v>258.63</v>
      </c>
      <c r="H32" s="97">
        <f t="shared" si="1"/>
        <v>10.894504256999998</v>
      </c>
      <c r="I32" s="13">
        <v>0</v>
      </c>
      <c r="J32" s="24"/>
      <c r="K32" s="8"/>
      <c r="L32" s="8"/>
      <c r="M32" s="8"/>
    </row>
    <row r="33" spans="1:13" ht="15.75" hidden="1" customHeight="1">
      <c r="A33" s="41">
        <v>4</v>
      </c>
      <c r="B33" s="93" t="s">
        <v>27</v>
      </c>
      <c r="C33" s="94" t="s">
        <v>115</v>
      </c>
      <c r="D33" s="93" t="s">
        <v>55</v>
      </c>
      <c r="E33" s="96">
        <v>1167.4000000000001</v>
      </c>
      <c r="F33" s="96">
        <f>SUM(E33/1000)</f>
        <v>1.1674</v>
      </c>
      <c r="G33" s="96">
        <v>3020.33</v>
      </c>
      <c r="H33" s="97">
        <f t="shared" si="1"/>
        <v>3.5259332420000002</v>
      </c>
      <c r="I33" s="13">
        <v>0</v>
      </c>
      <c r="J33" s="24"/>
      <c r="K33" s="8"/>
      <c r="L33" s="8"/>
      <c r="M33" s="8"/>
    </row>
    <row r="34" spans="1:13" ht="15.75" hidden="1" customHeight="1">
      <c r="A34" s="41">
        <v>5</v>
      </c>
      <c r="B34" s="93" t="s">
        <v>118</v>
      </c>
      <c r="C34" s="94" t="s">
        <v>31</v>
      </c>
      <c r="D34" s="93" t="s">
        <v>65</v>
      </c>
      <c r="E34" s="100">
        <v>0.33333333333333331</v>
      </c>
      <c r="F34" s="96">
        <f>155/3</f>
        <v>51.666666666666664</v>
      </c>
      <c r="G34" s="96">
        <v>56.69</v>
      </c>
      <c r="H34" s="97">
        <f>SUM(G34*155/3/1000)</f>
        <v>2.9289833333333331</v>
      </c>
      <c r="I34" s="13">
        <v>0</v>
      </c>
      <c r="J34" s="24"/>
      <c r="K34" s="8"/>
      <c r="L34" s="8"/>
      <c r="M34" s="8"/>
    </row>
    <row r="35" spans="1:13" ht="15.75" hidden="1" customHeight="1">
      <c r="A35" s="41">
        <v>4</v>
      </c>
      <c r="B35" s="93" t="s">
        <v>67</v>
      </c>
      <c r="C35" s="94" t="s">
        <v>33</v>
      </c>
      <c r="D35" s="93" t="s">
        <v>68</v>
      </c>
      <c r="E35" s="95"/>
      <c r="F35" s="96">
        <v>3</v>
      </c>
      <c r="G35" s="96">
        <v>191.32</v>
      </c>
      <c r="H35" s="97">
        <f t="shared" ref="H35" si="2">SUM(F35*G35/1000)</f>
        <v>0.57396000000000003</v>
      </c>
      <c r="I35" s="13">
        <v>0</v>
      </c>
      <c r="J35" s="24"/>
      <c r="K35" s="8"/>
      <c r="L35" s="8"/>
      <c r="M35" s="8"/>
    </row>
    <row r="36" spans="1:13" ht="15.75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9"/>
      <c r="J36" s="24"/>
      <c r="K36" s="8"/>
      <c r="L36" s="8"/>
      <c r="M36" s="8"/>
    </row>
    <row r="37" spans="1:13" ht="15.75" customHeight="1">
      <c r="A37" s="41">
        <v>8</v>
      </c>
      <c r="B37" s="93" t="s">
        <v>26</v>
      </c>
      <c r="C37" s="94" t="s">
        <v>32</v>
      </c>
      <c r="D37" s="93"/>
      <c r="E37" s="95"/>
      <c r="F37" s="96">
        <v>6</v>
      </c>
      <c r="G37" s="96">
        <v>1527.2</v>
      </c>
      <c r="H37" s="97">
        <f t="shared" ref="H37:H42" si="3">SUM(F37*G37/1000)</f>
        <v>9.1632000000000016</v>
      </c>
      <c r="I37" s="13">
        <f t="shared" ref="I37:I42" si="4">F37/6*G37</f>
        <v>1527.2</v>
      </c>
      <c r="J37" s="24"/>
      <c r="K37" s="8"/>
      <c r="L37" s="8"/>
      <c r="M37" s="8"/>
    </row>
    <row r="38" spans="1:13" ht="15.75" customHeight="1">
      <c r="A38" s="35">
        <v>9</v>
      </c>
      <c r="B38" s="93" t="s">
        <v>69</v>
      </c>
      <c r="C38" s="94" t="s">
        <v>29</v>
      </c>
      <c r="D38" s="93" t="s">
        <v>143</v>
      </c>
      <c r="E38" s="96">
        <v>1080.0999999999999</v>
      </c>
      <c r="F38" s="96">
        <f>SUM(E38*30/1000)</f>
        <v>32.402999999999999</v>
      </c>
      <c r="G38" s="96">
        <v>2102.6999999999998</v>
      </c>
      <c r="H38" s="97">
        <f t="shared" si="3"/>
        <v>68.13378809999999</v>
      </c>
      <c r="I38" s="13">
        <f t="shared" si="4"/>
        <v>11355.63135</v>
      </c>
      <c r="J38" s="24"/>
      <c r="K38" s="8"/>
      <c r="L38" s="8"/>
      <c r="M38" s="8"/>
    </row>
    <row r="39" spans="1:13" ht="15.75" customHeight="1">
      <c r="A39" s="35">
        <v>10</v>
      </c>
      <c r="B39" s="93" t="s">
        <v>70</v>
      </c>
      <c r="C39" s="94" t="s">
        <v>29</v>
      </c>
      <c r="D39" s="93" t="s">
        <v>119</v>
      </c>
      <c r="E39" s="96">
        <v>45</v>
      </c>
      <c r="F39" s="96">
        <f>SUM(E39*155/1000)</f>
        <v>6.9749999999999996</v>
      </c>
      <c r="G39" s="96">
        <v>350.75</v>
      </c>
      <c r="H39" s="97">
        <f t="shared" si="3"/>
        <v>2.4464812499999997</v>
      </c>
      <c r="I39" s="13">
        <f t="shared" si="4"/>
        <v>407.74687499999993</v>
      </c>
      <c r="J39" s="24"/>
      <c r="K39" s="8"/>
      <c r="L39" s="8"/>
      <c r="M39" s="8"/>
    </row>
    <row r="40" spans="1:13" ht="47.25" customHeight="1">
      <c r="A40" s="35">
        <v>11</v>
      </c>
      <c r="B40" s="93" t="s">
        <v>87</v>
      </c>
      <c r="C40" s="94" t="s">
        <v>115</v>
      </c>
      <c r="D40" s="93" t="s">
        <v>71</v>
      </c>
      <c r="E40" s="96">
        <v>45</v>
      </c>
      <c r="F40" s="96">
        <f>SUM(E40*70/1000)</f>
        <v>3.15</v>
      </c>
      <c r="G40" s="96">
        <v>5803.28</v>
      </c>
      <c r="H40" s="97">
        <f t="shared" si="3"/>
        <v>18.280331999999998</v>
      </c>
      <c r="I40" s="13">
        <f t="shared" si="4"/>
        <v>3046.7220000000002</v>
      </c>
      <c r="J40" s="24"/>
      <c r="K40" s="8"/>
      <c r="L40" s="8"/>
      <c r="M40" s="8"/>
    </row>
    <row r="41" spans="1:13" ht="15.75" hidden="1" customHeight="1">
      <c r="A41" s="35">
        <v>12</v>
      </c>
      <c r="B41" s="93" t="s">
        <v>120</v>
      </c>
      <c r="C41" s="94" t="s">
        <v>115</v>
      </c>
      <c r="D41" s="93" t="s">
        <v>72</v>
      </c>
      <c r="E41" s="96">
        <v>45</v>
      </c>
      <c r="F41" s="96">
        <f>SUM(E41*45/1000)</f>
        <v>2.0249999999999999</v>
      </c>
      <c r="G41" s="96">
        <v>428.7</v>
      </c>
      <c r="H41" s="97">
        <f t="shared" si="3"/>
        <v>0.86811749999999999</v>
      </c>
      <c r="I41" s="13">
        <f t="shared" si="4"/>
        <v>144.68624999999997</v>
      </c>
      <c r="J41" s="24"/>
      <c r="K41" s="8"/>
      <c r="L41" s="8"/>
      <c r="M41" s="8"/>
    </row>
    <row r="42" spans="1:13" ht="15.75" customHeight="1">
      <c r="A42" s="35">
        <v>12</v>
      </c>
      <c r="B42" s="93" t="s">
        <v>73</v>
      </c>
      <c r="C42" s="94" t="s">
        <v>33</v>
      </c>
      <c r="D42" s="93"/>
      <c r="E42" s="95"/>
      <c r="F42" s="96">
        <v>0.6</v>
      </c>
      <c r="G42" s="96">
        <v>798</v>
      </c>
      <c r="H42" s="97">
        <f t="shared" si="3"/>
        <v>0.47879999999999995</v>
      </c>
      <c r="I42" s="13">
        <f t="shared" si="4"/>
        <v>79.8</v>
      </c>
      <c r="J42" s="24"/>
      <c r="K42" s="8"/>
      <c r="L42" s="8"/>
      <c r="M42" s="8"/>
    </row>
    <row r="43" spans="1:13" ht="15.75" customHeight="1">
      <c r="A43" s="150" t="s">
        <v>151</v>
      </c>
      <c r="B43" s="151"/>
      <c r="C43" s="151"/>
      <c r="D43" s="151"/>
      <c r="E43" s="151"/>
      <c r="F43" s="151"/>
      <c r="G43" s="151"/>
      <c r="H43" s="151"/>
      <c r="I43" s="152"/>
      <c r="J43" s="24"/>
      <c r="K43" s="8"/>
      <c r="L43" s="8"/>
      <c r="M43" s="8"/>
    </row>
    <row r="44" spans="1:13" ht="15.75" hidden="1" customHeight="1">
      <c r="A44" s="41">
        <v>15</v>
      </c>
      <c r="B44" s="93" t="s">
        <v>121</v>
      </c>
      <c r="C44" s="94" t="s">
        <v>115</v>
      </c>
      <c r="D44" s="93" t="s">
        <v>43</v>
      </c>
      <c r="E44" s="95">
        <v>965.8</v>
      </c>
      <c r="F44" s="96">
        <f>SUM(E44*2/1000)</f>
        <v>1.9316</v>
      </c>
      <c r="G44" s="13">
        <v>849.49</v>
      </c>
      <c r="H44" s="97">
        <f t="shared" ref="H44:H53" si="5">SUM(F44*G44/1000)</f>
        <v>1.640874884</v>
      </c>
      <c r="I44" s="13">
        <v>0</v>
      </c>
      <c r="J44" s="24"/>
      <c r="K44" s="8"/>
    </row>
    <row r="45" spans="1:13" ht="15.75" hidden="1" customHeight="1">
      <c r="A45" s="41">
        <v>16</v>
      </c>
      <c r="B45" s="93" t="s">
        <v>36</v>
      </c>
      <c r="C45" s="94" t="s">
        <v>115</v>
      </c>
      <c r="D45" s="93" t="s">
        <v>43</v>
      </c>
      <c r="E45" s="95">
        <v>36</v>
      </c>
      <c r="F45" s="96">
        <f>SUM(E45*2/1000)</f>
        <v>7.1999999999999995E-2</v>
      </c>
      <c r="G45" s="13">
        <v>579.48</v>
      </c>
      <c r="H45" s="97">
        <f t="shared" si="5"/>
        <v>4.1722559999999999E-2</v>
      </c>
      <c r="I45" s="13">
        <v>0</v>
      </c>
      <c r="J45" s="25"/>
    </row>
    <row r="46" spans="1:13" ht="15.75" hidden="1" customHeight="1">
      <c r="A46" s="41">
        <v>17</v>
      </c>
      <c r="B46" s="93" t="s">
        <v>37</v>
      </c>
      <c r="C46" s="94" t="s">
        <v>115</v>
      </c>
      <c r="D46" s="93" t="s">
        <v>43</v>
      </c>
      <c r="E46" s="95">
        <v>1197.7</v>
      </c>
      <c r="F46" s="96">
        <f>SUM(E46*2/1000)</f>
        <v>2.3954</v>
      </c>
      <c r="G46" s="13">
        <v>579.48</v>
      </c>
      <c r="H46" s="97">
        <f t="shared" si="5"/>
        <v>1.3880863919999999</v>
      </c>
      <c r="I46" s="13">
        <v>0</v>
      </c>
      <c r="J46" s="25"/>
    </row>
    <row r="47" spans="1:13" ht="15.75" hidden="1" customHeight="1">
      <c r="A47" s="41"/>
      <c r="B47" s="93" t="s">
        <v>38</v>
      </c>
      <c r="C47" s="94" t="s">
        <v>115</v>
      </c>
      <c r="D47" s="93" t="s">
        <v>43</v>
      </c>
      <c r="E47" s="95">
        <v>2275.92</v>
      </c>
      <c r="F47" s="96">
        <f>SUM(E47*2/1000)</f>
        <v>4.5518400000000003</v>
      </c>
      <c r="G47" s="13">
        <v>606.77</v>
      </c>
      <c r="H47" s="97">
        <f t="shared" si="5"/>
        <v>2.7619199567999999</v>
      </c>
      <c r="I47" s="13">
        <v>0</v>
      </c>
      <c r="J47" s="25"/>
    </row>
    <row r="48" spans="1:13" ht="15.75" hidden="1" customHeight="1">
      <c r="A48" s="41">
        <v>18</v>
      </c>
      <c r="B48" s="93" t="s">
        <v>34</v>
      </c>
      <c r="C48" s="94" t="s">
        <v>35</v>
      </c>
      <c r="D48" s="93" t="s">
        <v>43</v>
      </c>
      <c r="E48" s="95">
        <v>81.709999999999994</v>
      </c>
      <c r="F48" s="96">
        <f>SUM(E48*2/100)</f>
        <v>1.6341999999999999</v>
      </c>
      <c r="G48" s="13">
        <v>68.56</v>
      </c>
      <c r="H48" s="97">
        <f t="shared" si="5"/>
        <v>0.11204075199999999</v>
      </c>
      <c r="I48" s="13">
        <v>0</v>
      </c>
      <c r="J48" s="25"/>
    </row>
    <row r="49" spans="1:14" ht="15.75" customHeight="1">
      <c r="A49" s="41">
        <v>13</v>
      </c>
      <c r="B49" s="93" t="s">
        <v>58</v>
      </c>
      <c r="C49" s="94" t="s">
        <v>115</v>
      </c>
      <c r="D49" s="93" t="s">
        <v>155</v>
      </c>
      <c r="E49" s="95">
        <v>1711.8</v>
      </c>
      <c r="F49" s="96">
        <f>SUM(E49*5/1000)</f>
        <v>8.5589999999999993</v>
      </c>
      <c r="G49" s="13">
        <v>1213.55</v>
      </c>
      <c r="H49" s="97">
        <f t="shared" si="5"/>
        <v>10.386774449999999</v>
      </c>
      <c r="I49" s="13">
        <f>F49/5*G49</f>
        <v>2077.3548899999996</v>
      </c>
      <c r="J49" s="25"/>
    </row>
    <row r="50" spans="1:14" ht="31.5" hidden="1" customHeight="1">
      <c r="A50" s="41">
        <v>10</v>
      </c>
      <c r="B50" s="93" t="s">
        <v>122</v>
      </c>
      <c r="C50" s="94" t="s">
        <v>115</v>
      </c>
      <c r="D50" s="93" t="s">
        <v>43</v>
      </c>
      <c r="E50" s="95">
        <v>1711.8</v>
      </c>
      <c r="F50" s="96">
        <f>SUM(E50*2/1000)</f>
        <v>3.4236</v>
      </c>
      <c r="G50" s="13">
        <v>1213.55</v>
      </c>
      <c r="H50" s="97">
        <f t="shared" si="5"/>
        <v>4.1547097800000001</v>
      </c>
      <c r="I50" s="13">
        <v>0</v>
      </c>
      <c r="J50" s="25"/>
    </row>
    <row r="51" spans="1:14" ht="31.5" hidden="1" customHeight="1">
      <c r="A51" s="41">
        <v>11</v>
      </c>
      <c r="B51" s="93" t="s">
        <v>123</v>
      </c>
      <c r="C51" s="94" t="s">
        <v>39</v>
      </c>
      <c r="D51" s="93" t="s">
        <v>43</v>
      </c>
      <c r="E51" s="95">
        <v>15</v>
      </c>
      <c r="F51" s="96">
        <f>SUM(E51*2/100)</f>
        <v>0.3</v>
      </c>
      <c r="G51" s="13">
        <v>2730.49</v>
      </c>
      <c r="H51" s="97">
        <f t="shared" si="5"/>
        <v>0.81914699999999996</v>
      </c>
      <c r="I51" s="13">
        <v>0</v>
      </c>
      <c r="J51" s="25"/>
    </row>
    <row r="52" spans="1:14" ht="15.75" hidden="1" customHeight="1">
      <c r="A52" s="41">
        <v>12</v>
      </c>
      <c r="B52" s="93" t="s">
        <v>40</v>
      </c>
      <c r="C52" s="94" t="s">
        <v>41</v>
      </c>
      <c r="D52" s="93" t="s">
        <v>43</v>
      </c>
      <c r="E52" s="95">
        <v>1</v>
      </c>
      <c r="F52" s="96">
        <v>0.02</v>
      </c>
      <c r="G52" s="13">
        <v>5322.15</v>
      </c>
      <c r="H52" s="97">
        <f t="shared" si="5"/>
        <v>0.106443</v>
      </c>
      <c r="I52" s="13">
        <v>0</v>
      </c>
      <c r="J52" s="25"/>
      <c r="L52" s="21"/>
      <c r="M52" s="22"/>
      <c r="N52" s="23"/>
    </row>
    <row r="53" spans="1:14" ht="15.75" hidden="1" customHeight="1">
      <c r="A53" s="41">
        <v>15</v>
      </c>
      <c r="B53" s="93" t="s">
        <v>42</v>
      </c>
      <c r="C53" s="94" t="s">
        <v>95</v>
      </c>
      <c r="D53" s="93" t="s">
        <v>74</v>
      </c>
      <c r="E53" s="95">
        <v>90</v>
      </c>
      <c r="F53" s="96">
        <f>SUM(E53)*3</f>
        <v>270</v>
      </c>
      <c r="G53" s="13">
        <v>65.67</v>
      </c>
      <c r="H53" s="97">
        <f t="shared" si="5"/>
        <v>17.730900000000002</v>
      </c>
      <c r="I53" s="13">
        <f>E53*G53</f>
        <v>5910.3</v>
      </c>
      <c r="J53" s="25"/>
      <c r="L53" s="21"/>
      <c r="M53" s="22"/>
      <c r="N53" s="23"/>
    </row>
    <row r="54" spans="1:14" ht="15.75" customHeight="1">
      <c r="A54" s="150" t="s">
        <v>152</v>
      </c>
      <c r="B54" s="151"/>
      <c r="C54" s="151"/>
      <c r="D54" s="151"/>
      <c r="E54" s="151"/>
      <c r="F54" s="151"/>
      <c r="G54" s="151"/>
      <c r="H54" s="151"/>
      <c r="I54" s="152"/>
      <c r="J54" s="25"/>
      <c r="L54" s="21"/>
      <c r="M54" s="22"/>
      <c r="N54" s="23"/>
    </row>
    <row r="55" spans="1:14" ht="15.75" customHeight="1">
      <c r="A55" s="53"/>
      <c r="B55" s="48" t="s">
        <v>44</v>
      </c>
      <c r="C55" s="17"/>
      <c r="D55" s="16"/>
      <c r="E55" s="16"/>
      <c r="F55" s="16"/>
      <c r="G55" s="31"/>
      <c r="H55" s="31"/>
      <c r="I55" s="19"/>
      <c r="J55" s="25"/>
      <c r="L55" s="21"/>
      <c r="M55" s="22"/>
      <c r="N55" s="23"/>
    </row>
    <row r="56" spans="1:14" ht="31.5" customHeight="1">
      <c r="A56" s="41">
        <v>14</v>
      </c>
      <c r="B56" s="93" t="s">
        <v>124</v>
      </c>
      <c r="C56" s="94" t="s">
        <v>102</v>
      </c>
      <c r="D56" s="93" t="s">
        <v>125</v>
      </c>
      <c r="E56" s="95">
        <v>96.58</v>
      </c>
      <c r="F56" s="96">
        <f>SUM(E56*6/100)</f>
        <v>5.7948000000000004</v>
      </c>
      <c r="G56" s="13">
        <v>1547.28</v>
      </c>
      <c r="H56" s="97">
        <f>SUM(F56*G56/1000)</f>
        <v>8.9661781440000006</v>
      </c>
      <c r="I56" s="13">
        <f>F56/6*G56</f>
        <v>1494.3630240000002</v>
      </c>
      <c r="J56" s="25"/>
      <c r="L56" s="21"/>
      <c r="M56" s="22"/>
      <c r="N56" s="23"/>
    </row>
    <row r="57" spans="1:14" ht="15.75" customHeight="1">
      <c r="A57" s="41"/>
      <c r="B57" s="69" t="s">
        <v>45</v>
      </c>
      <c r="C57" s="40"/>
      <c r="D57" s="34"/>
      <c r="E57" s="19"/>
      <c r="F57" s="87"/>
      <c r="G57" s="37"/>
      <c r="H57" s="70"/>
      <c r="I57" s="20"/>
      <c r="J57" s="25"/>
      <c r="L57" s="21"/>
      <c r="M57" s="22"/>
      <c r="N57" s="23"/>
    </row>
    <row r="58" spans="1:14" ht="15.75" hidden="1" customHeight="1">
      <c r="A58" s="41"/>
      <c r="B58" s="93" t="s">
        <v>46</v>
      </c>
      <c r="C58" s="94" t="s">
        <v>102</v>
      </c>
      <c r="D58" s="93" t="s">
        <v>55</v>
      </c>
      <c r="E58" s="95">
        <v>855.9</v>
      </c>
      <c r="F58" s="97">
        <v>8.6</v>
      </c>
      <c r="G58" s="13">
        <v>747.3</v>
      </c>
      <c r="H58" s="101">
        <v>6.4</v>
      </c>
      <c r="I58" s="13">
        <v>0</v>
      </c>
      <c r="J58" s="25"/>
      <c r="L58" s="21"/>
      <c r="M58" s="22"/>
      <c r="N58" s="23"/>
    </row>
    <row r="59" spans="1:14" ht="15.75" customHeight="1">
      <c r="A59" s="41">
        <v>15</v>
      </c>
      <c r="B59" s="93" t="s">
        <v>96</v>
      </c>
      <c r="C59" s="94" t="s">
        <v>25</v>
      </c>
      <c r="D59" s="93" t="s">
        <v>144</v>
      </c>
      <c r="E59" s="95">
        <v>256</v>
      </c>
      <c r="F59" s="97">
        <f>E59*12</f>
        <v>3072</v>
      </c>
      <c r="G59" s="13">
        <v>2.5958999999999999</v>
      </c>
      <c r="H59" s="101">
        <f>F59*G59/1000</f>
        <v>7.9746047999999989</v>
      </c>
      <c r="I59" s="13">
        <f>F59/12*G59</f>
        <v>664.55039999999997</v>
      </c>
      <c r="J59" s="25"/>
      <c r="L59" s="21"/>
      <c r="M59" s="22"/>
      <c r="N59" s="23"/>
    </row>
    <row r="60" spans="1:14" ht="15.75" hidden="1" customHeight="1">
      <c r="A60" s="41"/>
      <c r="B60" s="69" t="s">
        <v>145</v>
      </c>
      <c r="C60" s="40"/>
      <c r="D60" s="34"/>
      <c r="E60" s="19"/>
      <c r="F60" s="87"/>
      <c r="G60" s="71"/>
      <c r="H60" s="70"/>
      <c r="I60" s="20"/>
      <c r="J60" s="25"/>
      <c r="L60" s="21"/>
      <c r="M60" s="22"/>
      <c r="N60" s="23"/>
    </row>
    <row r="61" spans="1:14" ht="15.75" hidden="1" customHeight="1">
      <c r="A61" s="41"/>
      <c r="B61" s="93" t="s">
        <v>146</v>
      </c>
      <c r="C61" s="94" t="s">
        <v>95</v>
      </c>
      <c r="D61" s="93" t="s">
        <v>68</v>
      </c>
      <c r="E61" s="95">
        <v>2</v>
      </c>
      <c r="F61" s="96">
        <f>SUM(E61)</f>
        <v>2</v>
      </c>
      <c r="G61" s="102">
        <v>237.75</v>
      </c>
      <c r="H61" s="97">
        <f t="shared" ref="H61" si="6">SUM(F61*G61/1000)</f>
        <v>0.47549999999999998</v>
      </c>
      <c r="I61" s="13">
        <v>0</v>
      </c>
      <c r="J61" s="25"/>
      <c r="L61" s="21"/>
      <c r="M61" s="22"/>
      <c r="N61" s="23"/>
    </row>
    <row r="62" spans="1:14" ht="15.75" hidden="1" customHeight="1">
      <c r="A62" s="41"/>
      <c r="B62" s="77" t="s">
        <v>47</v>
      </c>
      <c r="C62" s="17"/>
      <c r="D62" s="16"/>
      <c r="E62" s="16"/>
      <c r="F62" s="88"/>
      <c r="G62" s="65"/>
      <c r="H62" s="70"/>
      <c r="I62" s="19"/>
      <c r="J62" s="25"/>
      <c r="L62" s="21"/>
      <c r="M62" s="22"/>
      <c r="N62" s="23"/>
    </row>
    <row r="63" spans="1:14" ht="15.75" hidden="1" customHeight="1">
      <c r="A63" s="41">
        <v>23</v>
      </c>
      <c r="B63" s="15" t="s">
        <v>48</v>
      </c>
      <c r="C63" s="17" t="s">
        <v>95</v>
      </c>
      <c r="D63" s="93" t="s">
        <v>68</v>
      </c>
      <c r="E63" s="19">
        <v>10</v>
      </c>
      <c r="F63" s="96">
        <v>10</v>
      </c>
      <c r="G63" s="13">
        <v>222.4</v>
      </c>
      <c r="H63" s="103">
        <f t="shared" ref="H63:H70" si="7">SUM(F63*G63/1000)</f>
        <v>2.2240000000000002</v>
      </c>
      <c r="I63" s="13">
        <v>0</v>
      </c>
      <c r="J63" s="25"/>
      <c r="L63" s="21"/>
      <c r="M63" s="22"/>
      <c r="N63" s="23"/>
    </row>
    <row r="64" spans="1:14" ht="15.75" hidden="1" customHeight="1">
      <c r="A64" s="31">
        <v>29</v>
      </c>
      <c r="B64" s="15" t="s">
        <v>49</v>
      </c>
      <c r="C64" s="17" t="s">
        <v>95</v>
      </c>
      <c r="D64" s="93" t="s">
        <v>68</v>
      </c>
      <c r="E64" s="19">
        <v>5</v>
      </c>
      <c r="F64" s="96">
        <v>5</v>
      </c>
      <c r="G64" s="13">
        <v>75.25</v>
      </c>
      <c r="H64" s="103">
        <f t="shared" si="7"/>
        <v>0.37624999999999997</v>
      </c>
      <c r="I64" s="13">
        <v>0</v>
      </c>
      <c r="J64" s="25"/>
      <c r="L64" s="21"/>
      <c r="M64" s="22"/>
      <c r="N64" s="23"/>
    </row>
    <row r="65" spans="1:14" ht="15.75" hidden="1" customHeight="1">
      <c r="A65" s="31">
        <v>8</v>
      </c>
      <c r="B65" s="15" t="s">
        <v>50</v>
      </c>
      <c r="C65" s="17" t="s">
        <v>126</v>
      </c>
      <c r="D65" s="15" t="s">
        <v>55</v>
      </c>
      <c r="E65" s="95">
        <v>13018</v>
      </c>
      <c r="F65" s="13">
        <f>SUM(E65/100)</f>
        <v>130.18</v>
      </c>
      <c r="G65" s="13">
        <v>212.15</v>
      </c>
      <c r="H65" s="103">
        <f t="shared" si="7"/>
        <v>27.617687</v>
      </c>
      <c r="I65" s="13">
        <v>0</v>
      </c>
      <c r="J65" s="25"/>
      <c r="L65" s="21"/>
      <c r="M65" s="22"/>
      <c r="N65" s="23"/>
    </row>
    <row r="66" spans="1:14" ht="15.75" hidden="1" customHeight="1">
      <c r="A66" s="31">
        <v>9</v>
      </c>
      <c r="B66" s="15" t="s">
        <v>51</v>
      </c>
      <c r="C66" s="17" t="s">
        <v>127</v>
      </c>
      <c r="D66" s="15"/>
      <c r="E66" s="95">
        <v>13018</v>
      </c>
      <c r="F66" s="13">
        <f>SUM(E66/1000)</f>
        <v>13.018000000000001</v>
      </c>
      <c r="G66" s="13">
        <v>165.21</v>
      </c>
      <c r="H66" s="103">
        <f t="shared" si="7"/>
        <v>2.1507037800000002</v>
      </c>
      <c r="I66" s="13">
        <v>0</v>
      </c>
      <c r="J66" s="25"/>
      <c r="L66" s="21"/>
      <c r="M66" s="22"/>
      <c r="N66" s="23"/>
    </row>
    <row r="67" spans="1:14" ht="15.75" hidden="1" customHeight="1">
      <c r="A67" s="31">
        <v>10</v>
      </c>
      <c r="B67" s="15" t="s">
        <v>52</v>
      </c>
      <c r="C67" s="17" t="s">
        <v>79</v>
      </c>
      <c r="D67" s="15" t="s">
        <v>55</v>
      </c>
      <c r="E67" s="95">
        <v>1279</v>
      </c>
      <c r="F67" s="13">
        <f>SUM(E67/100)</f>
        <v>12.79</v>
      </c>
      <c r="G67" s="13">
        <v>2074.63</v>
      </c>
      <c r="H67" s="103">
        <f t="shared" si="7"/>
        <v>26.534517700000002</v>
      </c>
      <c r="I67" s="13">
        <v>0</v>
      </c>
      <c r="J67" s="25"/>
      <c r="L67" s="21"/>
      <c r="M67" s="22"/>
      <c r="N67" s="23"/>
    </row>
    <row r="68" spans="1:14" ht="15.75" hidden="1" customHeight="1">
      <c r="A68" s="31">
        <v>11</v>
      </c>
      <c r="B68" s="104" t="s">
        <v>128</v>
      </c>
      <c r="C68" s="17" t="s">
        <v>33</v>
      </c>
      <c r="D68" s="15"/>
      <c r="E68" s="95">
        <v>12</v>
      </c>
      <c r="F68" s="13">
        <f>SUM(E68)</f>
        <v>12</v>
      </c>
      <c r="G68" s="13">
        <v>45.32</v>
      </c>
      <c r="H68" s="103">
        <f t="shared" si="7"/>
        <v>0.54383999999999999</v>
      </c>
      <c r="I68" s="13">
        <v>0</v>
      </c>
      <c r="J68" s="25"/>
      <c r="L68" s="21"/>
      <c r="M68" s="22"/>
      <c r="N68" s="23"/>
    </row>
    <row r="69" spans="1:14" ht="15.75" hidden="1" customHeight="1">
      <c r="A69" s="31">
        <v>12</v>
      </c>
      <c r="B69" s="104" t="s">
        <v>129</v>
      </c>
      <c r="C69" s="17" t="s">
        <v>33</v>
      </c>
      <c r="D69" s="15"/>
      <c r="E69" s="95">
        <v>12</v>
      </c>
      <c r="F69" s="13">
        <f>SUM(E69)</f>
        <v>12</v>
      </c>
      <c r="G69" s="13">
        <v>42.28</v>
      </c>
      <c r="H69" s="103">
        <f t="shared" si="7"/>
        <v>0.50736000000000003</v>
      </c>
      <c r="I69" s="13">
        <v>0</v>
      </c>
      <c r="J69" s="25"/>
      <c r="L69" s="21"/>
      <c r="M69" s="22"/>
      <c r="N69" s="23"/>
    </row>
    <row r="70" spans="1:14" ht="15.75" hidden="1" customHeight="1">
      <c r="A70" s="31">
        <v>13</v>
      </c>
      <c r="B70" s="15" t="s">
        <v>59</v>
      </c>
      <c r="C70" s="17" t="s">
        <v>60</v>
      </c>
      <c r="D70" s="15" t="s">
        <v>55</v>
      </c>
      <c r="E70" s="19">
        <v>1</v>
      </c>
      <c r="F70" s="96">
        <f>SUM(E70)</f>
        <v>1</v>
      </c>
      <c r="G70" s="13">
        <v>49.88</v>
      </c>
      <c r="H70" s="103">
        <f t="shared" si="7"/>
        <v>4.9880000000000001E-2</v>
      </c>
      <c r="I70" s="13">
        <v>0</v>
      </c>
      <c r="J70" s="25"/>
      <c r="L70" s="21"/>
      <c r="M70" s="22"/>
      <c r="N70" s="23"/>
    </row>
    <row r="71" spans="1:14" ht="15.75" hidden="1" customHeight="1">
      <c r="A71" s="53"/>
      <c r="B71" s="77" t="s">
        <v>130</v>
      </c>
      <c r="C71" s="77"/>
      <c r="D71" s="77"/>
      <c r="E71" s="77"/>
      <c r="F71" s="77"/>
      <c r="G71" s="77"/>
      <c r="H71" s="77"/>
      <c r="I71" s="19"/>
      <c r="J71" s="25"/>
      <c r="L71" s="21"/>
      <c r="M71" s="22"/>
      <c r="N71" s="23"/>
    </row>
    <row r="72" spans="1:14" ht="15.75" hidden="1" customHeight="1">
      <c r="A72" s="31">
        <v>15</v>
      </c>
      <c r="B72" s="93" t="s">
        <v>131</v>
      </c>
      <c r="C72" s="17"/>
      <c r="D72" s="15"/>
      <c r="E72" s="87"/>
      <c r="F72" s="13">
        <v>1</v>
      </c>
      <c r="G72" s="13">
        <v>10041.700000000001</v>
      </c>
      <c r="H72" s="103">
        <f>G72*F72/1000</f>
        <v>10.041700000000001</v>
      </c>
      <c r="I72" s="13">
        <v>0</v>
      </c>
      <c r="J72" s="25"/>
      <c r="L72" s="21"/>
      <c r="M72" s="22"/>
      <c r="N72" s="23"/>
    </row>
    <row r="73" spans="1:14" ht="15.75" customHeight="1">
      <c r="A73" s="31"/>
      <c r="B73" s="49" t="s">
        <v>75</v>
      </c>
      <c r="C73" s="49"/>
      <c r="D73" s="49"/>
      <c r="E73" s="19"/>
      <c r="F73" s="19"/>
      <c r="G73" s="31"/>
      <c r="H73" s="31"/>
      <c r="I73" s="19"/>
      <c r="J73" s="25"/>
      <c r="L73" s="21"/>
      <c r="M73" s="22"/>
      <c r="N73" s="23"/>
    </row>
    <row r="74" spans="1:14" ht="15.75" customHeight="1">
      <c r="A74" s="31">
        <v>16</v>
      </c>
      <c r="B74" s="15" t="s">
        <v>76</v>
      </c>
      <c r="C74" s="17" t="s">
        <v>77</v>
      </c>
      <c r="D74" s="15" t="s">
        <v>68</v>
      </c>
      <c r="E74" s="19">
        <v>5</v>
      </c>
      <c r="F74" s="13">
        <v>0.5</v>
      </c>
      <c r="G74" s="13">
        <v>501.62</v>
      </c>
      <c r="H74" s="103">
        <f t="shared" ref="H74:H76" si="8">SUM(F74*G74/1000)</f>
        <v>0.25080999999999998</v>
      </c>
      <c r="I74" s="13">
        <f>G74*0.5</f>
        <v>250.81</v>
      </c>
      <c r="J74" s="25"/>
      <c r="L74" s="21"/>
      <c r="M74" s="22"/>
      <c r="N74" s="23"/>
    </row>
    <row r="75" spans="1:14" ht="15.75" hidden="1" customHeight="1">
      <c r="A75" s="31"/>
      <c r="B75" s="15" t="s">
        <v>147</v>
      </c>
      <c r="C75" s="17" t="s">
        <v>95</v>
      </c>
      <c r="D75" s="15"/>
      <c r="E75" s="19">
        <v>1</v>
      </c>
      <c r="F75" s="86">
        <f>E75</f>
        <v>1</v>
      </c>
      <c r="G75" s="13">
        <v>852.99</v>
      </c>
      <c r="H75" s="103">
        <f t="shared" si="8"/>
        <v>0.85299000000000003</v>
      </c>
      <c r="I75" s="13">
        <v>0</v>
      </c>
      <c r="J75" s="25"/>
      <c r="L75" s="21"/>
      <c r="M75" s="22"/>
      <c r="N75" s="23"/>
    </row>
    <row r="76" spans="1:14" ht="15.75" hidden="1" customHeight="1">
      <c r="A76" s="31"/>
      <c r="B76" s="15" t="s">
        <v>148</v>
      </c>
      <c r="C76" s="17" t="s">
        <v>95</v>
      </c>
      <c r="D76" s="15"/>
      <c r="E76" s="19">
        <v>1</v>
      </c>
      <c r="F76" s="96">
        <f>SUM(E76)</f>
        <v>1</v>
      </c>
      <c r="G76" s="13">
        <v>358.51</v>
      </c>
      <c r="H76" s="103">
        <f t="shared" si="8"/>
        <v>0.35851</v>
      </c>
      <c r="I76" s="13">
        <v>0</v>
      </c>
      <c r="J76" s="25"/>
      <c r="L76" s="21"/>
      <c r="M76" s="22"/>
      <c r="N76" s="23"/>
    </row>
    <row r="77" spans="1:14" ht="15.75" hidden="1" customHeight="1">
      <c r="A77" s="31"/>
      <c r="B77" s="50" t="s">
        <v>78</v>
      </c>
      <c r="C77" s="38"/>
      <c r="D77" s="31"/>
      <c r="E77" s="19"/>
      <c r="F77" s="19"/>
      <c r="G77" s="37" t="s">
        <v>132</v>
      </c>
      <c r="H77" s="37"/>
      <c r="I77" s="19"/>
      <c r="J77" s="25"/>
      <c r="L77" s="21"/>
      <c r="M77" s="22"/>
      <c r="N77" s="23"/>
    </row>
    <row r="78" spans="1:14" ht="15.75" hidden="1" customHeight="1">
      <c r="A78" s="31">
        <v>12</v>
      </c>
      <c r="B78" s="52" t="s">
        <v>133</v>
      </c>
      <c r="C78" s="17" t="s">
        <v>79</v>
      </c>
      <c r="D78" s="15"/>
      <c r="E78" s="19"/>
      <c r="F78" s="13">
        <v>0.3</v>
      </c>
      <c r="G78" s="13">
        <v>2759.44</v>
      </c>
      <c r="H78" s="103">
        <f t="shared" ref="H78" si="9">SUM(F78*G78/1000)</f>
        <v>0.82783200000000001</v>
      </c>
      <c r="I78" s="13">
        <v>0</v>
      </c>
      <c r="J78" s="25"/>
      <c r="L78" s="21"/>
      <c r="M78" s="22"/>
      <c r="N78" s="23"/>
    </row>
    <row r="79" spans="1:14" ht="15.75" customHeight="1">
      <c r="A79" s="154" t="s">
        <v>153</v>
      </c>
      <c r="B79" s="155"/>
      <c r="C79" s="155"/>
      <c r="D79" s="155"/>
      <c r="E79" s="155"/>
      <c r="F79" s="155"/>
      <c r="G79" s="155"/>
      <c r="H79" s="155"/>
      <c r="I79" s="156"/>
      <c r="J79" s="25"/>
      <c r="L79" s="21"/>
      <c r="M79" s="22"/>
      <c r="N79" s="23"/>
    </row>
    <row r="80" spans="1:14" ht="15.75" customHeight="1">
      <c r="A80" s="31">
        <v>17</v>
      </c>
      <c r="B80" s="93" t="s">
        <v>134</v>
      </c>
      <c r="C80" s="17" t="s">
        <v>56</v>
      </c>
      <c r="D80" s="106" t="s">
        <v>57</v>
      </c>
      <c r="E80" s="13">
        <v>2581.1999999999998</v>
      </c>
      <c r="F80" s="13">
        <f>SUM(E80*12)</f>
        <v>30974.399999999998</v>
      </c>
      <c r="G80" s="13">
        <v>2.1</v>
      </c>
      <c r="H80" s="103">
        <f>SUM(F80*G80/1000)</f>
        <v>65.046239999999997</v>
      </c>
      <c r="I80" s="13">
        <f>F80/12*G80</f>
        <v>5420.5199999999995</v>
      </c>
      <c r="J80" s="25"/>
      <c r="L80" s="21"/>
    </row>
    <row r="81" spans="1:22" ht="31.5" customHeight="1">
      <c r="A81" s="31">
        <v>18</v>
      </c>
      <c r="B81" s="15" t="s">
        <v>80</v>
      </c>
      <c r="C81" s="17"/>
      <c r="D81" s="106" t="s">
        <v>57</v>
      </c>
      <c r="E81" s="95">
        <v>2581.1999999999998</v>
      </c>
      <c r="F81" s="13">
        <f>E81*12</f>
        <v>30974.399999999998</v>
      </c>
      <c r="G81" s="13">
        <v>1.63</v>
      </c>
      <c r="H81" s="103">
        <f>F81*G81/1000</f>
        <v>50.488271999999988</v>
      </c>
      <c r="I81" s="13">
        <f>F81/12*G81</f>
        <v>4207.3559999999998</v>
      </c>
    </row>
    <row r="82" spans="1:22" ht="15.75" customHeight="1">
      <c r="A82" s="53"/>
      <c r="B82" s="39" t="s">
        <v>83</v>
      </c>
      <c r="C82" s="41"/>
      <c r="D82" s="16"/>
      <c r="E82" s="16"/>
      <c r="F82" s="16"/>
      <c r="G82" s="19"/>
      <c r="H82" s="19"/>
      <c r="I82" s="33">
        <f>SUM(I16+I17+I18+I20+I21+I27+I28+I37+I38+I39+I40+I42+I49+I56+I59+I74+I80+I81)</f>
        <v>49793.166144999996</v>
      </c>
    </row>
    <row r="83" spans="1:22" ht="15.75" customHeight="1">
      <c r="A83" s="157" t="s">
        <v>62</v>
      </c>
      <c r="B83" s="158"/>
      <c r="C83" s="158"/>
      <c r="D83" s="158"/>
      <c r="E83" s="158"/>
      <c r="F83" s="158"/>
      <c r="G83" s="158"/>
      <c r="H83" s="158"/>
      <c r="I83" s="159"/>
    </row>
    <row r="84" spans="1:22" ht="15.75" customHeight="1">
      <c r="A84" s="31">
        <v>19</v>
      </c>
      <c r="B84" s="67" t="s">
        <v>107</v>
      </c>
      <c r="C84" s="68" t="s">
        <v>95</v>
      </c>
      <c r="D84" s="52"/>
      <c r="E84" s="13"/>
      <c r="F84" s="13">
        <v>368</v>
      </c>
      <c r="G84" s="13">
        <v>53.42</v>
      </c>
      <c r="H84" s="103" t="e">
        <f>#REF!*#REF!/1000</f>
        <v>#REF!</v>
      </c>
      <c r="I84" s="13">
        <f>G84*46</f>
        <v>2457.3200000000002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9"/>
    </row>
    <row r="85" spans="1:22" ht="31.5" customHeight="1">
      <c r="A85" s="31">
        <v>20</v>
      </c>
      <c r="B85" s="107" t="s">
        <v>160</v>
      </c>
      <c r="C85" s="108" t="s">
        <v>84</v>
      </c>
      <c r="D85" s="52"/>
      <c r="E85" s="13"/>
      <c r="F85" s="13">
        <v>4.9000000000000004</v>
      </c>
      <c r="G85" s="13">
        <v>1187</v>
      </c>
      <c r="H85" s="103">
        <f>G84*F84/1000</f>
        <v>19.658560000000001</v>
      </c>
      <c r="I85" s="13">
        <f>G85*(0.4+4)</f>
        <v>5222.8</v>
      </c>
      <c r="J85" s="27"/>
      <c r="K85" s="27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2" ht="31.5" customHeight="1">
      <c r="A86" s="31">
        <v>21</v>
      </c>
      <c r="B86" s="107" t="s">
        <v>161</v>
      </c>
      <c r="C86" s="108" t="s">
        <v>84</v>
      </c>
      <c r="D86" s="52"/>
      <c r="E86" s="13"/>
      <c r="F86" s="13">
        <v>4</v>
      </c>
      <c r="G86" s="13">
        <v>1272</v>
      </c>
      <c r="H86" s="103">
        <f t="shared" ref="H86:H92" si="10">G86*F86/1000</f>
        <v>5.0880000000000001</v>
      </c>
      <c r="I86" s="13">
        <f>G86*4</f>
        <v>5088</v>
      </c>
      <c r="J86" s="27"/>
      <c r="K86" s="27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2" ht="31.5" customHeight="1">
      <c r="A87" s="31">
        <v>22</v>
      </c>
      <c r="B87" s="67" t="s">
        <v>93</v>
      </c>
      <c r="C87" s="68" t="s">
        <v>108</v>
      </c>
      <c r="D87" s="52"/>
      <c r="E87" s="13"/>
      <c r="F87" s="13">
        <v>8</v>
      </c>
      <c r="G87" s="13">
        <v>589.84</v>
      </c>
      <c r="H87" s="103">
        <f t="shared" si="10"/>
        <v>4.7187200000000002</v>
      </c>
      <c r="I87" s="13">
        <f>G87</f>
        <v>589.84</v>
      </c>
      <c r="J87" s="27"/>
      <c r="K87" s="27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2" ht="31.5" customHeight="1">
      <c r="A88" s="31">
        <v>23</v>
      </c>
      <c r="B88" s="67" t="s">
        <v>162</v>
      </c>
      <c r="C88" s="68" t="s">
        <v>108</v>
      </c>
      <c r="D88" s="52"/>
      <c r="E88" s="13"/>
      <c r="F88" s="13">
        <v>2</v>
      </c>
      <c r="G88" s="13">
        <v>803.54</v>
      </c>
      <c r="H88" s="103">
        <f t="shared" si="10"/>
        <v>1.6070799999999998</v>
      </c>
      <c r="I88" s="13">
        <f>G88*2</f>
        <v>1607.08</v>
      </c>
      <c r="J88" s="27"/>
      <c r="K88" s="27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2" ht="15.75" customHeight="1">
      <c r="A89" s="31">
        <v>24</v>
      </c>
      <c r="B89" s="67" t="s">
        <v>85</v>
      </c>
      <c r="C89" s="68" t="s">
        <v>95</v>
      </c>
      <c r="D89" s="66"/>
      <c r="E89" s="37"/>
      <c r="F89" s="37">
        <v>6</v>
      </c>
      <c r="G89" s="37">
        <v>189.88</v>
      </c>
      <c r="H89" s="37">
        <f t="shared" si="10"/>
        <v>1.1392800000000001</v>
      </c>
      <c r="I89" s="13">
        <f>G89</f>
        <v>189.88</v>
      </c>
      <c r="J89" s="27"/>
      <c r="K89" s="27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2" ht="31.5" customHeight="1">
      <c r="A90" s="31">
        <v>25</v>
      </c>
      <c r="B90" s="67" t="s">
        <v>86</v>
      </c>
      <c r="C90" s="68" t="s">
        <v>39</v>
      </c>
      <c r="D90" s="66"/>
      <c r="E90" s="37"/>
      <c r="F90" s="37">
        <v>0.05</v>
      </c>
      <c r="G90" s="37">
        <v>3581.13</v>
      </c>
      <c r="H90" s="37">
        <f t="shared" si="10"/>
        <v>0.17905650000000004</v>
      </c>
      <c r="I90" s="13">
        <f>G90*0.01</f>
        <v>35.811300000000003</v>
      </c>
      <c r="J90" s="27"/>
      <c r="K90" s="27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2" ht="31.5" customHeight="1">
      <c r="A91" s="31">
        <v>26</v>
      </c>
      <c r="B91" s="67" t="s">
        <v>215</v>
      </c>
      <c r="C91" s="68" t="s">
        <v>216</v>
      </c>
      <c r="D91" s="66"/>
      <c r="E91" s="37"/>
      <c r="F91" s="37">
        <v>1.1399999999999999</v>
      </c>
      <c r="G91" s="37">
        <v>3300.56</v>
      </c>
      <c r="H91" s="37">
        <f t="shared" si="10"/>
        <v>3.7626383999999997</v>
      </c>
      <c r="I91" s="13">
        <f>G91*0.72</f>
        <v>2376.4031999999997</v>
      </c>
      <c r="J91" s="27"/>
      <c r="K91" s="27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2" ht="31.5" customHeight="1">
      <c r="A92" s="31">
        <v>27</v>
      </c>
      <c r="B92" s="129" t="s">
        <v>217</v>
      </c>
      <c r="C92" s="130" t="s">
        <v>25</v>
      </c>
      <c r="D92" s="66"/>
      <c r="E92" s="37"/>
      <c r="F92" s="37">
        <v>20</v>
      </c>
      <c r="G92" s="37">
        <v>515.89</v>
      </c>
      <c r="H92" s="37">
        <f t="shared" si="10"/>
        <v>10.3178</v>
      </c>
      <c r="I92" s="13">
        <f>G92*10</f>
        <v>5158.8999999999996</v>
      </c>
      <c r="J92" s="27"/>
      <c r="K92" s="27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2" ht="15.75" customHeight="1">
      <c r="A93" s="31">
        <v>28</v>
      </c>
      <c r="B93" s="67" t="s">
        <v>167</v>
      </c>
      <c r="C93" s="68" t="s">
        <v>168</v>
      </c>
      <c r="D93" s="52"/>
      <c r="E93" s="13"/>
      <c r="F93" s="13">
        <v>8.5</v>
      </c>
      <c r="G93" s="13">
        <v>1582</v>
      </c>
      <c r="H93" s="13">
        <f>G93*F93/1000</f>
        <v>13.446999999999999</v>
      </c>
      <c r="I93" s="13">
        <f>G93*2</f>
        <v>3164</v>
      </c>
      <c r="J93" s="27"/>
      <c r="K93" s="27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2" ht="15.75" customHeight="1">
      <c r="A94" s="31"/>
      <c r="B94" s="46" t="s">
        <v>53</v>
      </c>
      <c r="C94" s="42"/>
      <c r="D94" s="54"/>
      <c r="E94" s="42">
        <v>1</v>
      </c>
      <c r="F94" s="42"/>
      <c r="G94" s="42"/>
      <c r="H94" s="42"/>
      <c r="I94" s="33">
        <f>SUM(I84:I93)</f>
        <v>25890.034500000002</v>
      </c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1:22" ht="15.75" customHeight="1">
      <c r="A95" s="31"/>
      <c r="B95" s="52" t="s">
        <v>81</v>
      </c>
      <c r="C95" s="16"/>
      <c r="D95" s="16"/>
      <c r="E95" s="43"/>
      <c r="F95" s="43"/>
      <c r="G95" s="44"/>
      <c r="H95" s="44"/>
      <c r="I95" s="18">
        <v>0</v>
      </c>
    </row>
    <row r="96" spans="1:22" ht="15.75" customHeight="1">
      <c r="A96" s="55"/>
      <c r="B96" s="47" t="s">
        <v>157</v>
      </c>
      <c r="C96" s="36"/>
      <c r="D96" s="36"/>
      <c r="E96" s="36"/>
      <c r="F96" s="36"/>
      <c r="G96" s="36"/>
      <c r="H96" s="36"/>
      <c r="I96" s="45">
        <f>I82+I94</f>
        <v>75683.200645000004</v>
      </c>
    </row>
    <row r="97" spans="1:9" ht="15.75" customHeight="1">
      <c r="A97" s="153" t="s">
        <v>218</v>
      </c>
      <c r="B97" s="153"/>
      <c r="C97" s="153"/>
      <c r="D97" s="153"/>
      <c r="E97" s="153"/>
      <c r="F97" s="153"/>
      <c r="G97" s="153"/>
      <c r="H97" s="153"/>
      <c r="I97" s="153"/>
    </row>
    <row r="98" spans="1:9" ht="15.75" customHeight="1">
      <c r="A98" s="79"/>
      <c r="B98" s="134" t="s">
        <v>219</v>
      </c>
      <c r="C98" s="134"/>
      <c r="D98" s="134"/>
      <c r="E98" s="134"/>
      <c r="F98" s="134"/>
      <c r="G98" s="134"/>
      <c r="H98" s="91"/>
      <c r="I98" s="3"/>
    </row>
    <row r="99" spans="1:9" ht="15.75" customHeight="1">
      <c r="A99" s="72"/>
      <c r="B99" s="135" t="s">
        <v>6</v>
      </c>
      <c r="C99" s="135"/>
      <c r="D99" s="135"/>
      <c r="E99" s="135"/>
      <c r="F99" s="135"/>
      <c r="G99" s="135"/>
      <c r="H99" s="26"/>
      <c r="I99" s="5"/>
    </row>
    <row r="100" spans="1:9" ht="15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 customHeight="1">
      <c r="A101" s="136" t="s">
        <v>7</v>
      </c>
      <c r="B101" s="136"/>
      <c r="C101" s="136"/>
      <c r="D101" s="136"/>
      <c r="E101" s="136"/>
      <c r="F101" s="136"/>
      <c r="G101" s="136"/>
      <c r="H101" s="136"/>
      <c r="I101" s="136"/>
    </row>
    <row r="102" spans="1:9" ht="15.75" customHeight="1">
      <c r="A102" s="136" t="s">
        <v>8</v>
      </c>
      <c r="B102" s="136"/>
      <c r="C102" s="136"/>
      <c r="D102" s="136"/>
      <c r="E102" s="136"/>
      <c r="F102" s="136"/>
      <c r="G102" s="136"/>
      <c r="H102" s="136"/>
      <c r="I102" s="136"/>
    </row>
    <row r="103" spans="1:9" ht="15.75" customHeight="1">
      <c r="A103" s="139" t="s">
        <v>63</v>
      </c>
      <c r="B103" s="139"/>
      <c r="C103" s="139"/>
      <c r="D103" s="139"/>
      <c r="E103" s="139"/>
      <c r="F103" s="139"/>
      <c r="G103" s="139"/>
      <c r="H103" s="139"/>
      <c r="I103" s="139"/>
    </row>
    <row r="104" spans="1:9" ht="15.75" customHeight="1">
      <c r="A104" s="11"/>
    </row>
    <row r="105" spans="1:9" ht="15.75" customHeight="1">
      <c r="A105" s="140" t="s">
        <v>9</v>
      </c>
      <c r="B105" s="140"/>
      <c r="C105" s="140"/>
      <c r="D105" s="140"/>
      <c r="E105" s="140"/>
      <c r="F105" s="140"/>
      <c r="G105" s="140"/>
      <c r="H105" s="140"/>
      <c r="I105" s="140"/>
    </row>
    <row r="106" spans="1:9" ht="15.75" customHeight="1">
      <c r="A106" s="4"/>
    </row>
    <row r="107" spans="1:9" ht="15.75" customHeight="1">
      <c r="B107" s="75" t="s">
        <v>10</v>
      </c>
      <c r="C107" s="141" t="s">
        <v>94</v>
      </c>
      <c r="D107" s="141"/>
      <c r="E107" s="141"/>
      <c r="F107" s="89"/>
      <c r="I107" s="74"/>
    </row>
    <row r="108" spans="1:9" ht="15.75" customHeight="1">
      <c r="A108" s="72"/>
      <c r="C108" s="135" t="s">
        <v>11</v>
      </c>
      <c r="D108" s="135"/>
      <c r="E108" s="135"/>
      <c r="F108" s="26"/>
      <c r="I108" s="73" t="s">
        <v>12</v>
      </c>
    </row>
    <row r="109" spans="1:9" ht="15.75" customHeight="1">
      <c r="A109" s="27"/>
      <c r="C109" s="12"/>
      <c r="D109" s="12"/>
      <c r="G109" s="12"/>
      <c r="H109" s="12"/>
    </row>
    <row r="110" spans="1:9" ht="15.75" customHeight="1">
      <c r="B110" s="75" t="s">
        <v>13</v>
      </c>
      <c r="C110" s="142"/>
      <c r="D110" s="142"/>
      <c r="E110" s="142"/>
      <c r="F110" s="90"/>
      <c r="I110" s="74"/>
    </row>
    <row r="111" spans="1:9" ht="15.75" customHeight="1">
      <c r="A111" s="72"/>
      <c r="C111" s="138" t="s">
        <v>11</v>
      </c>
      <c r="D111" s="138"/>
      <c r="E111" s="138"/>
      <c r="F111" s="72"/>
      <c r="I111" s="73" t="s">
        <v>12</v>
      </c>
    </row>
    <row r="112" spans="1:9" ht="15.75" customHeight="1">
      <c r="A112" s="4" t="s">
        <v>14</v>
      </c>
    </row>
    <row r="113" spans="1:9">
      <c r="A113" s="137" t="s">
        <v>15</v>
      </c>
      <c r="B113" s="137"/>
      <c r="C113" s="137"/>
      <c r="D113" s="137"/>
      <c r="E113" s="137"/>
      <c r="F113" s="137"/>
      <c r="G113" s="137"/>
      <c r="H113" s="137"/>
      <c r="I113" s="137"/>
    </row>
    <row r="114" spans="1:9" ht="45" customHeight="1">
      <c r="A114" s="133" t="s">
        <v>16</v>
      </c>
      <c r="B114" s="133"/>
      <c r="C114" s="133"/>
      <c r="D114" s="133"/>
      <c r="E114" s="133"/>
      <c r="F114" s="133"/>
      <c r="G114" s="133"/>
      <c r="H114" s="133"/>
      <c r="I114" s="133"/>
    </row>
    <row r="115" spans="1:9" ht="30" customHeight="1">
      <c r="A115" s="133" t="s">
        <v>17</v>
      </c>
      <c r="B115" s="133"/>
      <c r="C115" s="133"/>
      <c r="D115" s="133"/>
      <c r="E115" s="133"/>
      <c r="F115" s="133"/>
      <c r="G115" s="133"/>
      <c r="H115" s="133"/>
      <c r="I115" s="133"/>
    </row>
    <row r="116" spans="1:9" ht="30" customHeight="1">
      <c r="A116" s="133" t="s">
        <v>21</v>
      </c>
      <c r="B116" s="133"/>
      <c r="C116" s="133"/>
      <c r="D116" s="133"/>
      <c r="E116" s="133"/>
      <c r="F116" s="133"/>
      <c r="G116" s="133"/>
      <c r="H116" s="133"/>
      <c r="I116" s="133"/>
    </row>
    <row r="117" spans="1:9" ht="15" customHeight="1">
      <c r="A117" s="133" t="s">
        <v>20</v>
      </c>
      <c r="B117" s="133"/>
      <c r="C117" s="133"/>
      <c r="D117" s="133"/>
      <c r="E117" s="133"/>
      <c r="F117" s="133"/>
      <c r="G117" s="133"/>
      <c r="H117" s="133"/>
      <c r="I117" s="133"/>
    </row>
  </sheetData>
  <autoFilter ref="I12:I82"/>
  <mergeCells count="28">
    <mergeCell ref="A14:I14"/>
    <mergeCell ref="A3:I3"/>
    <mergeCell ref="A4:I4"/>
    <mergeCell ref="A5:I5"/>
    <mergeCell ref="A8:I8"/>
    <mergeCell ref="A10:I10"/>
    <mergeCell ref="A103:I103"/>
    <mergeCell ref="A15:I15"/>
    <mergeCell ref="A29:I29"/>
    <mergeCell ref="A43:I43"/>
    <mergeCell ref="A54:I54"/>
    <mergeCell ref="A79:I79"/>
    <mergeCell ref="A83:I83"/>
    <mergeCell ref="A97:I97"/>
    <mergeCell ref="B98:G98"/>
    <mergeCell ref="B99:G99"/>
    <mergeCell ref="A101:I101"/>
    <mergeCell ref="A102:I102"/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91</v>
      </c>
      <c r="I1" s="28"/>
      <c r="J1" s="1"/>
      <c r="K1" s="1"/>
      <c r="L1" s="1"/>
      <c r="M1" s="1"/>
    </row>
    <row r="2" spans="1:13" ht="15.75" customHeight="1">
      <c r="A2" s="30" t="s">
        <v>64</v>
      </c>
      <c r="J2" s="2"/>
      <c r="K2" s="2"/>
      <c r="L2" s="2"/>
      <c r="M2" s="2"/>
    </row>
    <row r="3" spans="1:13" ht="15.75" customHeight="1">
      <c r="A3" s="143" t="s">
        <v>163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135</v>
      </c>
      <c r="B4" s="144"/>
      <c r="C4" s="144"/>
      <c r="D4" s="144"/>
      <c r="E4" s="144"/>
      <c r="F4" s="144"/>
      <c r="G4" s="144"/>
      <c r="H4" s="144"/>
      <c r="I4" s="144"/>
    </row>
    <row r="5" spans="1:13" ht="15.75" customHeight="1">
      <c r="A5" s="143" t="s">
        <v>164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2">
        <v>42825</v>
      </c>
      <c r="J6" s="2"/>
      <c r="K6" s="2"/>
      <c r="L6" s="2"/>
      <c r="M6" s="2"/>
    </row>
    <row r="7" spans="1:13" ht="15.75" customHeight="1">
      <c r="B7" s="75"/>
      <c r="C7" s="75"/>
      <c r="D7" s="75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45" t="s">
        <v>201</v>
      </c>
      <c r="B8" s="145"/>
      <c r="C8" s="145"/>
      <c r="D8" s="145"/>
      <c r="E8" s="145"/>
      <c r="F8" s="145"/>
      <c r="G8" s="145"/>
      <c r="H8" s="145"/>
      <c r="I8" s="145"/>
      <c r="J8" s="78"/>
      <c r="K8" s="78"/>
      <c r="L8" s="78"/>
      <c r="M8" s="78"/>
    </row>
    <row r="9" spans="1:13" ht="15.75">
      <c r="A9" s="4"/>
      <c r="J9" s="2"/>
      <c r="K9" s="2"/>
      <c r="L9" s="2"/>
      <c r="M9" s="2"/>
    </row>
    <row r="10" spans="1:13" ht="47.25" customHeight="1">
      <c r="A10" s="146" t="s">
        <v>202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8" t="s">
        <v>61</v>
      </c>
      <c r="B14" s="148"/>
      <c r="C14" s="148"/>
      <c r="D14" s="148"/>
      <c r="E14" s="148"/>
      <c r="F14" s="148"/>
      <c r="G14" s="148"/>
      <c r="H14" s="148"/>
      <c r="I14" s="148"/>
      <c r="J14" s="8"/>
      <c r="K14" s="8"/>
      <c r="L14" s="8"/>
      <c r="M14" s="8"/>
    </row>
    <row r="15" spans="1:13" ht="15.75" customHeight="1">
      <c r="A15" s="149" t="s">
        <v>4</v>
      </c>
      <c r="B15" s="149"/>
      <c r="C15" s="149"/>
      <c r="D15" s="149"/>
      <c r="E15" s="149"/>
      <c r="F15" s="149"/>
      <c r="G15" s="149"/>
      <c r="H15" s="149"/>
      <c r="I15" s="149"/>
      <c r="J15" s="8"/>
      <c r="K15" s="8"/>
      <c r="L15" s="8"/>
      <c r="M15" s="8"/>
    </row>
    <row r="16" spans="1:13" ht="15.75" customHeight="1">
      <c r="A16" s="31">
        <v>1</v>
      </c>
      <c r="B16" s="93" t="s">
        <v>92</v>
      </c>
      <c r="C16" s="94" t="s">
        <v>102</v>
      </c>
      <c r="D16" s="93" t="s">
        <v>140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8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111</v>
      </c>
      <c r="C17" s="94" t="s">
        <v>102</v>
      </c>
      <c r="D17" s="93" t="s">
        <v>141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112</v>
      </c>
      <c r="C18" s="94" t="s">
        <v>102</v>
      </c>
      <c r="D18" s="93" t="s">
        <v>142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3" t="s">
        <v>136</v>
      </c>
      <c r="C19" s="94" t="s">
        <v>137</v>
      </c>
      <c r="D19" s="93" t="s">
        <v>138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v>0</v>
      </c>
      <c r="J19" s="8"/>
      <c r="K19" s="8"/>
      <c r="L19" s="8"/>
      <c r="M19" s="8"/>
    </row>
    <row r="20" spans="1:13" ht="15.75" customHeight="1">
      <c r="A20" s="31">
        <v>4</v>
      </c>
      <c r="B20" s="93" t="s">
        <v>101</v>
      </c>
      <c r="C20" s="94" t="s">
        <v>102</v>
      </c>
      <c r="D20" s="93" t="s">
        <v>30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3" t="s">
        <v>109</v>
      </c>
      <c r="C21" s="94" t="s">
        <v>102</v>
      </c>
      <c r="D21" s="93" t="s">
        <v>30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3" t="s">
        <v>103</v>
      </c>
      <c r="C22" s="94" t="s">
        <v>54</v>
      </c>
      <c r="D22" s="93" t="s">
        <v>138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v>0</v>
      </c>
      <c r="J22" s="8"/>
      <c r="K22" s="8"/>
      <c r="L22" s="8"/>
      <c r="M22" s="8"/>
    </row>
    <row r="23" spans="1:13" ht="15.75" hidden="1" customHeight="1">
      <c r="A23" s="31">
        <v>8</v>
      </c>
      <c r="B23" s="93" t="s">
        <v>104</v>
      </c>
      <c r="C23" s="94" t="s">
        <v>54</v>
      </c>
      <c r="D23" s="93" t="s">
        <v>138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v>0</v>
      </c>
      <c r="J23" s="8"/>
      <c r="K23" s="8"/>
      <c r="L23" s="8"/>
      <c r="M23" s="8"/>
    </row>
    <row r="24" spans="1:13" ht="15.75" hidden="1" customHeight="1">
      <c r="A24" s="31">
        <v>9</v>
      </c>
      <c r="B24" s="93" t="s">
        <v>105</v>
      </c>
      <c r="C24" s="94" t="s">
        <v>54</v>
      </c>
      <c r="D24" s="93" t="s">
        <v>139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v>0</v>
      </c>
      <c r="J24" s="8"/>
      <c r="K24" s="8"/>
      <c r="L24" s="8"/>
      <c r="M24" s="8"/>
    </row>
    <row r="25" spans="1:13" ht="15.75" hidden="1" customHeight="1">
      <c r="A25" s="31">
        <v>10</v>
      </c>
      <c r="B25" s="93" t="s">
        <v>110</v>
      </c>
      <c r="C25" s="94" t="s">
        <v>102</v>
      </c>
      <c r="D25" s="93" t="s">
        <v>55</v>
      </c>
      <c r="E25" s="95">
        <v>14.25</v>
      </c>
      <c r="F25" s="96">
        <v>0.1</v>
      </c>
      <c r="G25" s="96">
        <v>216.12</v>
      </c>
      <c r="H25" s="97">
        <v>3.1E-2</v>
      </c>
      <c r="I25" s="13">
        <v>0</v>
      </c>
      <c r="J25" s="8"/>
      <c r="K25" s="8"/>
      <c r="L25" s="8"/>
      <c r="M25" s="8"/>
    </row>
    <row r="26" spans="1:13" ht="15.75" hidden="1" customHeight="1">
      <c r="A26" s="31">
        <v>11</v>
      </c>
      <c r="B26" s="93" t="s">
        <v>106</v>
      </c>
      <c r="C26" s="94" t="s">
        <v>54</v>
      </c>
      <c r="D26" s="93" t="s">
        <v>138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v>0</v>
      </c>
      <c r="J26" s="8"/>
      <c r="K26" s="8"/>
      <c r="L26" s="8"/>
      <c r="M26" s="8"/>
    </row>
    <row r="27" spans="1:13" ht="15.75" customHeight="1">
      <c r="A27" s="31">
        <v>6</v>
      </c>
      <c r="B27" s="93" t="s">
        <v>66</v>
      </c>
      <c r="C27" s="94" t="s">
        <v>33</v>
      </c>
      <c r="D27" s="34" t="s">
        <v>90</v>
      </c>
      <c r="E27" s="95">
        <v>0.1</v>
      </c>
      <c r="F27" s="96">
        <f>SUM(E27*365)</f>
        <v>36.5</v>
      </c>
      <c r="G27" s="96">
        <v>147.03</v>
      </c>
      <c r="H27" s="97">
        <f t="shared" si="0"/>
        <v>5.3665950000000002</v>
      </c>
      <c r="I27" s="13">
        <f>F27/12*G27</f>
        <v>447.21625</v>
      </c>
      <c r="J27" s="8"/>
      <c r="K27" s="8"/>
      <c r="L27" s="8"/>
      <c r="M27" s="8"/>
    </row>
    <row r="28" spans="1:13" ht="15.75" customHeight="1">
      <c r="A28" s="31">
        <v>7</v>
      </c>
      <c r="B28" s="99" t="s">
        <v>23</v>
      </c>
      <c r="C28" s="94" t="s">
        <v>24</v>
      </c>
      <c r="D28" s="34" t="s">
        <v>90</v>
      </c>
      <c r="E28" s="95">
        <v>2581.1999999999998</v>
      </c>
      <c r="F28" s="96">
        <f>SUM(E28*12)</f>
        <v>30974.399999999998</v>
      </c>
      <c r="G28" s="96">
        <v>4.8099999999999996</v>
      </c>
      <c r="H28" s="97">
        <f t="shared" si="0"/>
        <v>148.98686399999997</v>
      </c>
      <c r="I28" s="13">
        <f>F28/12*G28</f>
        <v>12415.571999999998</v>
      </c>
      <c r="J28" s="24"/>
      <c r="K28" s="8"/>
      <c r="L28" s="8"/>
      <c r="M28" s="8"/>
    </row>
    <row r="29" spans="1:13" ht="15.75" customHeight="1">
      <c r="A29" s="149" t="s">
        <v>89</v>
      </c>
      <c r="B29" s="149"/>
      <c r="C29" s="149"/>
      <c r="D29" s="149"/>
      <c r="E29" s="149"/>
      <c r="F29" s="149"/>
      <c r="G29" s="149"/>
      <c r="H29" s="149"/>
      <c r="I29" s="149"/>
      <c r="J29" s="24"/>
      <c r="K29" s="8"/>
      <c r="L29" s="8"/>
      <c r="M29" s="8"/>
    </row>
    <row r="30" spans="1:13" ht="15.75" hidden="1" customHeight="1">
      <c r="A30" s="41"/>
      <c r="B30" s="51" t="s">
        <v>28</v>
      </c>
      <c r="C30" s="51"/>
      <c r="D30" s="51"/>
      <c r="E30" s="51"/>
      <c r="F30" s="51"/>
      <c r="G30" s="51"/>
      <c r="H30" s="51"/>
      <c r="I30" s="19"/>
      <c r="J30" s="24"/>
      <c r="K30" s="8"/>
      <c r="L30" s="8"/>
      <c r="M30" s="8"/>
    </row>
    <row r="31" spans="1:13" ht="15.75" hidden="1" customHeight="1">
      <c r="A31" s="41">
        <v>2</v>
      </c>
      <c r="B31" s="93" t="s">
        <v>114</v>
      </c>
      <c r="C31" s="94" t="s">
        <v>115</v>
      </c>
      <c r="D31" s="93" t="s">
        <v>116</v>
      </c>
      <c r="E31" s="96">
        <v>1167.4000000000001</v>
      </c>
      <c r="F31" s="96">
        <f>SUM(E31*52/1000)</f>
        <v>60.704800000000006</v>
      </c>
      <c r="G31" s="96">
        <v>155.88999999999999</v>
      </c>
      <c r="H31" s="97">
        <f t="shared" ref="H31:H33" si="1">SUM(F31*G31/1000)</f>
        <v>9.4632712720000001</v>
      </c>
      <c r="I31" s="13">
        <v>0</v>
      </c>
      <c r="J31" s="24"/>
      <c r="K31" s="8"/>
      <c r="L31" s="8"/>
      <c r="M31" s="8"/>
    </row>
    <row r="32" spans="1:13" ht="31.5" hidden="1" customHeight="1">
      <c r="A32" s="41">
        <v>3</v>
      </c>
      <c r="B32" s="93" t="s">
        <v>154</v>
      </c>
      <c r="C32" s="94" t="s">
        <v>115</v>
      </c>
      <c r="D32" s="93" t="s">
        <v>117</v>
      </c>
      <c r="E32" s="96">
        <v>540.04999999999995</v>
      </c>
      <c r="F32" s="96">
        <f>SUM(E32*78/1000)</f>
        <v>42.123899999999992</v>
      </c>
      <c r="G32" s="96">
        <v>258.63</v>
      </c>
      <c r="H32" s="97">
        <f t="shared" si="1"/>
        <v>10.894504256999998</v>
      </c>
      <c r="I32" s="13">
        <v>0</v>
      </c>
      <c r="J32" s="24"/>
      <c r="K32" s="8"/>
      <c r="L32" s="8"/>
      <c r="M32" s="8"/>
    </row>
    <row r="33" spans="1:13" ht="15.75" hidden="1" customHeight="1">
      <c r="A33" s="41">
        <v>4</v>
      </c>
      <c r="B33" s="93" t="s">
        <v>27</v>
      </c>
      <c r="C33" s="94" t="s">
        <v>115</v>
      </c>
      <c r="D33" s="93" t="s">
        <v>55</v>
      </c>
      <c r="E33" s="96">
        <v>1167.4000000000001</v>
      </c>
      <c r="F33" s="96">
        <f>SUM(E33/1000)</f>
        <v>1.1674</v>
      </c>
      <c r="G33" s="96">
        <v>3020.33</v>
      </c>
      <c r="H33" s="97">
        <f t="shared" si="1"/>
        <v>3.5259332420000002</v>
      </c>
      <c r="I33" s="13">
        <v>0</v>
      </c>
      <c r="J33" s="24"/>
      <c r="K33" s="8"/>
      <c r="L33" s="8"/>
      <c r="M33" s="8"/>
    </row>
    <row r="34" spans="1:13" ht="15.75" hidden="1" customHeight="1">
      <c r="A34" s="41">
        <v>5</v>
      </c>
      <c r="B34" s="93" t="s">
        <v>118</v>
      </c>
      <c r="C34" s="94" t="s">
        <v>31</v>
      </c>
      <c r="D34" s="93" t="s">
        <v>65</v>
      </c>
      <c r="E34" s="100">
        <v>0.33333333333333331</v>
      </c>
      <c r="F34" s="96">
        <f>155/3</f>
        <v>51.666666666666664</v>
      </c>
      <c r="G34" s="96">
        <v>56.69</v>
      </c>
      <c r="H34" s="97">
        <f>SUM(G34*155/3/1000)</f>
        <v>2.9289833333333331</v>
      </c>
      <c r="I34" s="13">
        <v>0</v>
      </c>
      <c r="J34" s="24"/>
      <c r="K34" s="8"/>
      <c r="L34" s="8"/>
      <c r="M34" s="8"/>
    </row>
    <row r="35" spans="1:13" ht="15.75" hidden="1" customHeight="1">
      <c r="A35" s="41">
        <v>4</v>
      </c>
      <c r="B35" s="93" t="s">
        <v>67</v>
      </c>
      <c r="C35" s="94" t="s">
        <v>33</v>
      </c>
      <c r="D35" s="93" t="s">
        <v>68</v>
      </c>
      <c r="E35" s="95"/>
      <c r="F35" s="96">
        <v>3</v>
      </c>
      <c r="G35" s="96">
        <v>191.32</v>
      </c>
      <c r="H35" s="97">
        <f t="shared" ref="H35" si="2">SUM(F35*G35/1000)</f>
        <v>0.57396000000000003</v>
      </c>
      <c r="I35" s="13">
        <v>0</v>
      </c>
      <c r="J35" s="24"/>
      <c r="K35" s="8"/>
      <c r="L35" s="8"/>
      <c r="M35" s="8"/>
    </row>
    <row r="36" spans="1:13" ht="15.75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9"/>
      <c r="J36" s="24"/>
      <c r="K36" s="8"/>
      <c r="L36" s="8"/>
      <c r="M36" s="8"/>
    </row>
    <row r="37" spans="1:13" ht="15.75" customHeight="1">
      <c r="A37" s="41">
        <v>8</v>
      </c>
      <c r="B37" s="93" t="s">
        <v>26</v>
      </c>
      <c r="C37" s="94" t="s">
        <v>32</v>
      </c>
      <c r="D37" s="93"/>
      <c r="E37" s="95"/>
      <c r="F37" s="96">
        <v>6</v>
      </c>
      <c r="G37" s="96">
        <v>1527.2</v>
      </c>
      <c r="H37" s="97">
        <f t="shared" ref="H37:H42" si="3">SUM(F37*G37/1000)</f>
        <v>9.1632000000000016</v>
      </c>
      <c r="I37" s="13">
        <f t="shared" ref="I37:I42" si="4">F37/6*G37</f>
        <v>1527.2</v>
      </c>
      <c r="J37" s="24"/>
      <c r="K37" s="8"/>
      <c r="L37" s="8"/>
      <c r="M37" s="8"/>
    </row>
    <row r="38" spans="1:13" ht="15.75" customHeight="1">
      <c r="A38" s="35">
        <v>9</v>
      </c>
      <c r="B38" s="93" t="s">
        <v>69</v>
      </c>
      <c r="C38" s="94" t="s">
        <v>29</v>
      </c>
      <c r="D38" s="93" t="s">
        <v>143</v>
      </c>
      <c r="E38" s="96">
        <v>1080.0999999999999</v>
      </c>
      <c r="F38" s="96">
        <f>SUM(E38*30/1000)</f>
        <v>32.402999999999999</v>
      </c>
      <c r="G38" s="96">
        <v>2102.6999999999998</v>
      </c>
      <c r="H38" s="97">
        <f t="shared" si="3"/>
        <v>68.13378809999999</v>
      </c>
      <c r="I38" s="13">
        <f t="shared" si="4"/>
        <v>11355.63135</v>
      </c>
      <c r="J38" s="24"/>
      <c r="K38" s="8"/>
      <c r="L38" s="8"/>
      <c r="M38" s="8"/>
    </row>
    <row r="39" spans="1:13" ht="15.75" customHeight="1">
      <c r="A39" s="35">
        <v>10</v>
      </c>
      <c r="B39" s="93" t="s">
        <v>70</v>
      </c>
      <c r="C39" s="94" t="s">
        <v>29</v>
      </c>
      <c r="D39" s="93" t="s">
        <v>119</v>
      </c>
      <c r="E39" s="96">
        <v>45</v>
      </c>
      <c r="F39" s="96">
        <f>SUM(E39*155/1000)</f>
        <v>6.9749999999999996</v>
      </c>
      <c r="G39" s="96">
        <v>350.75</v>
      </c>
      <c r="H39" s="97">
        <f t="shared" si="3"/>
        <v>2.4464812499999997</v>
      </c>
      <c r="I39" s="13">
        <f t="shared" si="4"/>
        <v>407.74687499999993</v>
      </c>
      <c r="J39" s="24"/>
      <c r="K39" s="8"/>
      <c r="L39" s="8"/>
      <c r="M39" s="8"/>
    </row>
    <row r="40" spans="1:13" ht="47.25" customHeight="1">
      <c r="A40" s="35">
        <v>11</v>
      </c>
      <c r="B40" s="93" t="s">
        <v>87</v>
      </c>
      <c r="C40" s="94" t="s">
        <v>115</v>
      </c>
      <c r="D40" s="93" t="s">
        <v>71</v>
      </c>
      <c r="E40" s="96">
        <v>45</v>
      </c>
      <c r="F40" s="96">
        <f>SUM(E40*70/1000)</f>
        <v>3.15</v>
      </c>
      <c r="G40" s="96">
        <v>5803.28</v>
      </c>
      <c r="H40" s="97">
        <f t="shared" si="3"/>
        <v>18.280331999999998</v>
      </c>
      <c r="I40" s="13">
        <f t="shared" si="4"/>
        <v>3046.7220000000002</v>
      </c>
      <c r="J40" s="24"/>
      <c r="K40" s="8"/>
      <c r="L40" s="8"/>
      <c r="M40" s="8"/>
    </row>
    <row r="41" spans="1:13" ht="15.75" customHeight="1">
      <c r="A41" s="35">
        <v>12</v>
      </c>
      <c r="B41" s="93" t="s">
        <v>120</v>
      </c>
      <c r="C41" s="94" t="s">
        <v>115</v>
      </c>
      <c r="D41" s="131" t="s">
        <v>220</v>
      </c>
      <c r="E41" s="37">
        <v>45</v>
      </c>
      <c r="F41" s="160">
        <f>SUM(E41*15/1000)</f>
        <v>0.67500000000000004</v>
      </c>
      <c r="G41" s="37">
        <v>428.7</v>
      </c>
      <c r="H41" s="37">
        <f t="shared" ref="H41" si="5">SUM(F41*G41/1000)</f>
        <v>0.28937249999999998</v>
      </c>
      <c r="I41" s="13">
        <f>F41/2*G41</f>
        <v>144.68625</v>
      </c>
      <c r="J41" s="24"/>
      <c r="K41" s="8"/>
      <c r="L41" s="8"/>
      <c r="M41" s="8"/>
    </row>
    <row r="42" spans="1:13" ht="15.75" customHeight="1">
      <c r="A42" s="35">
        <v>13</v>
      </c>
      <c r="B42" s="93" t="s">
        <v>73</v>
      </c>
      <c r="C42" s="94" t="s">
        <v>33</v>
      </c>
      <c r="D42" s="93"/>
      <c r="E42" s="95"/>
      <c r="F42" s="96">
        <v>0.6</v>
      </c>
      <c r="G42" s="96">
        <v>798</v>
      </c>
      <c r="H42" s="97">
        <f t="shared" si="3"/>
        <v>0.47879999999999995</v>
      </c>
      <c r="I42" s="13">
        <f t="shared" si="4"/>
        <v>79.8</v>
      </c>
      <c r="J42" s="24"/>
      <c r="K42" s="8"/>
      <c r="L42" s="8"/>
      <c r="M42" s="8"/>
    </row>
    <row r="43" spans="1:13" ht="15.75" customHeight="1">
      <c r="A43" s="150" t="s">
        <v>151</v>
      </c>
      <c r="B43" s="151"/>
      <c r="C43" s="151"/>
      <c r="D43" s="151"/>
      <c r="E43" s="151"/>
      <c r="F43" s="151"/>
      <c r="G43" s="151"/>
      <c r="H43" s="151"/>
      <c r="I43" s="152"/>
      <c r="J43" s="24"/>
      <c r="K43" s="8"/>
      <c r="L43" s="8"/>
      <c r="M43" s="8"/>
    </row>
    <row r="44" spans="1:13" ht="15.75" hidden="1" customHeight="1">
      <c r="A44" s="41">
        <v>15</v>
      </c>
      <c r="B44" s="93" t="s">
        <v>121</v>
      </c>
      <c r="C44" s="94" t="s">
        <v>115</v>
      </c>
      <c r="D44" s="93" t="s">
        <v>43</v>
      </c>
      <c r="E44" s="95">
        <v>965.8</v>
      </c>
      <c r="F44" s="96">
        <f>SUM(E44*2/1000)</f>
        <v>1.9316</v>
      </c>
      <c r="G44" s="13">
        <v>849.49</v>
      </c>
      <c r="H44" s="97">
        <f t="shared" ref="H44:H53" si="6">SUM(F44*G44/1000)</f>
        <v>1.640874884</v>
      </c>
      <c r="I44" s="13">
        <v>0</v>
      </c>
      <c r="J44" s="24"/>
      <c r="K44" s="8"/>
    </row>
    <row r="45" spans="1:13" ht="15.75" hidden="1" customHeight="1">
      <c r="A45" s="41">
        <v>16</v>
      </c>
      <c r="B45" s="93" t="s">
        <v>36</v>
      </c>
      <c r="C45" s="94" t="s">
        <v>115</v>
      </c>
      <c r="D45" s="93" t="s">
        <v>43</v>
      </c>
      <c r="E45" s="95">
        <v>36</v>
      </c>
      <c r="F45" s="96">
        <f>SUM(E45*2/1000)</f>
        <v>7.1999999999999995E-2</v>
      </c>
      <c r="G45" s="13">
        <v>579.48</v>
      </c>
      <c r="H45" s="97">
        <f t="shared" si="6"/>
        <v>4.1722559999999999E-2</v>
      </c>
      <c r="I45" s="13">
        <v>0</v>
      </c>
      <c r="J45" s="25"/>
    </row>
    <row r="46" spans="1:13" ht="15.75" hidden="1" customHeight="1">
      <c r="A46" s="41">
        <v>17</v>
      </c>
      <c r="B46" s="93" t="s">
        <v>37</v>
      </c>
      <c r="C46" s="94" t="s">
        <v>115</v>
      </c>
      <c r="D46" s="93" t="s">
        <v>43</v>
      </c>
      <c r="E46" s="95">
        <v>1197.7</v>
      </c>
      <c r="F46" s="96">
        <f>SUM(E46*2/1000)</f>
        <v>2.3954</v>
      </c>
      <c r="G46" s="13">
        <v>579.48</v>
      </c>
      <c r="H46" s="97">
        <f t="shared" si="6"/>
        <v>1.3880863919999999</v>
      </c>
      <c r="I46" s="13">
        <v>0</v>
      </c>
      <c r="J46" s="25"/>
    </row>
    <row r="47" spans="1:13" ht="15.75" hidden="1" customHeight="1">
      <c r="A47" s="41"/>
      <c r="B47" s="93" t="s">
        <v>38</v>
      </c>
      <c r="C47" s="94" t="s">
        <v>115</v>
      </c>
      <c r="D47" s="93" t="s">
        <v>43</v>
      </c>
      <c r="E47" s="95">
        <v>2275.92</v>
      </c>
      <c r="F47" s="96">
        <f>SUM(E47*2/1000)</f>
        <v>4.5518400000000003</v>
      </c>
      <c r="G47" s="13">
        <v>606.77</v>
      </c>
      <c r="H47" s="97">
        <f t="shared" si="6"/>
        <v>2.7619199567999999</v>
      </c>
      <c r="I47" s="13">
        <v>0</v>
      </c>
      <c r="J47" s="25"/>
    </row>
    <row r="48" spans="1:13" ht="15.75" hidden="1" customHeight="1">
      <c r="A48" s="41">
        <v>18</v>
      </c>
      <c r="B48" s="93" t="s">
        <v>34</v>
      </c>
      <c r="C48" s="94" t="s">
        <v>35</v>
      </c>
      <c r="D48" s="93" t="s">
        <v>43</v>
      </c>
      <c r="E48" s="95">
        <v>81.709999999999994</v>
      </c>
      <c r="F48" s="96">
        <f>SUM(E48*2/100)</f>
        <v>1.6341999999999999</v>
      </c>
      <c r="G48" s="13">
        <v>68.56</v>
      </c>
      <c r="H48" s="97">
        <f t="shared" si="6"/>
        <v>0.11204075199999999</v>
      </c>
      <c r="I48" s="13">
        <v>0</v>
      </c>
      <c r="J48" s="25"/>
    </row>
    <row r="49" spans="1:14" ht="15.75" hidden="1" customHeight="1">
      <c r="A49" s="41">
        <v>14</v>
      </c>
      <c r="B49" s="93" t="s">
        <v>58</v>
      </c>
      <c r="C49" s="94" t="s">
        <v>115</v>
      </c>
      <c r="D49" s="93" t="s">
        <v>155</v>
      </c>
      <c r="E49" s="95">
        <v>1711.8</v>
      </c>
      <c r="F49" s="96">
        <f>SUM(E49*5/1000)</f>
        <v>8.5589999999999993</v>
      </c>
      <c r="G49" s="13">
        <v>1213.55</v>
      </c>
      <c r="H49" s="97">
        <f t="shared" si="6"/>
        <v>10.386774449999999</v>
      </c>
      <c r="I49" s="13">
        <f>F49/5*G49</f>
        <v>2077.3548899999996</v>
      </c>
      <c r="J49" s="25"/>
    </row>
    <row r="50" spans="1:14" ht="31.5" customHeight="1">
      <c r="A50" s="41">
        <v>14</v>
      </c>
      <c r="B50" s="93" t="s">
        <v>122</v>
      </c>
      <c r="C50" s="94" t="s">
        <v>115</v>
      </c>
      <c r="D50" s="93" t="s">
        <v>43</v>
      </c>
      <c r="E50" s="95">
        <v>1711.8</v>
      </c>
      <c r="F50" s="96">
        <f>SUM(E50*2/1000)</f>
        <v>3.4236</v>
      </c>
      <c r="G50" s="13">
        <v>1213.55</v>
      </c>
      <c r="H50" s="97">
        <f t="shared" si="6"/>
        <v>4.1547097800000001</v>
      </c>
      <c r="I50" s="13">
        <f>F50/2*G50</f>
        <v>2077.3548900000001</v>
      </c>
      <c r="J50" s="25"/>
    </row>
    <row r="51" spans="1:14" ht="31.5" customHeight="1">
      <c r="A51" s="41">
        <v>15</v>
      </c>
      <c r="B51" s="93" t="s">
        <v>123</v>
      </c>
      <c r="C51" s="94" t="s">
        <v>39</v>
      </c>
      <c r="D51" s="93" t="s">
        <v>43</v>
      </c>
      <c r="E51" s="95">
        <v>15</v>
      </c>
      <c r="F51" s="96">
        <f>SUM(E51*2/100)</f>
        <v>0.3</v>
      </c>
      <c r="G51" s="13">
        <v>2730.49</v>
      </c>
      <c r="H51" s="97">
        <f t="shared" si="6"/>
        <v>0.81914699999999996</v>
      </c>
      <c r="I51" s="13">
        <f t="shared" ref="I51:I52" si="7">F51/2*G51</f>
        <v>409.57349999999997</v>
      </c>
      <c r="J51" s="25"/>
    </row>
    <row r="52" spans="1:14" ht="15.75" customHeight="1">
      <c r="A52" s="41">
        <v>16</v>
      </c>
      <c r="B52" s="93" t="s">
        <v>40</v>
      </c>
      <c r="C52" s="94" t="s">
        <v>41</v>
      </c>
      <c r="D52" s="93" t="s">
        <v>43</v>
      </c>
      <c r="E52" s="95">
        <v>1</v>
      </c>
      <c r="F52" s="96">
        <v>0.02</v>
      </c>
      <c r="G52" s="13">
        <v>5322.15</v>
      </c>
      <c r="H52" s="97">
        <f t="shared" si="6"/>
        <v>0.106443</v>
      </c>
      <c r="I52" s="13">
        <f t="shared" si="7"/>
        <v>53.221499999999999</v>
      </c>
      <c r="J52" s="25"/>
      <c r="L52" s="21"/>
      <c r="M52" s="22"/>
      <c r="N52" s="23"/>
    </row>
    <row r="53" spans="1:14" ht="15.75" hidden="1" customHeight="1">
      <c r="A53" s="41">
        <v>15</v>
      </c>
      <c r="B53" s="93" t="s">
        <v>42</v>
      </c>
      <c r="C53" s="94" t="s">
        <v>95</v>
      </c>
      <c r="D53" s="93" t="s">
        <v>74</v>
      </c>
      <c r="E53" s="95">
        <v>90</v>
      </c>
      <c r="F53" s="96">
        <f>SUM(E53)*3</f>
        <v>270</v>
      </c>
      <c r="G53" s="13">
        <v>65.67</v>
      </c>
      <c r="H53" s="97">
        <f t="shared" si="6"/>
        <v>17.730900000000002</v>
      </c>
      <c r="I53" s="13">
        <f>E53*G53</f>
        <v>5910.3</v>
      </c>
      <c r="J53" s="25"/>
      <c r="L53" s="21"/>
      <c r="M53" s="22"/>
      <c r="N53" s="23"/>
    </row>
    <row r="54" spans="1:14" ht="15.75" customHeight="1">
      <c r="A54" s="150" t="s">
        <v>152</v>
      </c>
      <c r="B54" s="151"/>
      <c r="C54" s="151"/>
      <c r="D54" s="151"/>
      <c r="E54" s="151"/>
      <c r="F54" s="151"/>
      <c r="G54" s="151"/>
      <c r="H54" s="151"/>
      <c r="I54" s="152"/>
      <c r="J54" s="25"/>
      <c r="L54" s="21"/>
      <c r="M54" s="22"/>
      <c r="N54" s="23"/>
    </row>
    <row r="55" spans="1:14" ht="15.75" customHeight="1">
      <c r="A55" s="53"/>
      <c r="B55" s="48" t="s">
        <v>44</v>
      </c>
      <c r="C55" s="17"/>
      <c r="D55" s="16"/>
      <c r="E55" s="16"/>
      <c r="F55" s="16"/>
      <c r="G55" s="31"/>
      <c r="H55" s="31"/>
      <c r="I55" s="19"/>
      <c r="J55" s="25"/>
      <c r="L55" s="21"/>
      <c r="M55" s="22"/>
      <c r="N55" s="23"/>
    </row>
    <row r="56" spans="1:14" ht="31.5" customHeight="1">
      <c r="A56" s="41">
        <v>17</v>
      </c>
      <c r="B56" s="93" t="s">
        <v>124</v>
      </c>
      <c r="C56" s="94" t="s">
        <v>102</v>
      </c>
      <c r="D56" s="93" t="s">
        <v>125</v>
      </c>
      <c r="E56" s="95">
        <v>96.58</v>
      </c>
      <c r="F56" s="96">
        <f>SUM(E56*6/100)</f>
        <v>5.7948000000000004</v>
      </c>
      <c r="G56" s="13">
        <v>1547.28</v>
      </c>
      <c r="H56" s="97">
        <f>SUM(F56*G56/1000)</f>
        <v>8.9661781440000006</v>
      </c>
      <c r="I56" s="13">
        <f>F56/6*G56</f>
        <v>1494.3630240000002</v>
      </c>
      <c r="J56" s="25"/>
      <c r="L56" s="21"/>
      <c r="M56" s="22"/>
      <c r="N56" s="23"/>
    </row>
    <row r="57" spans="1:14" ht="15.75" customHeight="1">
      <c r="A57" s="41"/>
      <c r="B57" s="69" t="s">
        <v>45</v>
      </c>
      <c r="C57" s="40"/>
      <c r="D57" s="34"/>
      <c r="E57" s="19"/>
      <c r="F57" s="87"/>
      <c r="G57" s="37"/>
      <c r="H57" s="70"/>
      <c r="I57" s="20"/>
      <c r="J57" s="25"/>
      <c r="L57" s="21"/>
      <c r="M57" s="22"/>
      <c r="N57" s="23"/>
    </row>
    <row r="58" spans="1:14" ht="15.75" hidden="1" customHeight="1">
      <c r="A58" s="41"/>
      <c r="B58" s="93" t="s">
        <v>46</v>
      </c>
      <c r="C58" s="94" t="s">
        <v>102</v>
      </c>
      <c r="D58" s="93" t="s">
        <v>55</v>
      </c>
      <c r="E58" s="95">
        <v>855.9</v>
      </c>
      <c r="F58" s="97">
        <v>8.6</v>
      </c>
      <c r="G58" s="13">
        <v>747.3</v>
      </c>
      <c r="H58" s="101">
        <v>6.4</v>
      </c>
      <c r="I58" s="13">
        <v>0</v>
      </c>
      <c r="J58" s="25"/>
      <c r="L58" s="21"/>
      <c r="M58" s="22"/>
      <c r="N58" s="23"/>
    </row>
    <row r="59" spans="1:14" ht="15.75" customHeight="1">
      <c r="A59" s="41">
        <v>18</v>
      </c>
      <c r="B59" s="93" t="s">
        <v>96</v>
      </c>
      <c r="C59" s="94" t="s">
        <v>25</v>
      </c>
      <c r="D59" s="93" t="s">
        <v>144</v>
      </c>
      <c r="E59" s="95">
        <v>256</v>
      </c>
      <c r="F59" s="97">
        <f>E59*12</f>
        <v>3072</v>
      </c>
      <c r="G59" s="13">
        <v>2.5958999999999999</v>
      </c>
      <c r="H59" s="101">
        <f>F59*G59/1000</f>
        <v>7.9746047999999989</v>
      </c>
      <c r="I59" s="13">
        <f>F59/12*G59</f>
        <v>664.55039999999997</v>
      </c>
      <c r="J59" s="25"/>
      <c r="L59" s="21"/>
      <c r="M59" s="22"/>
      <c r="N59" s="23"/>
    </row>
    <row r="60" spans="1:14" ht="15.75" hidden="1" customHeight="1">
      <c r="A60" s="41"/>
      <c r="B60" s="69" t="s">
        <v>145</v>
      </c>
      <c r="C60" s="40"/>
      <c r="D60" s="34"/>
      <c r="E60" s="19"/>
      <c r="F60" s="87"/>
      <c r="G60" s="71"/>
      <c r="H60" s="70"/>
      <c r="I60" s="20"/>
      <c r="J60" s="25"/>
      <c r="L60" s="21"/>
      <c r="M60" s="22"/>
      <c r="N60" s="23"/>
    </row>
    <row r="61" spans="1:14" ht="15.75" hidden="1" customHeight="1">
      <c r="A61" s="41"/>
      <c r="B61" s="93" t="s">
        <v>146</v>
      </c>
      <c r="C61" s="94" t="s">
        <v>95</v>
      </c>
      <c r="D61" s="93" t="s">
        <v>68</v>
      </c>
      <c r="E61" s="95">
        <v>2</v>
      </c>
      <c r="F61" s="96">
        <f>SUM(E61)</f>
        <v>2</v>
      </c>
      <c r="G61" s="102">
        <v>237.75</v>
      </c>
      <c r="H61" s="97">
        <f t="shared" ref="H61" si="8">SUM(F61*G61/1000)</f>
        <v>0.47549999999999998</v>
      </c>
      <c r="I61" s="13">
        <v>0</v>
      </c>
      <c r="J61" s="25"/>
      <c r="L61" s="21"/>
      <c r="M61" s="22"/>
      <c r="N61" s="23"/>
    </row>
    <row r="62" spans="1:14" ht="15.75" hidden="1" customHeight="1">
      <c r="A62" s="41"/>
      <c r="B62" s="77" t="s">
        <v>47</v>
      </c>
      <c r="C62" s="17"/>
      <c r="D62" s="16"/>
      <c r="E62" s="16"/>
      <c r="F62" s="88"/>
      <c r="G62" s="65"/>
      <c r="H62" s="70"/>
      <c r="I62" s="19"/>
      <c r="J62" s="25"/>
      <c r="L62" s="21"/>
      <c r="M62" s="22"/>
      <c r="N62" s="23"/>
    </row>
    <row r="63" spans="1:14" ht="15.75" hidden="1" customHeight="1">
      <c r="A63" s="41">
        <v>23</v>
      </c>
      <c r="B63" s="15" t="s">
        <v>48</v>
      </c>
      <c r="C63" s="17" t="s">
        <v>95</v>
      </c>
      <c r="D63" s="93" t="s">
        <v>68</v>
      </c>
      <c r="E63" s="19">
        <v>10</v>
      </c>
      <c r="F63" s="96">
        <v>10</v>
      </c>
      <c r="G63" s="13">
        <v>222.4</v>
      </c>
      <c r="H63" s="103">
        <f t="shared" ref="H63:H70" si="9">SUM(F63*G63/1000)</f>
        <v>2.2240000000000002</v>
      </c>
      <c r="I63" s="13">
        <v>0</v>
      </c>
      <c r="J63" s="25"/>
      <c r="L63" s="21"/>
      <c r="M63" s="22"/>
      <c r="N63" s="23"/>
    </row>
    <row r="64" spans="1:14" ht="15.75" hidden="1" customHeight="1">
      <c r="A64" s="31">
        <v>29</v>
      </c>
      <c r="B64" s="15" t="s">
        <v>49</v>
      </c>
      <c r="C64" s="17" t="s">
        <v>95</v>
      </c>
      <c r="D64" s="93" t="s">
        <v>68</v>
      </c>
      <c r="E64" s="19">
        <v>5</v>
      </c>
      <c r="F64" s="96">
        <v>5</v>
      </c>
      <c r="G64" s="13">
        <v>75.25</v>
      </c>
      <c r="H64" s="103">
        <f t="shared" si="9"/>
        <v>0.37624999999999997</v>
      </c>
      <c r="I64" s="13">
        <v>0</v>
      </c>
      <c r="J64" s="25"/>
      <c r="L64" s="21"/>
      <c r="M64" s="22"/>
      <c r="N64" s="23"/>
    </row>
    <row r="65" spans="1:14" ht="15.75" hidden="1" customHeight="1">
      <c r="A65" s="31">
        <v>8</v>
      </c>
      <c r="B65" s="15" t="s">
        <v>50</v>
      </c>
      <c r="C65" s="17" t="s">
        <v>126</v>
      </c>
      <c r="D65" s="15" t="s">
        <v>55</v>
      </c>
      <c r="E65" s="95">
        <v>13018</v>
      </c>
      <c r="F65" s="13">
        <f>SUM(E65/100)</f>
        <v>130.18</v>
      </c>
      <c r="G65" s="13">
        <v>212.15</v>
      </c>
      <c r="H65" s="103">
        <f t="shared" si="9"/>
        <v>27.617687</v>
      </c>
      <c r="I65" s="13">
        <v>0</v>
      </c>
      <c r="J65" s="25"/>
      <c r="L65" s="21"/>
      <c r="M65" s="22"/>
      <c r="N65" s="23"/>
    </row>
    <row r="66" spans="1:14" ht="15.75" hidden="1" customHeight="1">
      <c r="A66" s="31">
        <v>9</v>
      </c>
      <c r="B66" s="15" t="s">
        <v>51</v>
      </c>
      <c r="C66" s="17" t="s">
        <v>127</v>
      </c>
      <c r="D66" s="15"/>
      <c r="E66" s="95">
        <v>13018</v>
      </c>
      <c r="F66" s="13">
        <f>SUM(E66/1000)</f>
        <v>13.018000000000001</v>
      </c>
      <c r="G66" s="13">
        <v>165.21</v>
      </c>
      <c r="H66" s="103">
        <f t="shared" si="9"/>
        <v>2.1507037800000002</v>
      </c>
      <c r="I66" s="13">
        <v>0</v>
      </c>
      <c r="J66" s="25"/>
      <c r="L66" s="21"/>
      <c r="M66" s="22"/>
      <c r="N66" s="23"/>
    </row>
    <row r="67" spans="1:14" ht="15.75" hidden="1" customHeight="1">
      <c r="A67" s="31">
        <v>10</v>
      </c>
      <c r="B67" s="15" t="s">
        <v>52</v>
      </c>
      <c r="C67" s="17" t="s">
        <v>79</v>
      </c>
      <c r="D67" s="15" t="s">
        <v>55</v>
      </c>
      <c r="E67" s="95">
        <v>1279</v>
      </c>
      <c r="F67" s="13">
        <f>SUM(E67/100)</f>
        <v>12.79</v>
      </c>
      <c r="G67" s="13">
        <v>2074.63</v>
      </c>
      <c r="H67" s="103">
        <f t="shared" si="9"/>
        <v>26.534517700000002</v>
      </c>
      <c r="I67" s="13">
        <v>0</v>
      </c>
      <c r="J67" s="25"/>
      <c r="L67" s="21"/>
      <c r="M67" s="22"/>
      <c r="N67" s="23"/>
    </row>
    <row r="68" spans="1:14" ht="15.75" hidden="1" customHeight="1">
      <c r="A68" s="31">
        <v>11</v>
      </c>
      <c r="B68" s="104" t="s">
        <v>128</v>
      </c>
      <c r="C68" s="17" t="s">
        <v>33</v>
      </c>
      <c r="D68" s="15"/>
      <c r="E68" s="95">
        <v>12</v>
      </c>
      <c r="F68" s="13">
        <f>SUM(E68)</f>
        <v>12</v>
      </c>
      <c r="G68" s="13">
        <v>45.32</v>
      </c>
      <c r="H68" s="103">
        <f t="shared" si="9"/>
        <v>0.54383999999999999</v>
      </c>
      <c r="I68" s="13">
        <v>0</v>
      </c>
      <c r="J68" s="25"/>
      <c r="L68" s="21"/>
      <c r="M68" s="22"/>
      <c r="N68" s="23"/>
    </row>
    <row r="69" spans="1:14" ht="15.75" hidden="1" customHeight="1">
      <c r="A69" s="31">
        <v>12</v>
      </c>
      <c r="B69" s="104" t="s">
        <v>129</v>
      </c>
      <c r="C69" s="17" t="s">
        <v>33</v>
      </c>
      <c r="D69" s="15"/>
      <c r="E69" s="95">
        <v>12</v>
      </c>
      <c r="F69" s="13">
        <f>SUM(E69)</f>
        <v>12</v>
      </c>
      <c r="G69" s="13">
        <v>42.28</v>
      </c>
      <c r="H69" s="103">
        <f t="shared" si="9"/>
        <v>0.50736000000000003</v>
      </c>
      <c r="I69" s="13">
        <v>0</v>
      </c>
      <c r="J69" s="25"/>
      <c r="L69" s="21"/>
      <c r="M69" s="22"/>
      <c r="N69" s="23"/>
    </row>
    <row r="70" spans="1:14" ht="15.75" hidden="1" customHeight="1">
      <c r="A70" s="31">
        <v>13</v>
      </c>
      <c r="B70" s="15" t="s">
        <v>59</v>
      </c>
      <c r="C70" s="17" t="s">
        <v>60</v>
      </c>
      <c r="D70" s="15" t="s">
        <v>55</v>
      </c>
      <c r="E70" s="19">
        <v>1</v>
      </c>
      <c r="F70" s="96">
        <f>SUM(E70)</f>
        <v>1</v>
      </c>
      <c r="G70" s="13">
        <v>49.88</v>
      </c>
      <c r="H70" s="103">
        <f t="shared" si="9"/>
        <v>4.9880000000000001E-2</v>
      </c>
      <c r="I70" s="13">
        <v>0</v>
      </c>
      <c r="J70" s="25"/>
      <c r="L70" s="21"/>
      <c r="M70" s="22"/>
      <c r="N70" s="23"/>
    </row>
    <row r="71" spans="1:14" ht="15.75" hidden="1" customHeight="1">
      <c r="A71" s="53"/>
      <c r="B71" s="77" t="s">
        <v>130</v>
      </c>
      <c r="C71" s="77"/>
      <c r="D71" s="77"/>
      <c r="E71" s="77"/>
      <c r="F71" s="77"/>
      <c r="G71" s="77"/>
      <c r="H71" s="77"/>
      <c r="I71" s="19"/>
      <c r="J71" s="25"/>
      <c r="L71" s="21"/>
      <c r="M71" s="22"/>
      <c r="N71" s="23"/>
    </row>
    <row r="72" spans="1:14" ht="15.75" hidden="1" customHeight="1">
      <c r="A72" s="31">
        <v>15</v>
      </c>
      <c r="B72" s="93" t="s">
        <v>131</v>
      </c>
      <c r="C72" s="17"/>
      <c r="D72" s="15"/>
      <c r="E72" s="87"/>
      <c r="F72" s="13">
        <v>1</v>
      </c>
      <c r="G72" s="13">
        <v>10041.700000000001</v>
      </c>
      <c r="H72" s="103">
        <f>G72*F72/1000</f>
        <v>10.041700000000001</v>
      </c>
      <c r="I72" s="13">
        <v>0</v>
      </c>
      <c r="J72" s="25"/>
      <c r="L72" s="21"/>
      <c r="M72" s="22"/>
      <c r="N72" s="23"/>
    </row>
    <row r="73" spans="1:14" ht="15.75" customHeight="1">
      <c r="A73" s="31"/>
      <c r="B73" s="49" t="s">
        <v>75</v>
      </c>
      <c r="C73" s="49"/>
      <c r="D73" s="49"/>
      <c r="E73" s="19"/>
      <c r="F73" s="19"/>
      <c r="G73" s="31"/>
      <c r="H73" s="31"/>
      <c r="I73" s="19"/>
      <c r="J73" s="25"/>
      <c r="L73" s="21"/>
      <c r="M73" s="22"/>
      <c r="N73" s="23"/>
    </row>
    <row r="74" spans="1:14" ht="15.75" customHeight="1">
      <c r="A74" s="31">
        <v>19</v>
      </c>
      <c r="B74" s="15" t="s">
        <v>76</v>
      </c>
      <c r="C74" s="17" t="s">
        <v>77</v>
      </c>
      <c r="D74" s="15" t="s">
        <v>68</v>
      </c>
      <c r="E74" s="19">
        <v>5</v>
      </c>
      <c r="F74" s="13">
        <v>0.5</v>
      </c>
      <c r="G74" s="13">
        <v>501.62</v>
      </c>
      <c r="H74" s="103">
        <f t="shared" ref="H74:H76" si="10">SUM(F74*G74/1000)</f>
        <v>0.25080999999999998</v>
      </c>
      <c r="I74" s="13">
        <f>G74*0.1</f>
        <v>50.162000000000006</v>
      </c>
      <c r="J74" s="25"/>
      <c r="L74" s="21"/>
      <c r="M74" s="22"/>
      <c r="N74" s="23"/>
    </row>
    <row r="75" spans="1:14" ht="15.75" hidden="1" customHeight="1">
      <c r="A75" s="31"/>
      <c r="B75" s="15" t="s">
        <v>147</v>
      </c>
      <c r="C75" s="17" t="s">
        <v>95</v>
      </c>
      <c r="D75" s="15"/>
      <c r="E75" s="19">
        <v>1</v>
      </c>
      <c r="F75" s="86">
        <f>E75</f>
        <v>1</v>
      </c>
      <c r="G75" s="13">
        <v>852.99</v>
      </c>
      <c r="H75" s="103">
        <f t="shared" si="10"/>
        <v>0.85299000000000003</v>
      </c>
      <c r="I75" s="13">
        <v>0</v>
      </c>
      <c r="J75" s="25"/>
      <c r="L75" s="21"/>
      <c r="M75" s="22"/>
      <c r="N75" s="23"/>
    </row>
    <row r="76" spans="1:14" ht="15.75" hidden="1" customHeight="1">
      <c r="A76" s="31"/>
      <c r="B76" s="15" t="s">
        <v>148</v>
      </c>
      <c r="C76" s="17" t="s">
        <v>95</v>
      </c>
      <c r="D76" s="15"/>
      <c r="E76" s="19">
        <v>1</v>
      </c>
      <c r="F76" s="96">
        <f>SUM(E76)</f>
        <v>1</v>
      </c>
      <c r="G76" s="13">
        <v>358.51</v>
      </c>
      <c r="H76" s="103">
        <f t="shared" si="10"/>
        <v>0.35851</v>
      </c>
      <c r="I76" s="13">
        <v>0</v>
      </c>
      <c r="J76" s="25"/>
      <c r="L76" s="21"/>
      <c r="M76" s="22"/>
      <c r="N76" s="23"/>
    </row>
    <row r="77" spans="1:14" ht="15.75" hidden="1" customHeight="1">
      <c r="A77" s="31"/>
      <c r="B77" s="50" t="s">
        <v>78</v>
      </c>
      <c r="C77" s="38"/>
      <c r="D77" s="31"/>
      <c r="E77" s="19"/>
      <c r="F77" s="19"/>
      <c r="G77" s="37" t="s">
        <v>132</v>
      </c>
      <c r="H77" s="37"/>
      <c r="I77" s="19"/>
      <c r="J77" s="25"/>
      <c r="L77" s="21"/>
      <c r="M77" s="22"/>
      <c r="N77" s="23"/>
    </row>
    <row r="78" spans="1:14" ht="15.75" hidden="1" customHeight="1">
      <c r="A78" s="31">
        <v>12</v>
      </c>
      <c r="B78" s="52" t="s">
        <v>133</v>
      </c>
      <c r="C78" s="17" t="s">
        <v>79</v>
      </c>
      <c r="D78" s="15"/>
      <c r="E78" s="19"/>
      <c r="F78" s="13">
        <v>0.3</v>
      </c>
      <c r="G78" s="13">
        <v>2759.44</v>
      </c>
      <c r="H78" s="103">
        <f t="shared" ref="H78" si="11">SUM(F78*G78/1000)</f>
        <v>0.82783200000000001</v>
      </c>
      <c r="I78" s="13">
        <v>0</v>
      </c>
      <c r="J78" s="25"/>
      <c r="L78" s="21"/>
      <c r="M78" s="22"/>
      <c r="N78" s="23"/>
    </row>
    <row r="79" spans="1:14" ht="15.75" customHeight="1">
      <c r="A79" s="154" t="s">
        <v>153</v>
      </c>
      <c r="B79" s="155"/>
      <c r="C79" s="155"/>
      <c r="D79" s="155"/>
      <c r="E79" s="155"/>
      <c r="F79" s="155"/>
      <c r="G79" s="155"/>
      <c r="H79" s="155"/>
      <c r="I79" s="156"/>
      <c r="J79" s="25"/>
      <c r="L79" s="21"/>
      <c r="M79" s="22"/>
      <c r="N79" s="23"/>
    </row>
    <row r="80" spans="1:14" ht="15.75" customHeight="1">
      <c r="A80" s="31">
        <v>20</v>
      </c>
      <c r="B80" s="93" t="s">
        <v>134</v>
      </c>
      <c r="C80" s="17" t="s">
        <v>56</v>
      </c>
      <c r="D80" s="106" t="s">
        <v>57</v>
      </c>
      <c r="E80" s="13">
        <v>2581.1999999999998</v>
      </c>
      <c r="F80" s="13">
        <f>SUM(E80*12)</f>
        <v>30974.399999999998</v>
      </c>
      <c r="G80" s="13">
        <v>2.1</v>
      </c>
      <c r="H80" s="103">
        <f>SUM(F80*G80/1000)</f>
        <v>65.046239999999997</v>
      </c>
      <c r="I80" s="13">
        <f>F80/12*G80</f>
        <v>5420.5199999999995</v>
      </c>
      <c r="J80" s="25"/>
      <c r="L80" s="21"/>
    </row>
    <row r="81" spans="1:22" ht="31.5" customHeight="1">
      <c r="A81" s="31">
        <v>21</v>
      </c>
      <c r="B81" s="15" t="s">
        <v>80</v>
      </c>
      <c r="C81" s="17"/>
      <c r="D81" s="106" t="s">
        <v>57</v>
      </c>
      <c r="E81" s="95">
        <v>2581.1999999999998</v>
      </c>
      <c r="F81" s="13">
        <f>E81*12</f>
        <v>30974.399999999998</v>
      </c>
      <c r="G81" s="13">
        <v>1.63</v>
      </c>
      <c r="H81" s="103">
        <f>F81*G81/1000</f>
        <v>50.488271999999988</v>
      </c>
      <c r="I81" s="13">
        <f>F81/12*G81</f>
        <v>4207.3559999999998</v>
      </c>
    </row>
    <row r="82" spans="1:22" ht="15.75" customHeight="1">
      <c r="A82" s="53"/>
      <c r="B82" s="39" t="s">
        <v>83</v>
      </c>
      <c r="C82" s="41"/>
      <c r="D82" s="16"/>
      <c r="E82" s="16"/>
      <c r="F82" s="16"/>
      <c r="G82" s="19"/>
      <c r="H82" s="19"/>
      <c r="I82" s="33">
        <f>SUM(I16+I17+I18+I20+I21+I27+I28+I37+I38+I39+I40+I41+I42+I50+I51+I52+I56+I59+I74+I80+I81)</f>
        <v>50199.999394999992</v>
      </c>
    </row>
    <row r="83" spans="1:22" ht="15.75" customHeight="1">
      <c r="A83" s="157" t="s">
        <v>62</v>
      </c>
      <c r="B83" s="158"/>
      <c r="C83" s="158"/>
      <c r="D83" s="158"/>
      <c r="E83" s="158"/>
      <c r="F83" s="158"/>
      <c r="G83" s="158"/>
      <c r="H83" s="158"/>
      <c r="I83" s="159"/>
    </row>
    <row r="84" spans="1:22" ht="15.75" customHeight="1">
      <c r="A84" s="31">
        <v>22</v>
      </c>
      <c r="B84" s="67" t="s">
        <v>107</v>
      </c>
      <c r="C84" s="68" t="s">
        <v>95</v>
      </c>
      <c r="D84" s="52"/>
      <c r="E84" s="13"/>
      <c r="F84" s="13">
        <v>368</v>
      </c>
      <c r="G84" s="13">
        <v>53.42</v>
      </c>
      <c r="H84" s="103" t="e">
        <f>#REF!*#REF!/1000</f>
        <v>#REF!</v>
      </c>
      <c r="I84" s="13">
        <f>G84*46</f>
        <v>2457.3200000000002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9"/>
    </row>
    <row r="85" spans="1:22" ht="31.5" customHeight="1">
      <c r="A85" s="31">
        <v>23</v>
      </c>
      <c r="B85" s="67" t="s">
        <v>215</v>
      </c>
      <c r="C85" s="68" t="s">
        <v>216</v>
      </c>
      <c r="D85" s="66"/>
      <c r="E85" s="37"/>
      <c r="F85" s="37">
        <v>1.1399999999999999</v>
      </c>
      <c r="G85" s="37">
        <v>3300.56</v>
      </c>
      <c r="H85" s="37">
        <f t="shared" ref="H85:H87" si="12">G85*F85/1000</f>
        <v>3.7626383999999997</v>
      </c>
      <c r="I85" s="13">
        <f>G85*0.42</f>
        <v>1386.2351999999998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9"/>
    </row>
    <row r="86" spans="1:22" ht="31.5" customHeight="1">
      <c r="A86" s="31">
        <v>24</v>
      </c>
      <c r="B86" s="129" t="s">
        <v>217</v>
      </c>
      <c r="C86" s="130" t="s">
        <v>25</v>
      </c>
      <c r="D86" s="66"/>
      <c r="E86" s="37"/>
      <c r="F86" s="37">
        <v>20</v>
      </c>
      <c r="G86" s="37">
        <v>515.89</v>
      </c>
      <c r="H86" s="37">
        <f t="shared" si="12"/>
        <v>10.3178</v>
      </c>
      <c r="I86" s="13">
        <f>G86*10</f>
        <v>5158.8999999999996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9"/>
    </row>
    <row r="87" spans="1:22" ht="15.75" customHeight="1">
      <c r="A87" s="31">
        <v>25</v>
      </c>
      <c r="B87" s="67" t="s">
        <v>167</v>
      </c>
      <c r="C87" s="68" t="s">
        <v>168</v>
      </c>
      <c r="D87" s="52"/>
      <c r="E87" s="13"/>
      <c r="F87" s="13">
        <v>8.5</v>
      </c>
      <c r="G87" s="13">
        <v>1582</v>
      </c>
      <c r="H87" s="13">
        <f>G87*F87/1000</f>
        <v>13.446999999999999</v>
      </c>
      <c r="I87" s="13">
        <f>G87</f>
        <v>1582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9"/>
    </row>
    <row r="88" spans="1:22" ht="15.75" customHeight="1">
      <c r="A88" s="31">
        <v>26</v>
      </c>
      <c r="B88" s="109" t="s">
        <v>97</v>
      </c>
      <c r="C88" s="110" t="s">
        <v>98</v>
      </c>
      <c r="D88" s="66"/>
      <c r="E88" s="37"/>
      <c r="F88" s="37">
        <f>(15)/3</f>
        <v>5</v>
      </c>
      <c r="G88" s="37">
        <v>1120.8900000000001</v>
      </c>
      <c r="H88" s="105">
        <f>G88*F88/1000</f>
        <v>5.6044500000000008</v>
      </c>
      <c r="I88" s="13">
        <f>G88*(15/3)</f>
        <v>5604.4500000000007</v>
      </c>
      <c r="J88" s="27"/>
      <c r="K88" s="27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2" ht="15.75" customHeight="1">
      <c r="A89" s="31">
        <v>27</v>
      </c>
      <c r="B89" s="67" t="s">
        <v>165</v>
      </c>
      <c r="C89" s="68" t="s">
        <v>166</v>
      </c>
      <c r="D89" s="66"/>
      <c r="E89" s="37"/>
      <c r="F89" s="37">
        <v>1</v>
      </c>
      <c r="G89" s="37">
        <v>206.54</v>
      </c>
      <c r="H89" s="105">
        <f>G89*F89/1000</f>
        <v>0.20654</v>
      </c>
      <c r="I89" s="13">
        <f>G89</f>
        <v>206.54</v>
      </c>
      <c r="J89" s="27"/>
      <c r="K89" s="27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2" ht="15.75" customHeight="1">
      <c r="A90" s="31"/>
      <c r="B90" s="46" t="s">
        <v>53</v>
      </c>
      <c r="C90" s="42"/>
      <c r="D90" s="54"/>
      <c r="E90" s="42">
        <v>1</v>
      </c>
      <c r="F90" s="42"/>
      <c r="G90" s="42"/>
      <c r="H90" s="42"/>
      <c r="I90" s="33">
        <f>SUM(I84:I89)</f>
        <v>16395.445200000002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1:22" ht="15.75" customHeight="1">
      <c r="A91" s="31"/>
      <c r="B91" s="52" t="s">
        <v>81</v>
      </c>
      <c r="C91" s="16"/>
      <c r="D91" s="16"/>
      <c r="E91" s="43"/>
      <c r="F91" s="43"/>
      <c r="G91" s="44"/>
      <c r="H91" s="44"/>
      <c r="I91" s="18">
        <v>0</v>
      </c>
    </row>
    <row r="92" spans="1:22" ht="15.75" customHeight="1">
      <c r="A92" s="55"/>
      <c r="B92" s="47" t="s">
        <v>157</v>
      </c>
      <c r="C92" s="36"/>
      <c r="D92" s="36"/>
      <c r="E92" s="36"/>
      <c r="F92" s="36"/>
      <c r="G92" s="36"/>
      <c r="H92" s="36"/>
      <c r="I92" s="45">
        <f>I82+I90</f>
        <v>66595.444594999994</v>
      </c>
    </row>
    <row r="93" spans="1:22" ht="15.75" customHeight="1">
      <c r="A93" s="153" t="s">
        <v>221</v>
      </c>
      <c r="B93" s="153"/>
      <c r="C93" s="153"/>
      <c r="D93" s="153"/>
      <c r="E93" s="153"/>
      <c r="F93" s="153"/>
      <c r="G93" s="153"/>
      <c r="H93" s="153"/>
      <c r="I93" s="153"/>
    </row>
    <row r="94" spans="1:22" ht="15.75" customHeight="1">
      <c r="A94" s="79"/>
      <c r="B94" s="134" t="s">
        <v>222</v>
      </c>
      <c r="C94" s="134"/>
      <c r="D94" s="134"/>
      <c r="E94" s="134"/>
      <c r="F94" s="134"/>
      <c r="G94" s="134"/>
      <c r="H94" s="91"/>
      <c r="I94" s="3"/>
    </row>
    <row r="95" spans="1:22" ht="15.75" customHeight="1">
      <c r="A95" s="72"/>
      <c r="B95" s="135" t="s">
        <v>6</v>
      </c>
      <c r="C95" s="135"/>
      <c r="D95" s="135"/>
      <c r="E95" s="135"/>
      <c r="F95" s="135"/>
      <c r="G95" s="135"/>
      <c r="H95" s="26"/>
      <c r="I95" s="5"/>
    </row>
    <row r="96" spans="1:22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36" t="s">
        <v>7</v>
      </c>
      <c r="B97" s="136"/>
      <c r="C97" s="136"/>
      <c r="D97" s="136"/>
      <c r="E97" s="136"/>
      <c r="F97" s="136"/>
      <c r="G97" s="136"/>
      <c r="H97" s="136"/>
      <c r="I97" s="136"/>
    </row>
    <row r="98" spans="1:9" ht="15.75" customHeight="1">
      <c r="A98" s="136" t="s">
        <v>8</v>
      </c>
      <c r="B98" s="136"/>
      <c r="C98" s="136"/>
      <c r="D98" s="136"/>
      <c r="E98" s="136"/>
      <c r="F98" s="136"/>
      <c r="G98" s="136"/>
      <c r="H98" s="136"/>
      <c r="I98" s="136"/>
    </row>
    <row r="99" spans="1:9" ht="15.75" customHeight="1">
      <c r="A99" s="139" t="s">
        <v>63</v>
      </c>
      <c r="B99" s="139"/>
      <c r="C99" s="139"/>
      <c r="D99" s="139"/>
      <c r="E99" s="139"/>
      <c r="F99" s="139"/>
      <c r="G99" s="139"/>
      <c r="H99" s="139"/>
      <c r="I99" s="139"/>
    </row>
    <row r="100" spans="1:9" ht="15.75" customHeight="1">
      <c r="A100" s="11"/>
    </row>
    <row r="101" spans="1:9" ht="15.75" customHeight="1">
      <c r="A101" s="140" t="s">
        <v>9</v>
      </c>
      <c r="B101" s="140"/>
      <c r="C101" s="140"/>
      <c r="D101" s="140"/>
      <c r="E101" s="140"/>
      <c r="F101" s="140"/>
      <c r="G101" s="140"/>
      <c r="H101" s="140"/>
      <c r="I101" s="140"/>
    </row>
    <row r="102" spans="1:9" ht="15.75" customHeight="1">
      <c r="A102" s="4"/>
    </row>
    <row r="103" spans="1:9" ht="15.75" customHeight="1">
      <c r="B103" s="75" t="s">
        <v>10</v>
      </c>
      <c r="C103" s="141" t="s">
        <v>94</v>
      </c>
      <c r="D103" s="141"/>
      <c r="E103" s="141"/>
      <c r="F103" s="89"/>
      <c r="I103" s="74"/>
    </row>
    <row r="104" spans="1:9" ht="15.75" customHeight="1">
      <c r="A104" s="72"/>
      <c r="C104" s="135" t="s">
        <v>11</v>
      </c>
      <c r="D104" s="135"/>
      <c r="E104" s="135"/>
      <c r="F104" s="26"/>
      <c r="I104" s="73" t="s">
        <v>12</v>
      </c>
    </row>
    <row r="105" spans="1:9" ht="15.75" customHeight="1">
      <c r="A105" s="27"/>
      <c r="C105" s="12"/>
      <c r="D105" s="12"/>
      <c r="G105" s="12"/>
      <c r="H105" s="12"/>
    </row>
    <row r="106" spans="1:9" ht="15.75" customHeight="1">
      <c r="B106" s="75" t="s">
        <v>13</v>
      </c>
      <c r="C106" s="142"/>
      <c r="D106" s="142"/>
      <c r="E106" s="142"/>
      <c r="F106" s="90"/>
      <c r="I106" s="74"/>
    </row>
    <row r="107" spans="1:9" ht="15.75" customHeight="1">
      <c r="A107" s="72"/>
      <c r="C107" s="138" t="s">
        <v>11</v>
      </c>
      <c r="D107" s="138"/>
      <c r="E107" s="138"/>
      <c r="F107" s="72"/>
      <c r="I107" s="73" t="s">
        <v>12</v>
      </c>
    </row>
    <row r="108" spans="1:9" ht="15.75" customHeight="1">
      <c r="A108" s="4" t="s">
        <v>14</v>
      </c>
    </row>
    <row r="109" spans="1:9">
      <c r="A109" s="137" t="s">
        <v>15</v>
      </c>
      <c r="B109" s="137"/>
      <c r="C109" s="137"/>
      <c r="D109" s="137"/>
      <c r="E109" s="137"/>
      <c r="F109" s="137"/>
      <c r="G109" s="137"/>
      <c r="H109" s="137"/>
      <c r="I109" s="137"/>
    </row>
    <row r="110" spans="1:9" ht="45" customHeight="1">
      <c r="A110" s="133" t="s">
        <v>16</v>
      </c>
      <c r="B110" s="133"/>
      <c r="C110" s="133"/>
      <c r="D110" s="133"/>
      <c r="E110" s="133"/>
      <c r="F110" s="133"/>
      <c r="G110" s="133"/>
      <c r="H110" s="133"/>
      <c r="I110" s="133"/>
    </row>
    <row r="111" spans="1:9" ht="30" customHeight="1">
      <c r="A111" s="133" t="s">
        <v>17</v>
      </c>
      <c r="B111" s="133"/>
      <c r="C111" s="133"/>
      <c r="D111" s="133"/>
      <c r="E111" s="133"/>
      <c r="F111" s="133"/>
      <c r="G111" s="133"/>
      <c r="H111" s="133"/>
      <c r="I111" s="133"/>
    </row>
    <row r="112" spans="1:9" ht="30" customHeight="1">
      <c r="A112" s="133" t="s">
        <v>21</v>
      </c>
      <c r="B112" s="133"/>
      <c r="C112" s="133"/>
      <c r="D112" s="133"/>
      <c r="E112" s="133"/>
      <c r="F112" s="133"/>
      <c r="G112" s="133"/>
      <c r="H112" s="133"/>
      <c r="I112" s="133"/>
    </row>
    <row r="113" spans="1:9" ht="15" customHeight="1">
      <c r="A113" s="133" t="s">
        <v>20</v>
      </c>
      <c r="B113" s="133"/>
      <c r="C113" s="133"/>
      <c r="D113" s="133"/>
      <c r="E113" s="133"/>
      <c r="F113" s="133"/>
      <c r="G113" s="133"/>
      <c r="H113" s="133"/>
      <c r="I113" s="133"/>
    </row>
  </sheetData>
  <autoFilter ref="I12:I82"/>
  <mergeCells count="28">
    <mergeCell ref="A14:I14"/>
    <mergeCell ref="A3:I3"/>
    <mergeCell ref="A4:I4"/>
    <mergeCell ref="A5:I5"/>
    <mergeCell ref="A8:I8"/>
    <mergeCell ref="A10:I10"/>
    <mergeCell ref="A99:I99"/>
    <mergeCell ref="A15:I15"/>
    <mergeCell ref="A29:I29"/>
    <mergeCell ref="A43:I43"/>
    <mergeCell ref="A54:I54"/>
    <mergeCell ref="A79:I79"/>
    <mergeCell ref="A83:I83"/>
    <mergeCell ref="A93:I93"/>
    <mergeCell ref="B94:G94"/>
    <mergeCell ref="B95:G95"/>
    <mergeCell ref="A97:I97"/>
    <mergeCell ref="A98:I98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91</v>
      </c>
      <c r="I1" s="28"/>
      <c r="J1" s="1"/>
      <c r="K1" s="1"/>
      <c r="L1" s="1"/>
      <c r="M1" s="1"/>
    </row>
    <row r="2" spans="1:13" ht="15.75" customHeight="1">
      <c r="A2" s="30" t="s">
        <v>64</v>
      </c>
      <c r="J2" s="2"/>
      <c r="K2" s="2"/>
      <c r="L2" s="2"/>
      <c r="M2" s="2"/>
    </row>
    <row r="3" spans="1:13" ht="15.75" customHeight="1">
      <c r="A3" s="143" t="s">
        <v>169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135</v>
      </c>
      <c r="B4" s="144"/>
      <c r="C4" s="144"/>
      <c r="D4" s="144"/>
      <c r="E4" s="144"/>
      <c r="F4" s="144"/>
      <c r="G4" s="144"/>
      <c r="H4" s="144"/>
      <c r="I4" s="144"/>
    </row>
    <row r="5" spans="1:13" ht="15.75" customHeight="1">
      <c r="A5" s="143" t="s">
        <v>170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2">
        <v>42855</v>
      </c>
      <c r="J6" s="2"/>
      <c r="K6" s="2"/>
      <c r="L6" s="2"/>
      <c r="M6" s="2"/>
    </row>
    <row r="7" spans="1:13" ht="15.75" customHeight="1">
      <c r="B7" s="75"/>
      <c r="C7" s="75"/>
      <c r="D7" s="75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45" t="s">
        <v>201</v>
      </c>
      <c r="B8" s="145"/>
      <c r="C8" s="145"/>
      <c r="D8" s="145"/>
      <c r="E8" s="145"/>
      <c r="F8" s="145"/>
      <c r="G8" s="145"/>
      <c r="H8" s="145"/>
      <c r="I8" s="145"/>
      <c r="J8" s="78"/>
      <c r="K8" s="78"/>
      <c r="L8" s="78"/>
      <c r="M8" s="78"/>
    </row>
    <row r="9" spans="1:13" ht="15.75">
      <c r="A9" s="4"/>
      <c r="J9" s="2"/>
      <c r="K9" s="2"/>
      <c r="L9" s="2"/>
      <c r="M9" s="2"/>
    </row>
    <row r="10" spans="1:13" ht="47.25" customHeight="1">
      <c r="A10" s="146" t="s">
        <v>202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8" t="s">
        <v>61</v>
      </c>
      <c r="B14" s="148"/>
      <c r="C14" s="148"/>
      <c r="D14" s="148"/>
      <c r="E14" s="148"/>
      <c r="F14" s="148"/>
      <c r="G14" s="148"/>
      <c r="H14" s="148"/>
      <c r="I14" s="148"/>
      <c r="J14" s="8"/>
      <c r="K14" s="8"/>
      <c r="L14" s="8"/>
      <c r="M14" s="8"/>
    </row>
    <row r="15" spans="1:13" ht="15.75" customHeight="1">
      <c r="A15" s="149" t="s">
        <v>4</v>
      </c>
      <c r="B15" s="149"/>
      <c r="C15" s="149"/>
      <c r="D15" s="149"/>
      <c r="E15" s="149"/>
      <c r="F15" s="149"/>
      <c r="G15" s="149"/>
      <c r="H15" s="149"/>
      <c r="I15" s="149"/>
      <c r="J15" s="8"/>
      <c r="K15" s="8"/>
      <c r="L15" s="8"/>
      <c r="M15" s="8"/>
    </row>
    <row r="16" spans="1:13" ht="15.75" customHeight="1">
      <c r="A16" s="31">
        <v>1</v>
      </c>
      <c r="B16" s="93" t="s">
        <v>92</v>
      </c>
      <c r="C16" s="94" t="s">
        <v>102</v>
      </c>
      <c r="D16" s="93" t="s">
        <v>140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8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111</v>
      </c>
      <c r="C17" s="94" t="s">
        <v>102</v>
      </c>
      <c r="D17" s="93" t="s">
        <v>141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112</v>
      </c>
      <c r="C18" s="94" t="s">
        <v>102</v>
      </c>
      <c r="D18" s="93" t="s">
        <v>142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3" t="s">
        <v>136</v>
      </c>
      <c r="C19" s="94" t="s">
        <v>137</v>
      </c>
      <c r="D19" s="93" t="s">
        <v>138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v>0</v>
      </c>
      <c r="J19" s="8"/>
      <c r="K19" s="8"/>
      <c r="L19" s="8"/>
      <c r="M19" s="8"/>
    </row>
    <row r="20" spans="1:13" ht="15.75" customHeight="1">
      <c r="A20" s="31">
        <v>4</v>
      </c>
      <c r="B20" s="93" t="s">
        <v>101</v>
      </c>
      <c r="C20" s="94" t="s">
        <v>102</v>
      </c>
      <c r="D20" s="93" t="s">
        <v>30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3" t="s">
        <v>109</v>
      </c>
      <c r="C21" s="94" t="s">
        <v>102</v>
      </c>
      <c r="D21" s="93" t="s">
        <v>30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3" t="s">
        <v>103</v>
      </c>
      <c r="C22" s="94" t="s">
        <v>54</v>
      </c>
      <c r="D22" s="93" t="s">
        <v>138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v>0</v>
      </c>
      <c r="J22" s="8"/>
      <c r="K22" s="8"/>
      <c r="L22" s="8"/>
      <c r="M22" s="8"/>
    </row>
    <row r="23" spans="1:13" ht="15.75" hidden="1" customHeight="1">
      <c r="A23" s="31">
        <v>8</v>
      </c>
      <c r="B23" s="93" t="s">
        <v>104</v>
      </c>
      <c r="C23" s="94" t="s">
        <v>54</v>
      </c>
      <c r="D23" s="93" t="s">
        <v>138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v>0</v>
      </c>
      <c r="J23" s="8"/>
      <c r="K23" s="8"/>
      <c r="L23" s="8"/>
      <c r="M23" s="8"/>
    </row>
    <row r="24" spans="1:13" ht="15.75" hidden="1" customHeight="1">
      <c r="A24" s="31">
        <v>9</v>
      </c>
      <c r="B24" s="93" t="s">
        <v>105</v>
      </c>
      <c r="C24" s="94" t="s">
        <v>54</v>
      </c>
      <c r="D24" s="93" t="s">
        <v>139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v>0</v>
      </c>
      <c r="J24" s="8"/>
      <c r="K24" s="8"/>
      <c r="L24" s="8"/>
      <c r="M24" s="8"/>
    </row>
    <row r="25" spans="1:13" ht="15.75" hidden="1" customHeight="1">
      <c r="A25" s="31">
        <v>10</v>
      </c>
      <c r="B25" s="93" t="s">
        <v>110</v>
      </c>
      <c r="C25" s="94" t="s">
        <v>102</v>
      </c>
      <c r="D25" s="93" t="s">
        <v>55</v>
      </c>
      <c r="E25" s="95">
        <v>14.25</v>
      </c>
      <c r="F25" s="96">
        <v>0.1</v>
      </c>
      <c r="G25" s="96">
        <v>216.12</v>
      </c>
      <c r="H25" s="97">
        <v>3.1E-2</v>
      </c>
      <c r="I25" s="13">
        <v>0</v>
      </c>
      <c r="J25" s="8"/>
      <c r="K25" s="8"/>
      <c r="L25" s="8"/>
      <c r="M25" s="8"/>
    </row>
    <row r="26" spans="1:13" ht="15.75" hidden="1" customHeight="1">
      <c r="A26" s="31">
        <v>11</v>
      </c>
      <c r="B26" s="93" t="s">
        <v>106</v>
      </c>
      <c r="C26" s="94" t="s">
        <v>54</v>
      </c>
      <c r="D26" s="93" t="s">
        <v>138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v>0</v>
      </c>
      <c r="J26" s="8"/>
      <c r="K26" s="8"/>
      <c r="L26" s="8"/>
      <c r="M26" s="8"/>
    </row>
    <row r="27" spans="1:13" ht="15.75" customHeight="1">
      <c r="A27" s="31">
        <v>6</v>
      </c>
      <c r="B27" s="93" t="s">
        <v>66</v>
      </c>
      <c r="C27" s="94" t="s">
        <v>33</v>
      </c>
      <c r="D27" s="34" t="s">
        <v>90</v>
      </c>
      <c r="E27" s="95">
        <v>0.1</v>
      </c>
      <c r="F27" s="96">
        <f>SUM(E27*365)</f>
        <v>36.5</v>
      </c>
      <c r="G27" s="96">
        <v>147.03</v>
      </c>
      <c r="H27" s="97">
        <f t="shared" si="0"/>
        <v>5.3665950000000002</v>
      </c>
      <c r="I27" s="13">
        <f>F27/12*G27</f>
        <v>447.21625</v>
      </c>
      <c r="J27" s="8"/>
      <c r="K27" s="8"/>
      <c r="L27" s="8"/>
      <c r="M27" s="8"/>
    </row>
    <row r="28" spans="1:13" ht="15.75" customHeight="1">
      <c r="A28" s="31">
        <v>7</v>
      </c>
      <c r="B28" s="99" t="s">
        <v>23</v>
      </c>
      <c r="C28" s="94" t="s">
        <v>24</v>
      </c>
      <c r="D28" s="34" t="s">
        <v>90</v>
      </c>
      <c r="E28" s="95">
        <v>2581.1999999999998</v>
      </c>
      <c r="F28" s="96">
        <f>SUM(E28*12)</f>
        <v>30974.399999999998</v>
      </c>
      <c r="G28" s="96">
        <v>4.8099999999999996</v>
      </c>
      <c r="H28" s="97">
        <f t="shared" si="0"/>
        <v>148.98686399999997</v>
      </c>
      <c r="I28" s="13">
        <f>F28/12*G28</f>
        <v>12415.571999999998</v>
      </c>
      <c r="J28" s="24"/>
      <c r="K28" s="8"/>
      <c r="L28" s="8"/>
      <c r="M28" s="8"/>
    </row>
    <row r="29" spans="1:13" ht="15.75" customHeight="1">
      <c r="A29" s="149" t="s">
        <v>89</v>
      </c>
      <c r="B29" s="149"/>
      <c r="C29" s="149"/>
      <c r="D29" s="149"/>
      <c r="E29" s="149"/>
      <c r="F29" s="149"/>
      <c r="G29" s="149"/>
      <c r="H29" s="149"/>
      <c r="I29" s="149"/>
      <c r="J29" s="24"/>
      <c r="K29" s="8"/>
      <c r="L29" s="8"/>
      <c r="M29" s="8"/>
    </row>
    <row r="30" spans="1:13" ht="15.75" hidden="1" customHeight="1">
      <c r="A30" s="41"/>
      <c r="B30" s="51" t="s">
        <v>28</v>
      </c>
      <c r="C30" s="51"/>
      <c r="D30" s="51"/>
      <c r="E30" s="51"/>
      <c r="F30" s="51"/>
      <c r="G30" s="51"/>
      <c r="H30" s="51"/>
      <c r="I30" s="19"/>
      <c r="J30" s="24"/>
      <c r="K30" s="8"/>
      <c r="L30" s="8"/>
      <c r="M30" s="8"/>
    </row>
    <row r="31" spans="1:13" ht="15.75" hidden="1" customHeight="1">
      <c r="A31" s="41">
        <v>2</v>
      </c>
      <c r="B31" s="93" t="s">
        <v>114</v>
      </c>
      <c r="C31" s="94" t="s">
        <v>115</v>
      </c>
      <c r="D31" s="93" t="s">
        <v>116</v>
      </c>
      <c r="E31" s="96">
        <v>1167.4000000000001</v>
      </c>
      <c r="F31" s="96">
        <f>SUM(E31*52/1000)</f>
        <v>60.704800000000006</v>
      </c>
      <c r="G31" s="96">
        <v>155.88999999999999</v>
      </c>
      <c r="H31" s="97">
        <f t="shared" ref="H31:H33" si="1">SUM(F31*G31/1000)</f>
        <v>9.4632712720000001</v>
      </c>
      <c r="I31" s="13">
        <v>0</v>
      </c>
      <c r="J31" s="24"/>
      <c r="K31" s="8"/>
      <c r="L31" s="8"/>
      <c r="M31" s="8"/>
    </row>
    <row r="32" spans="1:13" ht="31.5" hidden="1" customHeight="1">
      <c r="A32" s="41">
        <v>3</v>
      </c>
      <c r="B32" s="93" t="s">
        <v>154</v>
      </c>
      <c r="C32" s="94" t="s">
        <v>115</v>
      </c>
      <c r="D32" s="93" t="s">
        <v>117</v>
      </c>
      <c r="E32" s="96">
        <v>540.04999999999995</v>
      </c>
      <c r="F32" s="96">
        <f>SUM(E32*78/1000)</f>
        <v>42.123899999999992</v>
      </c>
      <c r="G32" s="96">
        <v>258.63</v>
      </c>
      <c r="H32" s="97">
        <f t="shared" si="1"/>
        <v>10.894504256999998</v>
      </c>
      <c r="I32" s="13">
        <v>0</v>
      </c>
      <c r="J32" s="24"/>
      <c r="K32" s="8"/>
      <c r="L32" s="8"/>
      <c r="M32" s="8"/>
    </row>
    <row r="33" spans="1:13" ht="15.75" hidden="1" customHeight="1">
      <c r="A33" s="41">
        <v>4</v>
      </c>
      <c r="B33" s="93" t="s">
        <v>27</v>
      </c>
      <c r="C33" s="94" t="s">
        <v>115</v>
      </c>
      <c r="D33" s="93" t="s">
        <v>55</v>
      </c>
      <c r="E33" s="96">
        <v>1167.4000000000001</v>
      </c>
      <c r="F33" s="96">
        <f>SUM(E33/1000)</f>
        <v>1.1674</v>
      </c>
      <c r="G33" s="96">
        <v>3020.33</v>
      </c>
      <c r="H33" s="97">
        <f t="shared" si="1"/>
        <v>3.5259332420000002</v>
      </c>
      <c r="I33" s="13">
        <v>0</v>
      </c>
      <c r="J33" s="24"/>
      <c r="K33" s="8"/>
      <c r="L33" s="8"/>
      <c r="M33" s="8"/>
    </row>
    <row r="34" spans="1:13" ht="15.75" hidden="1" customHeight="1">
      <c r="A34" s="41">
        <v>5</v>
      </c>
      <c r="B34" s="93" t="s">
        <v>118</v>
      </c>
      <c r="C34" s="94" t="s">
        <v>31</v>
      </c>
      <c r="D34" s="93" t="s">
        <v>65</v>
      </c>
      <c r="E34" s="100">
        <v>0.33333333333333331</v>
      </c>
      <c r="F34" s="96">
        <f>155/3</f>
        <v>51.666666666666664</v>
      </c>
      <c r="G34" s="96">
        <v>56.69</v>
      </c>
      <c r="H34" s="97">
        <f>SUM(G34*155/3/1000)</f>
        <v>2.9289833333333331</v>
      </c>
      <c r="I34" s="13">
        <v>0</v>
      </c>
      <c r="J34" s="24"/>
      <c r="K34" s="8"/>
      <c r="L34" s="8"/>
      <c r="M34" s="8"/>
    </row>
    <row r="35" spans="1:13" ht="15.75" hidden="1" customHeight="1">
      <c r="A35" s="41">
        <v>4</v>
      </c>
      <c r="B35" s="93" t="s">
        <v>67</v>
      </c>
      <c r="C35" s="94" t="s">
        <v>33</v>
      </c>
      <c r="D35" s="93" t="s">
        <v>68</v>
      </c>
      <c r="E35" s="95"/>
      <c r="F35" s="96">
        <v>3</v>
      </c>
      <c r="G35" s="96">
        <v>191.32</v>
      </c>
      <c r="H35" s="97">
        <f t="shared" ref="H35" si="2">SUM(F35*G35/1000)</f>
        <v>0.57396000000000003</v>
      </c>
      <c r="I35" s="13">
        <v>0</v>
      </c>
      <c r="J35" s="24"/>
      <c r="K35" s="8"/>
      <c r="L35" s="8"/>
      <c r="M35" s="8"/>
    </row>
    <row r="36" spans="1:13" ht="15.75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9"/>
      <c r="J36" s="24"/>
      <c r="K36" s="8"/>
      <c r="L36" s="8"/>
      <c r="M36" s="8"/>
    </row>
    <row r="37" spans="1:13" ht="15.75" customHeight="1">
      <c r="A37" s="41">
        <v>8</v>
      </c>
      <c r="B37" s="93" t="s">
        <v>26</v>
      </c>
      <c r="C37" s="94" t="s">
        <v>32</v>
      </c>
      <c r="D37" s="93"/>
      <c r="E37" s="95"/>
      <c r="F37" s="96">
        <v>6</v>
      </c>
      <c r="G37" s="96">
        <v>1527.2</v>
      </c>
      <c r="H37" s="97">
        <f t="shared" ref="H37:H42" si="3">SUM(F37*G37/1000)</f>
        <v>9.1632000000000016</v>
      </c>
      <c r="I37" s="13">
        <f t="shared" ref="I37:I42" si="4">F37/6*G37</f>
        <v>1527.2</v>
      </c>
      <c r="J37" s="24"/>
      <c r="K37" s="8"/>
      <c r="L37" s="8"/>
      <c r="M37" s="8"/>
    </row>
    <row r="38" spans="1:13" ht="15.75" customHeight="1">
      <c r="A38" s="35">
        <v>9</v>
      </c>
      <c r="B38" s="93" t="s">
        <v>69</v>
      </c>
      <c r="C38" s="94" t="s">
        <v>29</v>
      </c>
      <c r="D38" s="93" t="s">
        <v>143</v>
      </c>
      <c r="E38" s="96">
        <v>1080.0999999999999</v>
      </c>
      <c r="F38" s="96">
        <f>SUM(E38*30/1000)</f>
        <v>32.402999999999999</v>
      </c>
      <c r="G38" s="96">
        <v>2102.6999999999998</v>
      </c>
      <c r="H38" s="97">
        <f t="shared" si="3"/>
        <v>68.13378809999999</v>
      </c>
      <c r="I38" s="13">
        <f t="shared" si="4"/>
        <v>11355.63135</v>
      </c>
      <c r="J38" s="24"/>
      <c r="K38" s="8"/>
      <c r="L38" s="8"/>
      <c r="M38" s="8"/>
    </row>
    <row r="39" spans="1:13" ht="15.75" customHeight="1">
      <c r="A39" s="35">
        <v>10</v>
      </c>
      <c r="B39" s="93" t="s">
        <v>70</v>
      </c>
      <c r="C39" s="94" t="s">
        <v>29</v>
      </c>
      <c r="D39" s="93" t="s">
        <v>119</v>
      </c>
      <c r="E39" s="96">
        <v>45</v>
      </c>
      <c r="F39" s="96">
        <f>SUM(E39*155/1000)</f>
        <v>6.9749999999999996</v>
      </c>
      <c r="G39" s="96">
        <v>350.75</v>
      </c>
      <c r="H39" s="97">
        <f t="shared" si="3"/>
        <v>2.4464812499999997</v>
      </c>
      <c r="I39" s="13">
        <f t="shared" si="4"/>
        <v>407.74687499999993</v>
      </c>
      <c r="J39" s="24"/>
      <c r="K39" s="8"/>
      <c r="L39" s="8"/>
      <c r="M39" s="8"/>
    </row>
    <row r="40" spans="1:13" ht="47.25" customHeight="1">
      <c r="A40" s="35">
        <v>11</v>
      </c>
      <c r="B40" s="93" t="s">
        <v>87</v>
      </c>
      <c r="C40" s="94" t="s">
        <v>115</v>
      </c>
      <c r="D40" s="93" t="s">
        <v>71</v>
      </c>
      <c r="E40" s="96">
        <v>45</v>
      </c>
      <c r="F40" s="96">
        <f>SUM(E40*70/1000)</f>
        <v>3.15</v>
      </c>
      <c r="G40" s="96">
        <v>5803.28</v>
      </c>
      <c r="H40" s="97">
        <f t="shared" si="3"/>
        <v>18.280331999999998</v>
      </c>
      <c r="I40" s="13">
        <f t="shared" si="4"/>
        <v>3046.7220000000002</v>
      </c>
      <c r="J40" s="24"/>
      <c r="K40" s="8"/>
      <c r="L40" s="8"/>
      <c r="M40" s="8"/>
    </row>
    <row r="41" spans="1:13" ht="15.75" customHeight="1">
      <c r="A41" s="35">
        <v>12</v>
      </c>
      <c r="B41" s="93" t="s">
        <v>120</v>
      </c>
      <c r="C41" s="94" t="s">
        <v>115</v>
      </c>
      <c r="D41" s="131" t="s">
        <v>220</v>
      </c>
      <c r="E41" s="37">
        <v>45</v>
      </c>
      <c r="F41" s="160">
        <f>SUM(E41*15/1000)</f>
        <v>0.67500000000000004</v>
      </c>
      <c r="G41" s="37">
        <v>428.7</v>
      </c>
      <c r="H41" s="37">
        <f t="shared" ref="H41" si="5">SUM(F41*G41/1000)</f>
        <v>0.28937249999999998</v>
      </c>
      <c r="I41" s="13">
        <f>F41/2*G41</f>
        <v>144.68625</v>
      </c>
      <c r="J41" s="24"/>
      <c r="K41" s="8"/>
      <c r="L41" s="8"/>
      <c r="M41" s="8"/>
    </row>
    <row r="42" spans="1:13" ht="15.75" customHeight="1">
      <c r="A42" s="35">
        <v>13</v>
      </c>
      <c r="B42" s="93" t="s">
        <v>73</v>
      </c>
      <c r="C42" s="94" t="s">
        <v>33</v>
      </c>
      <c r="D42" s="93"/>
      <c r="E42" s="95"/>
      <c r="F42" s="96">
        <v>0.6</v>
      </c>
      <c r="G42" s="96">
        <v>798</v>
      </c>
      <c r="H42" s="97">
        <f t="shared" si="3"/>
        <v>0.47879999999999995</v>
      </c>
      <c r="I42" s="13">
        <f t="shared" si="4"/>
        <v>79.8</v>
      </c>
      <c r="J42" s="24"/>
      <c r="K42" s="8"/>
      <c r="L42" s="8"/>
      <c r="M42" s="8"/>
    </row>
    <row r="43" spans="1:13" ht="15.75" hidden="1" customHeight="1">
      <c r="A43" s="150" t="s">
        <v>151</v>
      </c>
      <c r="B43" s="151"/>
      <c r="C43" s="151"/>
      <c r="D43" s="151"/>
      <c r="E43" s="151"/>
      <c r="F43" s="151"/>
      <c r="G43" s="151"/>
      <c r="H43" s="151"/>
      <c r="I43" s="152"/>
      <c r="J43" s="24"/>
      <c r="K43" s="8"/>
      <c r="L43" s="8"/>
      <c r="M43" s="8"/>
    </row>
    <row r="44" spans="1:13" ht="15.75" hidden="1" customHeight="1">
      <c r="A44" s="41">
        <v>15</v>
      </c>
      <c r="B44" s="93" t="s">
        <v>121</v>
      </c>
      <c r="C44" s="94" t="s">
        <v>115</v>
      </c>
      <c r="D44" s="93" t="s">
        <v>43</v>
      </c>
      <c r="E44" s="95">
        <v>965.8</v>
      </c>
      <c r="F44" s="96">
        <f>SUM(E44*2/1000)</f>
        <v>1.9316</v>
      </c>
      <c r="G44" s="13">
        <v>849.49</v>
      </c>
      <c r="H44" s="97">
        <f t="shared" ref="H44:H53" si="6">SUM(F44*G44/1000)</f>
        <v>1.640874884</v>
      </c>
      <c r="I44" s="13">
        <v>0</v>
      </c>
      <c r="J44" s="24"/>
      <c r="K44" s="8"/>
    </row>
    <row r="45" spans="1:13" ht="15.75" hidden="1" customHeight="1">
      <c r="A45" s="41">
        <v>16</v>
      </c>
      <c r="B45" s="93" t="s">
        <v>36</v>
      </c>
      <c r="C45" s="94" t="s">
        <v>115</v>
      </c>
      <c r="D45" s="93" t="s">
        <v>43</v>
      </c>
      <c r="E45" s="95">
        <v>36</v>
      </c>
      <c r="F45" s="96">
        <f>SUM(E45*2/1000)</f>
        <v>7.1999999999999995E-2</v>
      </c>
      <c r="G45" s="13">
        <v>579.48</v>
      </c>
      <c r="H45" s="97">
        <f t="shared" si="6"/>
        <v>4.1722559999999999E-2</v>
      </c>
      <c r="I45" s="13">
        <v>0</v>
      </c>
      <c r="J45" s="25"/>
    </row>
    <row r="46" spans="1:13" ht="15.75" hidden="1" customHeight="1">
      <c r="A46" s="41">
        <v>17</v>
      </c>
      <c r="B46" s="93" t="s">
        <v>37</v>
      </c>
      <c r="C46" s="94" t="s">
        <v>115</v>
      </c>
      <c r="D46" s="93" t="s">
        <v>43</v>
      </c>
      <c r="E46" s="95">
        <v>1197.7</v>
      </c>
      <c r="F46" s="96">
        <f>SUM(E46*2/1000)</f>
        <v>2.3954</v>
      </c>
      <c r="G46" s="13">
        <v>579.48</v>
      </c>
      <c r="H46" s="97">
        <f t="shared" si="6"/>
        <v>1.3880863919999999</v>
      </c>
      <c r="I46" s="13">
        <v>0</v>
      </c>
      <c r="J46" s="25"/>
    </row>
    <row r="47" spans="1:13" ht="15.75" hidden="1" customHeight="1">
      <c r="A47" s="41"/>
      <c r="B47" s="93" t="s">
        <v>38</v>
      </c>
      <c r="C47" s="94" t="s">
        <v>115</v>
      </c>
      <c r="D47" s="93" t="s">
        <v>43</v>
      </c>
      <c r="E47" s="95">
        <v>2275.92</v>
      </c>
      <c r="F47" s="96">
        <f>SUM(E47*2/1000)</f>
        <v>4.5518400000000003</v>
      </c>
      <c r="G47" s="13">
        <v>606.77</v>
      </c>
      <c r="H47" s="97">
        <f t="shared" si="6"/>
        <v>2.7619199567999999</v>
      </c>
      <c r="I47" s="13">
        <v>0</v>
      </c>
      <c r="J47" s="25"/>
    </row>
    <row r="48" spans="1:13" ht="15.75" hidden="1" customHeight="1">
      <c r="A48" s="41">
        <v>18</v>
      </c>
      <c r="B48" s="93" t="s">
        <v>34</v>
      </c>
      <c r="C48" s="94" t="s">
        <v>35</v>
      </c>
      <c r="D48" s="93" t="s">
        <v>43</v>
      </c>
      <c r="E48" s="95">
        <v>81.709999999999994</v>
      </c>
      <c r="F48" s="96">
        <f>SUM(E48*2/100)</f>
        <v>1.6341999999999999</v>
      </c>
      <c r="G48" s="13">
        <v>68.56</v>
      </c>
      <c r="H48" s="97">
        <f t="shared" si="6"/>
        <v>0.11204075199999999</v>
      </c>
      <c r="I48" s="13">
        <v>0</v>
      </c>
      <c r="J48" s="25"/>
    </row>
    <row r="49" spans="1:14" ht="15.75" hidden="1" customHeight="1">
      <c r="A49" s="41">
        <v>14</v>
      </c>
      <c r="B49" s="93" t="s">
        <v>58</v>
      </c>
      <c r="C49" s="94" t="s">
        <v>115</v>
      </c>
      <c r="D49" s="93" t="s">
        <v>155</v>
      </c>
      <c r="E49" s="95">
        <v>1711.8</v>
      </c>
      <c r="F49" s="96">
        <f>SUM(E49*5/1000)</f>
        <v>8.5589999999999993</v>
      </c>
      <c r="G49" s="13">
        <v>1213.55</v>
      </c>
      <c r="H49" s="97">
        <f t="shared" si="6"/>
        <v>10.386774449999999</v>
      </c>
      <c r="I49" s="13">
        <f>F49/5*G49</f>
        <v>2077.3548899999996</v>
      </c>
      <c r="J49" s="25"/>
    </row>
    <row r="50" spans="1:14" ht="31.5" hidden="1" customHeight="1">
      <c r="A50" s="41">
        <v>14</v>
      </c>
      <c r="B50" s="93" t="s">
        <v>122</v>
      </c>
      <c r="C50" s="94" t="s">
        <v>115</v>
      </c>
      <c r="D50" s="93" t="s">
        <v>43</v>
      </c>
      <c r="E50" s="95">
        <v>1711.8</v>
      </c>
      <c r="F50" s="96">
        <f>SUM(E50*2/1000)</f>
        <v>3.4236</v>
      </c>
      <c r="G50" s="13">
        <v>1213.55</v>
      </c>
      <c r="H50" s="97">
        <f t="shared" si="6"/>
        <v>4.1547097800000001</v>
      </c>
      <c r="I50" s="13">
        <f>F50/2*G50</f>
        <v>2077.3548900000001</v>
      </c>
      <c r="J50" s="25"/>
    </row>
    <row r="51" spans="1:14" ht="31.5" hidden="1" customHeight="1">
      <c r="A51" s="41">
        <v>15</v>
      </c>
      <c r="B51" s="93" t="s">
        <v>123</v>
      </c>
      <c r="C51" s="94" t="s">
        <v>39</v>
      </c>
      <c r="D51" s="93" t="s">
        <v>43</v>
      </c>
      <c r="E51" s="95">
        <v>15</v>
      </c>
      <c r="F51" s="96">
        <f>SUM(E51*2/100)</f>
        <v>0.3</v>
      </c>
      <c r="G51" s="13">
        <v>2730.49</v>
      </c>
      <c r="H51" s="97">
        <f t="shared" si="6"/>
        <v>0.81914699999999996</v>
      </c>
      <c r="I51" s="13">
        <f t="shared" ref="I51:I52" si="7">F51/2*G51</f>
        <v>409.57349999999997</v>
      </c>
      <c r="J51" s="25"/>
    </row>
    <row r="52" spans="1:14" ht="15.75" hidden="1" customHeight="1">
      <c r="A52" s="41">
        <v>16</v>
      </c>
      <c r="B52" s="93" t="s">
        <v>40</v>
      </c>
      <c r="C52" s="94" t="s">
        <v>41</v>
      </c>
      <c r="D52" s="93" t="s">
        <v>43</v>
      </c>
      <c r="E52" s="95">
        <v>1</v>
      </c>
      <c r="F52" s="96">
        <v>0.02</v>
      </c>
      <c r="G52" s="13">
        <v>5322.15</v>
      </c>
      <c r="H52" s="97">
        <f t="shared" si="6"/>
        <v>0.106443</v>
      </c>
      <c r="I52" s="13">
        <f t="shared" si="7"/>
        <v>53.221499999999999</v>
      </c>
      <c r="J52" s="25"/>
      <c r="L52" s="21"/>
      <c r="M52" s="22"/>
      <c r="N52" s="23"/>
    </row>
    <row r="53" spans="1:14" ht="15.75" hidden="1" customHeight="1">
      <c r="A53" s="41">
        <v>15</v>
      </c>
      <c r="B53" s="93" t="s">
        <v>42</v>
      </c>
      <c r="C53" s="94" t="s">
        <v>95</v>
      </c>
      <c r="D53" s="93" t="s">
        <v>74</v>
      </c>
      <c r="E53" s="95">
        <v>90</v>
      </c>
      <c r="F53" s="96">
        <f>SUM(E53)*3</f>
        <v>270</v>
      </c>
      <c r="G53" s="13">
        <v>65.67</v>
      </c>
      <c r="H53" s="97">
        <f t="shared" si="6"/>
        <v>17.730900000000002</v>
      </c>
      <c r="I53" s="13">
        <f>E53*G53</f>
        <v>5910.3</v>
      </c>
      <c r="J53" s="25"/>
      <c r="L53" s="21"/>
      <c r="M53" s="22"/>
      <c r="N53" s="23"/>
    </row>
    <row r="54" spans="1:14" ht="15.75" customHeight="1">
      <c r="A54" s="150" t="s">
        <v>171</v>
      </c>
      <c r="B54" s="151"/>
      <c r="C54" s="151"/>
      <c r="D54" s="151"/>
      <c r="E54" s="151"/>
      <c r="F54" s="151"/>
      <c r="G54" s="151"/>
      <c r="H54" s="151"/>
      <c r="I54" s="152"/>
      <c r="J54" s="25"/>
      <c r="L54" s="21"/>
      <c r="M54" s="22"/>
      <c r="N54" s="23"/>
    </row>
    <row r="55" spans="1:14" ht="15.75" customHeight="1">
      <c r="A55" s="53"/>
      <c r="B55" s="48" t="s">
        <v>44</v>
      </c>
      <c r="C55" s="17"/>
      <c r="D55" s="16"/>
      <c r="E55" s="16"/>
      <c r="F55" s="16"/>
      <c r="G55" s="31"/>
      <c r="H55" s="31"/>
      <c r="I55" s="19"/>
      <c r="J55" s="25"/>
      <c r="L55" s="21"/>
      <c r="M55" s="22"/>
      <c r="N55" s="23"/>
    </row>
    <row r="56" spans="1:14" ht="31.5" customHeight="1">
      <c r="A56" s="41">
        <v>14</v>
      </c>
      <c r="B56" s="93" t="s">
        <v>124</v>
      </c>
      <c r="C56" s="94" t="s">
        <v>102</v>
      </c>
      <c r="D56" s="93" t="s">
        <v>125</v>
      </c>
      <c r="E56" s="95">
        <v>96.58</v>
      </c>
      <c r="F56" s="96">
        <f>SUM(E56*6/100)</f>
        <v>5.7948000000000004</v>
      </c>
      <c r="G56" s="13">
        <v>1547.28</v>
      </c>
      <c r="H56" s="97">
        <f>SUM(F56*G56/1000)</f>
        <v>8.9661781440000006</v>
      </c>
      <c r="I56" s="13">
        <f>F56/6*G56</f>
        <v>1494.3630240000002</v>
      </c>
      <c r="J56" s="25"/>
      <c r="L56" s="21"/>
      <c r="M56" s="22"/>
      <c r="N56" s="23"/>
    </row>
    <row r="57" spans="1:14" ht="15.75" customHeight="1">
      <c r="A57" s="41"/>
      <c r="B57" s="69" t="s">
        <v>45</v>
      </c>
      <c r="C57" s="40"/>
      <c r="D57" s="34"/>
      <c r="E57" s="19"/>
      <c r="F57" s="87"/>
      <c r="G57" s="37"/>
      <c r="H57" s="70"/>
      <c r="I57" s="20"/>
      <c r="J57" s="25"/>
      <c r="L57" s="21"/>
      <c r="M57" s="22"/>
      <c r="N57" s="23"/>
    </row>
    <row r="58" spans="1:14" ht="15.75" hidden="1" customHeight="1">
      <c r="A58" s="41"/>
      <c r="B58" s="93" t="s">
        <v>46</v>
      </c>
      <c r="C58" s="94" t="s">
        <v>102</v>
      </c>
      <c r="D58" s="93" t="s">
        <v>55</v>
      </c>
      <c r="E58" s="95">
        <v>855.9</v>
      </c>
      <c r="F58" s="97">
        <v>8.6</v>
      </c>
      <c r="G58" s="13">
        <v>747.3</v>
      </c>
      <c r="H58" s="101">
        <v>6.4</v>
      </c>
      <c r="I58" s="13">
        <v>0</v>
      </c>
      <c r="J58" s="25"/>
      <c r="L58" s="21"/>
      <c r="M58" s="22"/>
      <c r="N58" s="23"/>
    </row>
    <row r="59" spans="1:14" ht="15.75" customHeight="1">
      <c r="A59" s="41">
        <v>15</v>
      </c>
      <c r="B59" s="93" t="s">
        <v>96</v>
      </c>
      <c r="C59" s="94" t="s">
        <v>25</v>
      </c>
      <c r="D59" s="93" t="s">
        <v>144</v>
      </c>
      <c r="E59" s="95">
        <v>256</v>
      </c>
      <c r="F59" s="97">
        <f>E59*12</f>
        <v>3072</v>
      </c>
      <c r="G59" s="13">
        <v>2.5958999999999999</v>
      </c>
      <c r="H59" s="101">
        <f>F59*G59/1000</f>
        <v>7.9746047999999989</v>
      </c>
      <c r="I59" s="13">
        <f>F59/12*G59</f>
        <v>664.55039999999997</v>
      </c>
      <c r="J59" s="25"/>
      <c r="L59" s="21"/>
      <c r="M59" s="22"/>
      <c r="N59" s="23"/>
    </row>
    <row r="60" spans="1:14" ht="15.75" hidden="1" customHeight="1">
      <c r="A60" s="41"/>
      <c r="B60" s="69" t="s">
        <v>145</v>
      </c>
      <c r="C60" s="40"/>
      <c r="D60" s="34"/>
      <c r="E60" s="19"/>
      <c r="F60" s="87"/>
      <c r="G60" s="71"/>
      <c r="H60" s="70"/>
      <c r="I60" s="20"/>
      <c r="J60" s="25"/>
      <c r="L60" s="21"/>
      <c r="M60" s="22"/>
      <c r="N60" s="23"/>
    </row>
    <row r="61" spans="1:14" ht="15.75" hidden="1" customHeight="1">
      <c r="A61" s="41"/>
      <c r="B61" s="93" t="s">
        <v>146</v>
      </c>
      <c r="C61" s="94" t="s">
        <v>95</v>
      </c>
      <c r="D61" s="93" t="s">
        <v>68</v>
      </c>
      <c r="E61" s="95">
        <v>2</v>
      </c>
      <c r="F61" s="96">
        <f>SUM(E61)</f>
        <v>2</v>
      </c>
      <c r="G61" s="102">
        <v>237.75</v>
      </c>
      <c r="H61" s="97">
        <f t="shared" ref="H61" si="8">SUM(F61*G61/1000)</f>
        <v>0.47549999999999998</v>
      </c>
      <c r="I61" s="13">
        <v>0</v>
      </c>
      <c r="J61" s="25"/>
      <c r="L61" s="21"/>
      <c r="M61" s="22"/>
      <c r="N61" s="23"/>
    </row>
    <row r="62" spans="1:14" ht="15.75" hidden="1" customHeight="1">
      <c r="A62" s="41"/>
      <c r="B62" s="77" t="s">
        <v>47</v>
      </c>
      <c r="C62" s="17"/>
      <c r="D62" s="16"/>
      <c r="E62" s="16"/>
      <c r="F62" s="88"/>
      <c r="G62" s="65"/>
      <c r="H62" s="70"/>
      <c r="I62" s="19"/>
      <c r="J62" s="25"/>
      <c r="L62" s="21"/>
      <c r="M62" s="22"/>
      <c r="N62" s="23"/>
    </row>
    <row r="63" spans="1:14" ht="15.75" hidden="1" customHeight="1">
      <c r="A63" s="41">
        <v>23</v>
      </c>
      <c r="B63" s="15" t="s">
        <v>48</v>
      </c>
      <c r="C63" s="17" t="s">
        <v>95</v>
      </c>
      <c r="D63" s="93" t="s">
        <v>68</v>
      </c>
      <c r="E63" s="19">
        <v>10</v>
      </c>
      <c r="F63" s="96">
        <v>10</v>
      </c>
      <c r="G63" s="13">
        <v>222.4</v>
      </c>
      <c r="H63" s="103">
        <f t="shared" ref="H63:H70" si="9">SUM(F63*G63/1000)</f>
        <v>2.2240000000000002</v>
      </c>
      <c r="I63" s="13">
        <v>0</v>
      </c>
      <c r="J63" s="25"/>
      <c r="L63" s="21"/>
      <c r="M63" s="22"/>
      <c r="N63" s="23"/>
    </row>
    <row r="64" spans="1:14" ht="15.75" hidden="1" customHeight="1">
      <c r="A64" s="31">
        <v>29</v>
      </c>
      <c r="B64" s="15" t="s">
        <v>49</v>
      </c>
      <c r="C64" s="17" t="s">
        <v>95</v>
      </c>
      <c r="D64" s="93" t="s">
        <v>68</v>
      </c>
      <c r="E64" s="19">
        <v>5</v>
      </c>
      <c r="F64" s="96">
        <v>5</v>
      </c>
      <c r="G64" s="13">
        <v>75.25</v>
      </c>
      <c r="H64" s="103">
        <f t="shared" si="9"/>
        <v>0.37624999999999997</v>
      </c>
      <c r="I64" s="13">
        <v>0</v>
      </c>
      <c r="J64" s="25"/>
      <c r="L64" s="21"/>
      <c r="M64" s="22"/>
      <c r="N64" s="23"/>
    </row>
    <row r="65" spans="1:14" ht="15.75" hidden="1" customHeight="1">
      <c r="A65" s="31">
        <v>8</v>
      </c>
      <c r="B65" s="15" t="s">
        <v>50</v>
      </c>
      <c r="C65" s="17" t="s">
        <v>126</v>
      </c>
      <c r="D65" s="15" t="s">
        <v>55</v>
      </c>
      <c r="E65" s="95">
        <v>13018</v>
      </c>
      <c r="F65" s="13">
        <f>SUM(E65/100)</f>
        <v>130.18</v>
      </c>
      <c r="G65" s="13">
        <v>212.15</v>
      </c>
      <c r="H65" s="103">
        <f t="shared" si="9"/>
        <v>27.617687</v>
      </c>
      <c r="I65" s="13">
        <v>0</v>
      </c>
      <c r="J65" s="25"/>
      <c r="L65" s="21"/>
      <c r="M65" s="22"/>
      <c r="N65" s="23"/>
    </row>
    <row r="66" spans="1:14" ht="15.75" hidden="1" customHeight="1">
      <c r="A66" s="31">
        <v>9</v>
      </c>
      <c r="B66" s="15" t="s">
        <v>51</v>
      </c>
      <c r="C66" s="17" t="s">
        <v>127</v>
      </c>
      <c r="D66" s="15"/>
      <c r="E66" s="95">
        <v>13018</v>
      </c>
      <c r="F66" s="13">
        <f>SUM(E66/1000)</f>
        <v>13.018000000000001</v>
      </c>
      <c r="G66" s="13">
        <v>165.21</v>
      </c>
      <c r="H66" s="103">
        <f t="shared" si="9"/>
        <v>2.1507037800000002</v>
      </c>
      <c r="I66" s="13">
        <v>0</v>
      </c>
      <c r="J66" s="25"/>
      <c r="L66" s="21"/>
      <c r="M66" s="22"/>
      <c r="N66" s="23"/>
    </row>
    <row r="67" spans="1:14" ht="15.75" hidden="1" customHeight="1">
      <c r="A67" s="31">
        <v>10</v>
      </c>
      <c r="B67" s="15" t="s">
        <v>52</v>
      </c>
      <c r="C67" s="17" t="s">
        <v>79</v>
      </c>
      <c r="D67" s="15" t="s">
        <v>55</v>
      </c>
      <c r="E67" s="95">
        <v>1279</v>
      </c>
      <c r="F67" s="13">
        <f>SUM(E67/100)</f>
        <v>12.79</v>
      </c>
      <c r="G67" s="13">
        <v>2074.63</v>
      </c>
      <c r="H67" s="103">
        <f t="shared" si="9"/>
        <v>26.534517700000002</v>
      </c>
      <c r="I67" s="13">
        <v>0</v>
      </c>
      <c r="J67" s="25"/>
      <c r="L67" s="21"/>
      <c r="M67" s="22"/>
      <c r="N67" s="23"/>
    </row>
    <row r="68" spans="1:14" ht="15.75" hidden="1" customHeight="1">
      <c r="A68" s="31">
        <v>11</v>
      </c>
      <c r="B68" s="104" t="s">
        <v>128</v>
      </c>
      <c r="C68" s="17" t="s">
        <v>33</v>
      </c>
      <c r="D68" s="15"/>
      <c r="E68" s="95">
        <v>12</v>
      </c>
      <c r="F68" s="13">
        <f>SUM(E68)</f>
        <v>12</v>
      </c>
      <c r="G68" s="13">
        <v>45.32</v>
      </c>
      <c r="H68" s="103">
        <f t="shared" si="9"/>
        <v>0.54383999999999999</v>
      </c>
      <c r="I68" s="13">
        <v>0</v>
      </c>
      <c r="J68" s="25"/>
      <c r="L68" s="21"/>
      <c r="M68" s="22"/>
      <c r="N68" s="23"/>
    </row>
    <row r="69" spans="1:14" ht="15.75" hidden="1" customHeight="1">
      <c r="A69" s="31">
        <v>12</v>
      </c>
      <c r="B69" s="104" t="s">
        <v>129</v>
      </c>
      <c r="C69" s="17" t="s">
        <v>33</v>
      </c>
      <c r="D69" s="15"/>
      <c r="E69" s="95">
        <v>12</v>
      </c>
      <c r="F69" s="13">
        <f>SUM(E69)</f>
        <v>12</v>
      </c>
      <c r="G69" s="13">
        <v>42.28</v>
      </c>
      <c r="H69" s="103">
        <f t="shared" si="9"/>
        <v>0.50736000000000003</v>
      </c>
      <c r="I69" s="13">
        <v>0</v>
      </c>
      <c r="J69" s="25"/>
      <c r="L69" s="21"/>
      <c r="M69" s="22"/>
      <c r="N69" s="23"/>
    </row>
    <row r="70" spans="1:14" ht="15.75" hidden="1" customHeight="1">
      <c r="A70" s="31">
        <v>13</v>
      </c>
      <c r="B70" s="15" t="s">
        <v>59</v>
      </c>
      <c r="C70" s="17" t="s">
        <v>60</v>
      </c>
      <c r="D70" s="15" t="s">
        <v>55</v>
      </c>
      <c r="E70" s="19">
        <v>1</v>
      </c>
      <c r="F70" s="96">
        <f>SUM(E70)</f>
        <v>1</v>
      </c>
      <c r="G70" s="13">
        <v>49.88</v>
      </c>
      <c r="H70" s="103">
        <f t="shared" si="9"/>
        <v>4.9880000000000001E-2</v>
      </c>
      <c r="I70" s="13">
        <v>0</v>
      </c>
      <c r="J70" s="25"/>
      <c r="L70" s="21"/>
      <c r="M70" s="22"/>
      <c r="N70" s="23"/>
    </row>
    <row r="71" spans="1:14" ht="15.75" customHeight="1">
      <c r="A71" s="53"/>
      <c r="B71" s="77" t="s">
        <v>130</v>
      </c>
      <c r="C71" s="77"/>
      <c r="D71" s="77"/>
      <c r="E71" s="77"/>
      <c r="F71" s="77"/>
      <c r="G71" s="77"/>
      <c r="H71" s="77"/>
      <c r="I71" s="19"/>
      <c r="J71" s="25"/>
      <c r="L71" s="21"/>
      <c r="M71" s="22"/>
      <c r="N71" s="23"/>
    </row>
    <row r="72" spans="1:14" ht="15.75" customHeight="1">
      <c r="A72" s="31">
        <v>16</v>
      </c>
      <c r="B72" s="93" t="s">
        <v>131</v>
      </c>
      <c r="C72" s="17"/>
      <c r="D72" s="15"/>
      <c r="E72" s="87"/>
      <c r="F72" s="13">
        <v>1</v>
      </c>
      <c r="G72" s="13">
        <v>10041.700000000001</v>
      </c>
      <c r="H72" s="103">
        <f>G72*F72/1000</f>
        <v>10.041700000000001</v>
      </c>
      <c r="I72" s="13">
        <f>G72</f>
        <v>10041.700000000001</v>
      </c>
      <c r="J72" s="25"/>
      <c r="L72" s="21"/>
      <c r="M72" s="22"/>
      <c r="N72" s="23"/>
    </row>
    <row r="73" spans="1:14" ht="15.75" hidden="1" customHeight="1">
      <c r="A73" s="31"/>
      <c r="B73" s="49" t="s">
        <v>75</v>
      </c>
      <c r="C73" s="49"/>
      <c r="D73" s="49"/>
      <c r="E73" s="19"/>
      <c r="F73" s="19"/>
      <c r="G73" s="31"/>
      <c r="H73" s="31"/>
      <c r="I73" s="19"/>
      <c r="J73" s="25"/>
      <c r="L73" s="21"/>
      <c r="M73" s="22"/>
      <c r="N73" s="23"/>
    </row>
    <row r="74" spans="1:14" ht="15.75" hidden="1" customHeight="1">
      <c r="A74" s="31">
        <v>19</v>
      </c>
      <c r="B74" s="15" t="s">
        <v>76</v>
      </c>
      <c r="C74" s="17" t="s">
        <v>77</v>
      </c>
      <c r="D74" s="15" t="s">
        <v>68</v>
      </c>
      <c r="E74" s="19">
        <v>5</v>
      </c>
      <c r="F74" s="13">
        <v>0.5</v>
      </c>
      <c r="G74" s="13">
        <v>501.62</v>
      </c>
      <c r="H74" s="103">
        <f t="shared" ref="H74:H76" si="10">SUM(F74*G74/1000)</f>
        <v>0.25080999999999998</v>
      </c>
      <c r="I74" s="13">
        <f>G74*0.1</f>
        <v>50.162000000000006</v>
      </c>
      <c r="J74" s="25"/>
      <c r="L74" s="21"/>
      <c r="M74" s="22"/>
      <c r="N74" s="23"/>
    </row>
    <row r="75" spans="1:14" ht="15.75" hidden="1" customHeight="1">
      <c r="A75" s="31"/>
      <c r="B75" s="15" t="s">
        <v>147</v>
      </c>
      <c r="C75" s="17" t="s">
        <v>95</v>
      </c>
      <c r="D75" s="15"/>
      <c r="E75" s="19">
        <v>1</v>
      </c>
      <c r="F75" s="86">
        <f>E75</f>
        <v>1</v>
      </c>
      <c r="G75" s="13">
        <v>852.99</v>
      </c>
      <c r="H75" s="103">
        <f t="shared" si="10"/>
        <v>0.85299000000000003</v>
      </c>
      <c r="I75" s="13">
        <v>0</v>
      </c>
      <c r="J75" s="25"/>
      <c r="L75" s="21"/>
      <c r="M75" s="22"/>
      <c r="N75" s="23"/>
    </row>
    <row r="76" spans="1:14" ht="15.75" hidden="1" customHeight="1">
      <c r="A76" s="31"/>
      <c r="B76" s="15" t="s">
        <v>148</v>
      </c>
      <c r="C76" s="17" t="s">
        <v>95</v>
      </c>
      <c r="D76" s="15"/>
      <c r="E76" s="19">
        <v>1</v>
      </c>
      <c r="F76" s="96">
        <f>SUM(E76)</f>
        <v>1</v>
      </c>
      <c r="G76" s="13">
        <v>358.51</v>
      </c>
      <c r="H76" s="103">
        <f t="shared" si="10"/>
        <v>0.35851</v>
      </c>
      <c r="I76" s="13">
        <v>0</v>
      </c>
      <c r="J76" s="25"/>
      <c r="L76" s="21"/>
      <c r="M76" s="22"/>
      <c r="N76" s="23"/>
    </row>
    <row r="77" spans="1:14" ht="15.75" hidden="1" customHeight="1">
      <c r="A77" s="31"/>
      <c r="B77" s="50" t="s">
        <v>78</v>
      </c>
      <c r="C77" s="38"/>
      <c r="D77" s="31"/>
      <c r="E77" s="19"/>
      <c r="F77" s="19"/>
      <c r="G77" s="37" t="s">
        <v>132</v>
      </c>
      <c r="H77" s="37"/>
      <c r="I77" s="19"/>
      <c r="J77" s="25"/>
      <c r="L77" s="21"/>
      <c r="M77" s="22"/>
      <c r="N77" s="23"/>
    </row>
    <row r="78" spans="1:14" ht="15.75" hidden="1" customHeight="1">
      <c r="A78" s="31">
        <v>12</v>
      </c>
      <c r="B78" s="52" t="s">
        <v>133</v>
      </c>
      <c r="C78" s="17" t="s">
        <v>79</v>
      </c>
      <c r="D78" s="15"/>
      <c r="E78" s="19"/>
      <c r="F78" s="13">
        <v>0.3</v>
      </c>
      <c r="G78" s="13">
        <v>2759.44</v>
      </c>
      <c r="H78" s="103">
        <f t="shared" ref="H78" si="11">SUM(F78*G78/1000)</f>
        <v>0.82783200000000001</v>
      </c>
      <c r="I78" s="13">
        <v>0</v>
      </c>
      <c r="J78" s="25"/>
      <c r="L78" s="21"/>
      <c r="M78" s="22"/>
      <c r="N78" s="23"/>
    </row>
    <row r="79" spans="1:14" ht="15.75" customHeight="1">
      <c r="A79" s="154" t="s">
        <v>172</v>
      </c>
      <c r="B79" s="155"/>
      <c r="C79" s="155"/>
      <c r="D79" s="155"/>
      <c r="E79" s="155"/>
      <c r="F79" s="155"/>
      <c r="G79" s="155"/>
      <c r="H79" s="155"/>
      <c r="I79" s="156"/>
      <c r="J79" s="25"/>
      <c r="L79" s="21"/>
      <c r="M79" s="22"/>
      <c r="N79" s="23"/>
    </row>
    <row r="80" spans="1:14" ht="15.75" customHeight="1">
      <c r="A80" s="31">
        <v>17</v>
      </c>
      <c r="B80" s="93" t="s">
        <v>134</v>
      </c>
      <c r="C80" s="17" t="s">
        <v>56</v>
      </c>
      <c r="D80" s="106" t="s">
        <v>57</v>
      </c>
      <c r="E80" s="13">
        <v>2581.1999999999998</v>
      </c>
      <c r="F80" s="13">
        <f>SUM(E80*12)</f>
        <v>30974.399999999998</v>
      </c>
      <c r="G80" s="13">
        <v>2.1</v>
      </c>
      <c r="H80" s="103">
        <f>SUM(F80*G80/1000)</f>
        <v>65.046239999999997</v>
      </c>
      <c r="I80" s="13">
        <f>F80/12*G80</f>
        <v>5420.5199999999995</v>
      </c>
      <c r="J80" s="25"/>
      <c r="L80" s="21"/>
    </row>
    <row r="81" spans="1:22" ht="31.5" customHeight="1">
      <c r="A81" s="31">
        <v>18</v>
      </c>
      <c r="B81" s="15" t="s">
        <v>80</v>
      </c>
      <c r="C81" s="17"/>
      <c r="D81" s="106" t="s">
        <v>57</v>
      </c>
      <c r="E81" s="95">
        <v>2581.1999999999998</v>
      </c>
      <c r="F81" s="13">
        <f>E81*12</f>
        <v>30974.399999999998</v>
      </c>
      <c r="G81" s="13">
        <v>1.63</v>
      </c>
      <c r="H81" s="103">
        <f>F81*G81/1000</f>
        <v>50.488271999999988</v>
      </c>
      <c r="I81" s="13">
        <f>F81/12*G81</f>
        <v>4207.3559999999998</v>
      </c>
    </row>
    <row r="82" spans="1:22" ht="15.75" customHeight="1">
      <c r="A82" s="53"/>
      <c r="B82" s="39" t="s">
        <v>83</v>
      </c>
      <c r="C82" s="41"/>
      <c r="D82" s="16"/>
      <c r="E82" s="16"/>
      <c r="F82" s="16"/>
      <c r="G82" s="19"/>
      <c r="H82" s="19"/>
      <c r="I82" s="33">
        <f>SUM(I16+I17+I18+I20+I21+I27+I28+I37+I38+I39+I40+I41+I42+I56+I59+I72+I80+I81)</f>
        <v>57651.387504999999</v>
      </c>
    </row>
    <row r="83" spans="1:22" ht="15.75" customHeight="1">
      <c r="A83" s="157" t="s">
        <v>62</v>
      </c>
      <c r="B83" s="158"/>
      <c r="C83" s="158"/>
      <c r="D83" s="158"/>
      <c r="E83" s="158"/>
      <c r="F83" s="158"/>
      <c r="G83" s="158"/>
      <c r="H83" s="158"/>
      <c r="I83" s="159"/>
    </row>
    <row r="84" spans="1:22" ht="15.75" customHeight="1">
      <c r="A84" s="31">
        <v>19</v>
      </c>
      <c r="B84" s="67" t="s">
        <v>107</v>
      </c>
      <c r="C84" s="68" t="s">
        <v>95</v>
      </c>
      <c r="D84" s="52"/>
      <c r="E84" s="13"/>
      <c r="F84" s="13">
        <v>368</v>
      </c>
      <c r="G84" s="13">
        <v>53.42</v>
      </c>
      <c r="H84" s="103" t="e">
        <f>#REF!*#REF!/1000</f>
        <v>#REF!</v>
      </c>
      <c r="I84" s="13">
        <f>G84*46</f>
        <v>2457.3200000000002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9"/>
    </row>
    <row r="85" spans="1:22" ht="31.5" customHeight="1">
      <c r="A85" s="31">
        <v>20</v>
      </c>
      <c r="B85" s="67" t="s">
        <v>93</v>
      </c>
      <c r="C85" s="68" t="s">
        <v>108</v>
      </c>
      <c r="D85" s="52"/>
      <c r="E85" s="13"/>
      <c r="F85" s="13">
        <v>8</v>
      </c>
      <c r="G85" s="13">
        <v>589.84</v>
      </c>
      <c r="H85" s="103">
        <f t="shared" ref="H85" si="12">G85*F85/1000</f>
        <v>4.7187200000000002</v>
      </c>
      <c r="I85" s="13">
        <f>G85*3</f>
        <v>1769.52</v>
      </c>
      <c r="J85" s="27"/>
      <c r="K85" s="27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2" ht="15.75" customHeight="1">
      <c r="A86" s="31">
        <v>21</v>
      </c>
      <c r="B86" s="67" t="s">
        <v>167</v>
      </c>
      <c r="C86" s="68" t="s">
        <v>168</v>
      </c>
      <c r="D86" s="52"/>
      <c r="E86" s="13"/>
      <c r="F86" s="13">
        <v>3.5</v>
      </c>
      <c r="G86" s="13">
        <v>1582</v>
      </c>
      <c r="H86" s="103">
        <f>G86*F86/1000</f>
        <v>5.5369999999999999</v>
      </c>
      <c r="I86" s="13">
        <f>G86*(1+1.5)</f>
        <v>3955</v>
      </c>
      <c r="J86" s="27"/>
      <c r="K86" s="27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2" ht="31.5" customHeight="1">
      <c r="A87" s="31">
        <v>22</v>
      </c>
      <c r="B87" s="67" t="s">
        <v>99</v>
      </c>
      <c r="C87" s="68" t="s">
        <v>100</v>
      </c>
      <c r="D87" s="52"/>
      <c r="E87" s="13"/>
      <c r="F87" s="13">
        <v>1</v>
      </c>
      <c r="G87" s="13">
        <v>54.17</v>
      </c>
      <c r="H87" s="103">
        <f>G87*F87/1000</f>
        <v>5.4170000000000003E-2</v>
      </c>
      <c r="I87" s="13">
        <f>G87</f>
        <v>54.17</v>
      </c>
      <c r="J87" s="27"/>
      <c r="K87" s="27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2" ht="31.5" customHeight="1">
      <c r="A88" s="31">
        <v>23</v>
      </c>
      <c r="B88" s="67" t="s">
        <v>82</v>
      </c>
      <c r="C88" s="68" t="s">
        <v>95</v>
      </c>
      <c r="D88" s="52"/>
      <c r="E88" s="13"/>
      <c r="F88" s="13">
        <v>3</v>
      </c>
      <c r="G88" s="13">
        <v>83.36</v>
      </c>
      <c r="H88" s="103">
        <f t="shared" ref="H88" si="13">G88*F88/1000</f>
        <v>0.25007999999999997</v>
      </c>
      <c r="I88" s="13">
        <f>G88</f>
        <v>83.36</v>
      </c>
      <c r="J88" s="27"/>
      <c r="K88" s="27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2" ht="15.75" customHeight="1">
      <c r="A89" s="31"/>
      <c r="B89" s="46" t="s">
        <v>53</v>
      </c>
      <c r="C89" s="42"/>
      <c r="D89" s="54"/>
      <c r="E89" s="42">
        <v>1</v>
      </c>
      <c r="F89" s="42"/>
      <c r="G89" s="42"/>
      <c r="H89" s="42"/>
      <c r="I89" s="33">
        <f>SUM(I84:I88)</f>
        <v>8319.3700000000008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1:22" ht="15.75" customHeight="1">
      <c r="A90" s="31"/>
      <c r="B90" s="52" t="s">
        <v>81</v>
      </c>
      <c r="C90" s="16"/>
      <c r="D90" s="16"/>
      <c r="E90" s="43"/>
      <c r="F90" s="43"/>
      <c r="G90" s="44"/>
      <c r="H90" s="44"/>
      <c r="I90" s="18">
        <v>0</v>
      </c>
    </row>
    <row r="91" spans="1:22" ht="15.75" customHeight="1">
      <c r="A91" s="55"/>
      <c r="B91" s="47" t="s">
        <v>157</v>
      </c>
      <c r="C91" s="36"/>
      <c r="D91" s="36"/>
      <c r="E91" s="36"/>
      <c r="F91" s="36"/>
      <c r="G91" s="36"/>
      <c r="H91" s="36"/>
      <c r="I91" s="45">
        <f>I82+I89</f>
        <v>65970.757505000001</v>
      </c>
    </row>
    <row r="92" spans="1:22" ht="15.75" customHeight="1">
      <c r="A92" s="153" t="s">
        <v>173</v>
      </c>
      <c r="B92" s="153"/>
      <c r="C92" s="153"/>
      <c r="D92" s="153"/>
      <c r="E92" s="153"/>
      <c r="F92" s="153"/>
      <c r="G92" s="153"/>
      <c r="H92" s="153"/>
      <c r="I92" s="153"/>
    </row>
    <row r="93" spans="1:22" ht="15.75" customHeight="1">
      <c r="A93" s="79"/>
      <c r="B93" s="134" t="s">
        <v>174</v>
      </c>
      <c r="C93" s="134"/>
      <c r="D93" s="134"/>
      <c r="E93" s="134"/>
      <c r="F93" s="134"/>
      <c r="G93" s="134"/>
      <c r="H93" s="91"/>
      <c r="I93" s="3"/>
    </row>
    <row r="94" spans="1:22" ht="15.75" customHeight="1">
      <c r="A94" s="72"/>
      <c r="B94" s="135" t="s">
        <v>6</v>
      </c>
      <c r="C94" s="135"/>
      <c r="D94" s="135"/>
      <c r="E94" s="135"/>
      <c r="F94" s="135"/>
      <c r="G94" s="135"/>
      <c r="H94" s="26"/>
      <c r="I94" s="5"/>
    </row>
    <row r="95" spans="1:22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22" ht="15.75" customHeight="1">
      <c r="A96" s="136" t="s">
        <v>7</v>
      </c>
      <c r="B96" s="136"/>
      <c r="C96" s="136"/>
      <c r="D96" s="136"/>
      <c r="E96" s="136"/>
      <c r="F96" s="136"/>
      <c r="G96" s="136"/>
      <c r="H96" s="136"/>
      <c r="I96" s="136"/>
    </row>
    <row r="97" spans="1:9" ht="15.75" customHeight="1">
      <c r="A97" s="136" t="s">
        <v>8</v>
      </c>
      <c r="B97" s="136"/>
      <c r="C97" s="136"/>
      <c r="D97" s="136"/>
      <c r="E97" s="136"/>
      <c r="F97" s="136"/>
      <c r="G97" s="136"/>
      <c r="H97" s="136"/>
      <c r="I97" s="136"/>
    </row>
    <row r="98" spans="1:9" ht="15.75" customHeight="1">
      <c r="A98" s="139" t="s">
        <v>63</v>
      </c>
      <c r="B98" s="139"/>
      <c r="C98" s="139"/>
      <c r="D98" s="139"/>
      <c r="E98" s="139"/>
      <c r="F98" s="139"/>
      <c r="G98" s="139"/>
      <c r="H98" s="139"/>
      <c r="I98" s="139"/>
    </row>
    <row r="99" spans="1:9" ht="15.75" customHeight="1">
      <c r="A99" s="11"/>
    </row>
    <row r="100" spans="1:9" ht="15.75" customHeight="1">
      <c r="A100" s="140" t="s">
        <v>9</v>
      </c>
      <c r="B100" s="140"/>
      <c r="C100" s="140"/>
      <c r="D100" s="140"/>
      <c r="E100" s="140"/>
      <c r="F100" s="140"/>
      <c r="G100" s="140"/>
      <c r="H100" s="140"/>
      <c r="I100" s="140"/>
    </row>
    <row r="101" spans="1:9" ht="15.75" customHeight="1">
      <c r="A101" s="4"/>
    </row>
    <row r="102" spans="1:9" ht="15.75" customHeight="1">
      <c r="B102" s="75" t="s">
        <v>10</v>
      </c>
      <c r="C102" s="141" t="s">
        <v>94</v>
      </c>
      <c r="D102" s="141"/>
      <c r="E102" s="141"/>
      <c r="F102" s="89"/>
      <c r="I102" s="74"/>
    </row>
    <row r="103" spans="1:9" ht="15.75" customHeight="1">
      <c r="A103" s="72"/>
      <c r="C103" s="135" t="s">
        <v>11</v>
      </c>
      <c r="D103" s="135"/>
      <c r="E103" s="135"/>
      <c r="F103" s="26"/>
      <c r="I103" s="73" t="s">
        <v>12</v>
      </c>
    </row>
    <row r="104" spans="1:9" ht="15.75" customHeight="1">
      <c r="A104" s="27"/>
      <c r="C104" s="12"/>
      <c r="D104" s="12"/>
      <c r="G104" s="12"/>
      <c r="H104" s="12"/>
    </row>
    <row r="105" spans="1:9" ht="15.75" customHeight="1">
      <c r="B105" s="75" t="s">
        <v>13</v>
      </c>
      <c r="C105" s="142"/>
      <c r="D105" s="142"/>
      <c r="E105" s="142"/>
      <c r="F105" s="90"/>
      <c r="I105" s="74"/>
    </row>
    <row r="106" spans="1:9" ht="15.75" customHeight="1">
      <c r="A106" s="72"/>
      <c r="C106" s="138" t="s">
        <v>11</v>
      </c>
      <c r="D106" s="138"/>
      <c r="E106" s="138"/>
      <c r="F106" s="72"/>
      <c r="I106" s="73" t="s">
        <v>12</v>
      </c>
    </row>
    <row r="107" spans="1:9" ht="15.75" customHeight="1">
      <c r="A107" s="4" t="s">
        <v>14</v>
      </c>
    </row>
    <row r="108" spans="1:9">
      <c r="A108" s="137" t="s">
        <v>15</v>
      </c>
      <c r="B108" s="137"/>
      <c r="C108" s="137"/>
      <c r="D108" s="137"/>
      <c r="E108" s="137"/>
      <c r="F108" s="137"/>
      <c r="G108" s="137"/>
      <c r="H108" s="137"/>
      <c r="I108" s="137"/>
    </row>
    <row r="109" spans="1:9" ht="45" customHeight="1">
      <c r="A109" s="133" t="s">
        <v>16</v>
      </c>
      <c r="B109" s="133"/>
      <c r="C109" s="133"/>
      <c r="D109" s="133"/>
      <c r="E109" s="133"/>
      <c r="F109" s="133"/>
      <c r="G109" s="133"/>
      <c r="H109" s="133"/>
      <c r="I109" s="133"/>
    </row>
    <row r="110" spans="1:9" ht="30" customHeight="1">
      <c r="A110" s="133" t="s">
        <v>17</v>
      </c>
      <c r="B110" s="133"/>
      <c r="C110" s="133"/>
      <c r="D110" s="133"/>
      <c r="E110" s="133"/>
      <c r="F110" s="133"/>
      <c r="G110" s="133"/>
      <c r="H110" s="133"/>
      <c r="I110" s="133"/>
    </row>
    <row r="111" spans="1:9" ht="30" customHeight="1">
      <c r="A111" s="133" t="s">
        <v>21</v>
      </c>
      <c r="B111" s="133"/>
      <c r="C111" s="133"/>
      <c r="D111" s="133"/>
      <c r="E111" s="133"/>
      <c r="F111" s="133"/>
      <c r="G111" s="133"/>
      <c r="H111" s="133"/>
      <c r="I111" s="133"/>
    </row>
    <row r="112" spans="1:9" ht="15" customHeight="1">
      <c r="A112" s="133" t="s">
        <v>20</v>
      </c>
      <c r="B112" s="133"/>
      <c r="C112" s="133"/>
      <c r="D112" s="133"/>
      <c r="E112" s="133"/>
      <c r="F112" s="133"/>
      <c r="G112" s="133"/>
      <c r="H112" s="133"/>
      <c r="I112" s="133"/>
    </row>
  </sheetData>
  <autoFilter ref="I12:I82"/>
  <mergeCells count="28">
    <mergeCell ref="A14:I14"/>
    <mergeCell ref="A3:I3"/>
    <mergeCell ref="A4:I4"/>
    <mergeCell ref="A5:I5"/>
    <mergeCell ref="A8:I8"/>
    <mergeCell ref="A10:I10"/>
    <mergeCell ref="A98:I98"/>
    <mergeCell ref="A15:I15"/>
    <mergeCell ref="A29:I29"/>
    <mergeCell ref="A43:I43"/>
    <mergeCell ref="A54:I54"/>
    <mergeCell ref="A79:I79"/>
    <mergeCell ref="A83:I83"/>
    <mergeCell ref="A92:I92"/>
    <mergeCell ref="B93:G93"/>
    <mergeCell ref="B94:G94"/>
    <mergeCell ref="A96:I96"/>
    <mergeCell ref="A97:I97"/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91</v>
      </c>
      <c r="I1" s="28"/>
      <c r="J1" s="1"/>
      <c r="K1" s="1"/>
      <c r="L1" s="1"/>
      <c r="M1" s="1"/>
    </row>
    <row r="2" spans="1:13" ht="15.75" customHeight="1">
      <c r="A2" s="30" t="s">
        <v>64</v>
      </c>
      <c r="J2" s="2"/>
      <c r="K2" s="2"/>
      <c r="L2" s="2"/>
      <c r="M2" s="2"/>
    </row>
    <row r="3" spans="1:13" ht="15.75" customHeight="1">
      <c r="A3" s="143" t="s">
        <v>175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135</v>
      </c>
      <c r="B4" s="144"/>
      <c r="C4" s="144"/>
      <c r="D4" s="144"/>
      <c r="E4" s="144"/>
      <c r="F4" s="144"/>
      <c r="G4" s="144"/>
      <c r="H4" s="144"/>
      <c r="I4" s="144"/>
    </row>
    <row r="5" spans="1:13" ht="15.75" customHeight="1">
      <c r="A5" s="143" t="s">
        <v>176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2">
        <v>42886</v>
      </c>
      <c r="J6" s="2"/>
      <c r="K6" s="2"/>
      <c r="L6" s="2"/>
      <c r="M6" s="2"/>
    </row>
    <row r="7" spans="1:13" ht="15.75" customHeight="1">
      <c r="B7" s="75"/>
      <c r="C7" s="75"/>
      <c r="D7" s="75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45" t="s">
        <v>201</v>
      </c>
      <c r="B8" s="145"/>
      <c r="C8" s="145"/>
      <c r="D8" s="145"/>
      <c r="E8" s="145"/>
      <c r="F8" s="145"/>
      <c r="G8" s="145"/>
      <c r="H8" s="145"/>
      <c r="I8" s="145"/>
      <c r="J8" s="78"/>
      <c r="K8" s="78"/>
      <c r="L8" s="78"/>
      <c r="M8" s="78"/>
    </row>
    <row r="9" spans="1:13" ht="15.75">
      <c r="A9" s="4"/>
      <c r="J9" s="2"/>
      <c r="K9" s="2"/>
      <c r="L9" s="2"/>
      <c r="M9" s="2"/>
    </row>
    <row r="10" spans="1:13" ht="47.25" customHeight="1">
      <c r="A10" s="146" t="s">
        <v>202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8" t="s">
        <v>61</v>
      </c>
      <c r="B14" s="148"/>
      <c r="C14" s="148"/>
      <c r="D14" s="148"/>
      <c r="E14" s="148"/>
      <c r="F14" s="148"/>
      <c r="G14" s="148"/>
      <c r="H14" s="148"/>
      <c r="I14" s="148"/>
      <c r="J14" s="8"/>
      <c r="K14" s="8"/>
      <c r="L14" s="8"/>
      <c r="M14" s="8"/>
    </row>
    <row r="15" spans="1:13" ht="15.75" customHeight="1">
      <c r="A15" s="149" t="s">
        <v>4</v>
      </c>
      <c r="B15" s="149"/>
      <c r="C15" s="149"/>
      <c r="D15" s="149"/>
      <c r="E15" s="149"/>
      <c r="F15" s="149"/>
      <c r="G15" s="149"/>
      <c r="H15" s="149"/>
      <c r="I15" s="149"/>
      <c r="J15" s="8"/>
      <c r="K15" s="8"/>
      <c r="L15" s="8"/>
      <c r="M15" s="8"/>
    </row>
    <row r="16" spans="1:13" ht="15.75" customHeight="1">
      <c r="A16" s="31">
        <v>1</v>
      </c>
      <c r="B16" s="93" t="s">
        <v>92</v>
      </c>
      <c r="C16" s="94" t="s">
        <v>102</v>
      </c>
      <c r="D16" s="93" t="s">
        <v>140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8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111</v>
      </c>
      <c r="C17" s="94" t="s">
        <v>102</v>
      </c>
      <c r="D17" s="93" t="s">
        <v>141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112</v>
      </c>
      <c r="C18" s="94" t="s">
        <v>102</v>
      </c>
      <c r="D18" s="93" t="s">
        <v>142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customHeight="1">
      <c r="A19" s="31">
        <v>4</v>
      </c>
      <c r="B19" s="93" t="s">
        <v>136</v>
      </c>
      <c r="C19" s="94" t="s">
        <v>137</v>
      </c>
      <c r="D19" s="93" t="s">
        <v>138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f>F19/2*G19</f>
        <v>157.22784000000001</v>
      </c>
      <c r="J19" s="8"/>
      <c r="K19" s="8"/>
      <c r="L19" s="8"/>
      <c r="M19" s="8"/>
    </row>
    <row r="20" spans="1:13" ht="15.75" customHeight="1">
      <c r="A20" s="31">
        <v>5</v>
      </c>
      <c r="B20" s="93" t="s">
        <v>101</v>
      </c>
      <c r="C20" s="94" t="s">
        <v>102</v>
      </c>
      <c r="D20" s="93" t="s">
        <v>30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6</v>
      </c>
      <c r="B21" s="93" t="s">
        <v>109</v>
      </c>
      <c r="C21" s="94" t="s">
        <v>102</v>
      </c>
      <c r="D21" s="93" t="s">
        <v>30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customHeight="1">
      <c r="A22" s="31">
        <v>7</v>
      </c>
      <c r="B22" s="93" t="s">
        <v>103</v>
      </c>
      <c r="C22" s="94" t="s">
        <v>54</v>
      </c>
      <c r="D22" s="93" t="s">
        <v>138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f>F22*G22</f>
        <v>720.94365000000005</v>
      </c>
      <c r="J22" s="8"/>
      <c r="K22" s="8"/>
      <c r="L22" s="8"/>
      <c r="M22" s="8"/>
    </row>
    <row r="23" spans="1:13" ht="15.75" customHeight="1">
      <c r="A23" s="31">
        <v>8</v>
      </c>
      <c r="B23" s="93" t="s">
        <v>104</v>
      </c>
      <c r="C23" s="94" t="s">
        <v>54</v>
      </c>
      <c r="D23" s="93" t="s">
        <v>138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f t="shared" ref="I23:I26" si="1">F23*G23</f>
        <v>9.6552199999999999</v>
      </c>
      <c r="J23" s="8"/>
      <c r="K23" s="8"/>
      <c r="L23" s="8"/>
      <c r="M23" s="8"/>
    </row>
    <row r="24" spans="1:13" ht="15.75" customHeight="1">
      <c r="A24" s="31">
        <v>9</v>
      </c>
      <c r="B24" s="93" t="s">
        <v>105</v>
      </c>
      <c r="C24" s="94" t="s">
        <v>54</v>
      </c>
      <c r="D24" s="93" t="s">
        <v>139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f t="shared" si="1"/>
        <v>58.457999999999998</v>
      </c>
      <c r="J24" s="8"/>
      <c r="K24" s="8"/>
      <c r="L24" s="8"/>
      <c r="M24" s="8"/>
    </row>
    <row r="25" spans="1:13" ht="15.75" customHeight="1">
      <c r="A25" s="31">
        <v>10</v>
      </c>
      <c r="B25" s="93" t="s">
        <v>110</v>
      </c>
      <c r="C25" s="94" t="s">
        <v>102</v>
      </c>
      <c r="D25" s="93" t="s">
        <v>55</v>
      </c>
      <c r="E25" s="95">
        <v>14.25</v>
      </c>
      <c r="F25" s="96">
        <v>0.1</v>
      </c>
      <c r="G25" s="96">
        <v>216.12</v>
      </c>
      <c r="H25" s="97">
        <v>3.1E-2</v>
      </c>
      <c r="I25" s="13">
        <f t="shared" si="1"/>
        <v>21.612000000000002</v>
      </c>
      <c r="J25" s="8"/>
      <c r="K25" s="8"/>
      <c r="L25" s="8"/>
      <c r="M25" s="8"/>
    </row>
    <row r="26" spans="1:13" ht="15.75" customHeight="1">
      <c r="A26" s="31">
        <v>11</v>
      </c>
      <c r="B26" s="93" t="s">
        <v>106</v>
      </c>
      <c r="C26" s="94" t="s">
        <v>54</v>
      </c>
      <c r="D26" s="93" t="s">
        <v>138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f t="shared" si="1"/>
        <v>33.227039999999995</v>
      </c>
      <c r="J26" s="8"/>
      <c r="K26" s="8"/>
      <c r="L26" s="8"/>
      <c r="M26" s="8"/>
    </row>
    <row r="27" spans="1:13" ht="15.75" customHeight="1">
      <c r="A27" s="31">
        <v>12</v>
      </c>
      <c r="B27" s="93" t="s">
        <v>66</v>
      </c>
      <c r="C27" s="94" t="s">
        <v>33</v>
      </c>
      <c r="D27" s="34" t="s">
        <v>90</v>
      </c>
      <c r="E27" s="95">
        <v>0.1</v>
      </c>
      <c r="F27" s="96">
        <f>SUM(E27*365)</f>
        <v>36.5</v>
      </c>
      <c r="G27" s="96">
        <v>147.03</v>
      </c>
      <c r="H27" s="97">
        <f t="shared" si="0"/>
        <v>5.3665950000000002</v>
      </c>
      <c r="I27" s="13">
        <f>F27/12*G27</f>
        <v>447.21625</v>
      </c>
      <c r="J27" s="8"/>
      <c r="K27" s="8"/>
      <c r="L27" s="8"/>
      <c r="M27" s="8"/>
    </row>
    <row r="28" spans="1:13" ht="15.75" customHeight="1">
      <c r="A28" s="31">
        <v>13</v>
      </c>
      <c r="B28" s="99" t="s">
        <v>23</v>
      </c>
      <c r="C28" s="94" t="s">
        <v>24</v>
      </c>
      <c r="D28" s="34" t="s">
        <v>90</v>
      </c>
      <c r="E28" s="95">
        <v>2581.1999999999998</v>
      </c>
      <c r="F28" s="96">
        <f>SUM(E28*12)</f>
        <v>30974.399999999998</v>
      </c>
      <c r="G28" s="96">
        <v>4.8099999999999996</v>
      </c>
      <c r="H28" s="97">
        <f t="shared" si="0"/>
        <v>148.98686399999997</v>
      </c>
      <c r="I28" s="13">
        <f>F28/12*G28</f>
        <v>12415.571999999998</v>
      </c>
      <c r="J28" s="24"/>
      <c r="K28" s="8"/>
      <c r="L28" s="8"/>
      <c r="M28" s="8"/>
    </row>
    <row r="29" spans="1:13" ht="15.75" customHeight="1">
      <c r="A29" s="149" t="s">
        <v>89</v>
      </c>
      <c r="B29" s="149"/>
      <c r="C29" s="149"/>
      <c r="D29" s="149"/>
      <c r="E29" s="149"/>
      <c r="F29" s="149"/>
      <c r="G29" s="149"/>
      <c r="H29" s="149"/>
      <c r="I29" s="149"/>
      <c r="J29" s="24"/>
      <c r="K29" s="8"/>
      <c r="L29" s="8"/>
      <c r="M29" s="8"/>
    </row>
    <row r="30" spans="1:13" ht="15.75" customHeight="1">
      <c r="A30" s="41"/>
      <c r="B30" s="51" t="s">
        <v>28</v>
      </c>
      <c r="C30" s="51"/>
      <c r="D30" s="51"/>
      <c r="E30" s="51"/>
      <c r="F30" s="51"/>
      <c r="G30" s="51"/>
      <c r="H30" s="51"/>
      <c r="I30" s="19"/>
      <c r="J30" s="24"/>
      <c r="K30" s="8"/>
      <c r="L30" s="8"/>
      <c r="M30" s="8"/>
    </row>
    <row r="31" spans="1:13" ht="15.75" customHeight="1">
      <c r="A31" s="41">
        <v>14</v>
      </c>
      <c r="B31" s="93" t="s">
        <v>114</v>
      </c>
      <c r="C31" s="94" t="s">
        <v>115</v>
      </c>
      <c r="D31" s="93" t="s">
        <v>116</v>
      </c>
      <c r="E31" s="96">
        <v>1167.4000000000001</v>
      </c>
      <c r="F31" s="96">
        <f>SUM(E31*52/1000)</f>
        <v>60.704800000000006</v>
      </c>
      <c r="G31" s="96">
        <v>155.88999999999999</v>
      </c>
      <c r="H31" s="97">
        <f t="shared" ref="H31:H33" si="2">SUM(F31*G31/1000)</f>
        <v>9.4632712720000001</v>
      </c>
      <c r="I31" s="13">
        <f>F31/6*G31</f>
        <v>1577.2118786666665</v>
      </c>
      <c r="J31" s="24"/>
      <c r="K31" s="8"/>
      <c r="L31" s="8"/>
      <c r="M31" s="8"/>
    </row>
    <row r="32" spans="1:13" ht="31.5" customHeight="1">
      <c r="A32" s="41">
        <v>15</v>
      </c>
      <c r="B32" s="93" t="s">
        <v>154</v>
      </c>
      <c r="C32" s="94" t="s">
        <v>115</v>
      </c>
      <c r="D32" s="93" t="s">
        <v>117</v>
      </c>
      <c r="E32" s="96">
        <v>540.04999999999995</v>
      </c>
      <c r="F32" s="96">
        <f>SUM(E32*78/1000)</f>
        <v>42.123899999999992</v>
      </c>
      <c r="G32" s="96">
        <v>258.63</v>
      </c>
      <c r="H32" s="97">
        <f t="shared" si="2"/>
        <v>10.894504256999998</v>
      </c>
      <c r="I32" s="13">
        <f t="shared" ref="I32:I34" si="3">F32/6*G32</f>
        <v>1815.7507094999996</v>
      </c>
      <c r="J32" s="24"/>
      <c r="K32" s="8"/>
      <c r="L32" s="8"/>
      <c r="M32" s="8"/>
    </row>
    <row r="33" spans="1:13" ht="15.75" customHeight="1">
      <c r="A33" s="41">
        <v>16</v>
      </c>
      <c r="B33" s="93" t="s">
        <v>27</v>
      </c>
      <c r="C33" s="94" t="s">
        <v>115</v>
      </c>
      <c r="D33" s="93" t="s">
        <v>55</v>
      </c>
      <c r="E33" s="96">
        <v>1167.4000000000001</v>
      </c>
      <c r="F33" s="96">
        <f>SUM(E33/1000)</f>
        <v>1.1674</v>
      </c>
      <c r="G33" s="96">
        <v>3020.33</v>
      </c>
      <c r="H33" s="97">
        <f t="shared" si="2"/>
        <v>3.5259332420000002</v>
      </c>
      <c r="I33" s="13">
        <f>F33*G33</f>
        <v>3525.9332420000001</v>
      </c>
      <c r="J33" s="24"/>
      <c r="K33" s="8"/>
      <c r="L33" s="8"/>
      <c r="M33" s="8"/>
    </row>
    <row r="34" spans="1:13" ht="15.75" customHeight="1">
      <c r="A34" s="41">
        <v>17</v>
      </c>
      <c r="B34" s="93" t="s">
        <v>118</v>
      </c>
      <c r="C34" s="94" t="s">
        <v>31</v>
      </c>
      <c r="D34" s="93" t="s">
        <v>65</v>
      </c>
      <c r="E34" s="100">
        <v>0.33333333333333331</v>
      </c>
      <c r="F34" s="96">
        <f>155/3</f>
        <v>51.666666666666664</v>
      </c>
      <c r="G34" s="96">
        <v>56.69</v>
      </c>
      <c r="H34" s="97">
        <f>SUM(G34*155/3/1000)</f>
        <v>2.9289833333333331</v>
      </c>
      <c r="I34" s="13">
        <f t="shared" si="3"/>
        <v>488.16388888888883</v>
      </c>
      <c r="J34" s="24"/>
      <c r="K34" s="8"/>
      <c r="L34" s="8"/>
      <c r="M34" s="8"/>
    </row>
    <row r="35" spans="1:13" ht="15.75" hidden="1" customHeight="1">
      <c r="A35" s="41">
        <v>4</v>
      </c>
      <c r="B35" s="93" t="s">
        <v>67</v>
      </c>
      <c r="C35" s="94" t="s">
        <v>33</v>
      </c>
      <c r="D35" s="93" t="s">
        <v>68</v>
      </c>
      <c r="E35" s="95"/>
      <c r="F35" s="96">
        <v>3</v>
      </c>
      <c r="G35" s="96">
        <v>191.32</v>
      </c>
      <c r="H35" s="97">
        <f t="shared" ref="H35" si="4">SUM(F35*G35/1000)</f>
        <v>0.57396000000000003</v>
      </c>
      <c r="I35" s="13">
        <v>0</v>
      </c>
      <c r="J35" s="24"/>
      <c r="K35" s="8"/>
      <c r="L35" s="8"/>
      <c r="M35" s="8"/>
    </row>
    <row r="36" spans="1:13" ht="15.75" hidden="1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9"/>
      <c r="J36" s="24"/>
      <c r="K36" s="8"/>
      <c r="L36" s="8"/>
      <c r="M36" s="8"/>
    </row>
    <row r="37" spans="1:13" ht="15.75" hidden="1" customHeight="1">
      <c r="A37" s="41">
        <v>8</v>
      </c>
      <c r="B37" s="93" t="s">
        <v>26</v>
      </c>
      <c r="C37" s="94" t="s">
        <v>32</v>
      </c>
      <c r="D37" s="93"/>
      <c r="E37" s="95"/>
      <c r="F37" s="96">
        <v>6</v>
      </c>
      <c r="G37" s="96">
        <v>1527.2</v>
      </c>
      <c r="H37" s="97">
        <f t="shared" ref="H37:H42" si="5">SUM(F37*G37/1000)</f>
        <v>9.1632000000000016</v>
      </c>
      <c r="I37" s="13">
        <f t="shared" ref="I37:I42" si="6">F37/6*G37</f>
        <v>1527.2</v>
      </c>
      <c r="J37" s="24"/>
      <c r="K37" s="8"/>
      <c r="L37" s="8"/>
      <c r="M37" s="8"/>
    </row>
    <row r="38" spans="1:13" ht="15.75" hidden="1" customHeight="1">
      <c r="A38" s="35">
        <v>9</v>
      </c>
      <c r="B38" s="93" t="s">
        <v>69</v>
      </c>
      <c r="C38" s="94" t="s">
        <v>29</v>
      </c>
      <c r="D38" s="93" t="s">
        <v>143</v>
      </c>
      <c r="E38" s="96">
        <v>1080.0999999999999</v>
      </c>
      <c r="F38" s="96">
        <f>SUM(E38*30/1000)</f>
        <v>32.402999999999999</v>
      </c>
      <c r="G38" s="96">
        <v>2102.6999999999998</v>
      </c>
      <c r="H38" s="97">
        <f t="shared" si="5"/>
        <v>68.13378809999999</v>
      </c>
      <c r="I38" s="13">
        <f t="shared" si="6"/>
        <v>11355.63135</v>
      </c>
      <c r="J38" s="24"/>
      <c r="K38" s="8"/>
      <c r="L38" s="8"/>
      <c r="M38" s="8"/>
    </row>
    <row r="39" spans="1:13" ht="15.75" hidden="1" customHeight="1">
      <c r="A39" s="35">
        <v>10</v>
      </c>
      <c r="B39" s="93" t="s">
        <v>70</v>
      </c>
      <c r="C39" s="94" t="s">
        <v>29</v>
      </c>
      <c r="D39" s="93" t="s">
        <v>119</v>
      </c>
      <c r="E39" s="96">
        <v>45</v>
      </c>
      <c r="F39" s="96">
        <f>SUM(E39*155/1000)</f>
        <v>6.9749999999999996</v>
      </c>
      <c r="G39" s="96">
        <v>350.75</v>
      </c>
      <c r="H39" s="97">
        <f t="shared" si="5"/>
        <v>2.4464812499999997</v>
      </c>
      <c r="I39" s="13">
        <f t="shared" si="6"/>
        <v>407.74687499999993</v>
      </c>
      <c r="J39" s="24"/>
      <c r="K39" s="8"/>
      <c r="L39" s="8"/>
      <c r="M39" s="8"/>
    </row>
    <row r="40" spans="1:13" ht="47.25" hidden="1" customHeight="1">
      <c r="A40" s="35">
        <v>11</v>
      </c>
      <c r="B40" s="93" t="s">
        <v>87</v>
      </c>
      <c r="C40" s="94" t="s">
        <v>115</v>
      </c>
      <c r="D40" s="93" t="s">
        <v>71</v>
      </c>
      <c r="E40" s="96">
        <v>45</v>
      </c>
      <c r="F40" s="96">
        <f>SUM(E40*70/1000)</f>
        <v>3.15</v>
      </c>
      <c r="G40" s="96">
        <v>5803.28</v>
      </c>
      <c r="H40" s="97">
        <f t="shared" si="5"/>
        <v>18.280331999999998</v>
      </c>
      <c r="I40" s="13">
        <f t="shared" si="6"/>
        <v>3046.7220000000002</v>
      </c>
      <c r="J40" s="24"/>
      <c r="K40" s="8"/>
      <c r="L40" s="8"/>
      <c r="M40" s="8"/>
    </row>
    <row r="41" spans="1:13" ht="15.75" hidden="1" customHeight="1">
      <c r="A41" s="35">
        <v>12</v>
      </c>
      <c r="B41" s="93" t="s">
        <v>120</v>
      </c>
      <c r="C41" s="94" t="s">
        <v>115</v>
      </c>
      <c r="D41" s="93" t="s">
        <v>72</v>
      </c>
      <c r="E41" s="96">
        <v>45</v>
      </c>
      <c r="F41" s="96">
        <f>SUM(E41*45/1000)</f>
        <v>2.0249999999999999</v>
      </c>
      <c r="G41" s="96">
        <v>428.7</v>
      </c>
      <c r="H41" s="97">
        <f t="shared" si="5"/>
        <v>0.86811749999999999</v>
      </c>
      <c r="I41" s="13">
        <f t="shared" si="6"/>
        <v>144.68624999999997</v>
      </c>
      <c r="J41" s="24"/>
      <c r="K41" s="8"/>
      <c r="L41" s="8"/>
      <c r="M41" s="8"/>
    </row>
    <row r="42" spans="1:13" ht="15.75" hidden="1" customHeight="1">
      <c r="A42" s="35">
        <v>13</v>
      </c>
      <c r="B42" s="93" t="s">
        <v>73</v>
      </c>
      <c r="C42" s="94" t="s">
        <v>33</v>
      </c>
      <c r="D42" s="93"/>
      <c r="E42" s="95"/>
      <c r="F42" s="96">
        <v>0.6</v>
      </c>
      <c r="G42" s="96">
        <v>798</v>
      </c>
      <c r="H42" s="97">
        <f t="shared" si="5"/>
        <v>0.47879999999999995</v>
      </c>
      <c r="I42" s="13">
        <f t="shared" si="6"/>
        <v>79.8</v>
      </c>
      <c r="J42" s="24"/>
      <c r="K42" s="8"/>
      <c r="L42" s="8"/>
      <c r="M42" s="8"/>
    </row>
    <row r="43" spans="1:13" ht="15.75" customHeight="1">
      <c r="A43" s="150" t="s">
        <v>151</v>
      </c>
      <c r="B43" s="151"/>
      <c r="C43" s="151"/>
      <c r="D43" s="151"/>
      <c r="E43" s="151"/>
      <c r="F43" s="151"/>
      <c r="G43" s="151"/>
      <c r="H43" s="151"/>
      <c r="I43" s="152"/>
      <c r="J43" s="24"/>
      <c r="K43" s="8"/>
      <c r="L43" s="8"/>
      <c r="M43" s="8"/>
    </row>
    <row r="44" spans="1:13" ht="15.75" customHeight="1">
      <c r="A44" s="41">
        <v>18</v>
      </c>
      <c r="B44" s="93" t="s">
        <v>121</v>
      </c>
      <c r="C44" s="94" t="s">
        <v>115</v>
      </c>
      <c r="D44" s="93" t="s">
        <v>43</v>
      </c>
      <c r="E44" s="95">
        <v>965.8</v>
      </c>
      <c r="F44" s="96">
        <f>SUM(E44*2/1000)</f>
        <v>1.9316</v>
      </c>
      <c r="G44" s="13">
        <v>849.49</v>
      </c>
      <c r="H44" s="97">
        <f t="shared" ref="H44:H53" si="7">SUM(F44*G44/1000)</f>
        <v>1.640874884</v>
      </c>
      <c r="I44" s="13">
        <f t="shared" ref="I44:I47" si="8">F44/2*G44</f>
        <v>820.43744200000003</v>
      </c>
      <c r="J44" s="24"/>
      <c r="K44" s="8"/>
    </row>
    <row r="45" spans="1:13" ht="15.75" customHeight="1">
      <c r="A45" s="41">
        <v>19</v>
      </c>
      <c r="B45" s="93" t="s">
        <v>36</v>
      </c>
      <c r="C45" s="94" t="s">
        <v>115</v>
      </c>
      <c r="D45" s="93" t="s">
        <v>43</v>
      </c>
      <c r="E45" s="95">
        <v>36</v>
      </c>
      <c r="F45" s="96">
        <f>SUM(E45*2/1000)</f>
        <v>7.1999999999999995E-2</v>
      </c>
      <c r="G45" s="13">
        <v>579.48</v>
      </c>
      <c r="H45" s="97">
        <f t="shared" si="7"/>
        <v>4.1722559999999999E-2</v>
      </c>
      <c r="I45" s="13">
        <f t="shared" si="8"/>
        <v>20.861280000000001</v>
      </c>
      <c r="J45" s="25"/>
    </row>
    <row r="46" spans="1:13" ht="15.75" customHeight="1">
      <c r="A46" s="41">
        <v>20</v>
      </c>
      <c r="B46" s="93" t="s">
        <v>37</v>
      </c>
      <c r="C46" s="94" t="s">
        <v>115</v>
      </c>
      <c r="D46" s="93" t="s">
        <v>43</v>
      </c>
      <c r="E46" s="95">
        <v>1197.7</v>
      </c>
      <c r="F46" s="96">
        <f>SUM(E46*2/1000)</f>
        <v>2.3954</v>
      </c>
      <c r="G46" s="13">
        <v>579.48</v>
      </c>
      <c r="H46" s="97">
        <f t="shared" si="7"/>
        <v>1.3880863919999999</v>
      </c>
      <c r="I46" s="13">
        <f t="shared" si="8"/>
        <v>694.04319599999997</v>
      </c>
      <c r="J46" s="25"/>
    </row>
    <row r="47" spans="1:13" ht="15.75" customHeight="1">
      <c r="A47" s="41">
        <v>21</v>
      </c>
      <c r="B47" s="93" t="s">
        <v>38</v>
      </c>
      <c r="C47" s="94" t="s">
        <v>115</v>
      </c>
      <c r="D47" s="93" t="s">
        <v>43</v>
      </c>
      <c r="E47" s="95">
        <v>2275.92</v>
      </c>
      <c r="F47" s="96">
        <f>SUM(E47*2/1000)</f>
        <v>4.5518400000000003</v>
      </c>
      <c r="G47" s="13">
        <v>606.77</v>
      </c>
      <c r="H47" s="97">
        <f t="shared" si="7"/>
        <v>2.7619199567999999</v>
      </c>
      <c r="I47" s="13">
        <f t="shared" si="8"/>
        <v>1380.9599784</v>
      </c>
      <c r="J47" s="25"/>
    </row>
    <row r="48" spans="1:13" ht="15.75" customHeight="1">
      <c r="A48" s="41">
        <v>22</v>
      </c>
      <c r="B48" s="93" t="s">
        <v>34</v>
      </c>
      <c r="C48" s="94" t="s">
        <v>35</v>
      </c>
      <c r="D48" s="93" t="s">
        <v>43</v>
      </c>
      <c r="E48" s="95">
        <v>81.709999999999994</v>
      </c>
      <c r="F48" s="96">
        <f>SUM(E48*2/100)</f>
        <v>1.6341999999999999</v>
      </c>
      <c r="G48" s="13">
        <v>68.56</v>
      </c>
      <c r="H48" s="97">
        <f t="shared" si="7"/>
        <v>0.11204075199999999</v>
      </c>
      <c r="I48" s="13">
        <f>F48/2*G48</f>
        <v>56.020375999999999</v>
      </c>
      <c r="J48" s="25"/>
    </row>
    <row r="49" spans="1:14" ht="15.75" customHeight="1">
      <c r="A49" s="41">
        <v>23</v>
      </c>
      <c r="B49" s="93" t="s">
        <v>58</v>
      </c>
      <c r="C49" s="94" t="s">
        <v>115</v>
      </c>
      <c r="D49" s="93" t="s">
        <v>155</v>
      </c>
      <c r="E49" s="95">
        <v>1711.8</v>
      </c>
      <c r="F49" s="96">
        <f>SUM(E49*5/1000)</f>
        <v>8.5589999999999993</v>
      </c>
      <c r="G49" s="13">
        <v>1213.55</v>
      </c>
      <c r="H49" s="97">
        <f t="shared" si="7"/>
        <v>10.386774449999999</v>
      </c>
      <c r="I49" s="13">
        <f>F49/5*G49</f>
        <v>2077.3548899999996</v>
      </c>
      <c r="J49" s="25"/>
    </row>
    <row r="50" spans="1:14" ht="31.5" hidden="1" customHeight="1">
      <c r="A50" s="41">
        <v>14</v>
      </c>
      <c r="B50" s="93" t="s">
        <v>122</v>
      </c>
      <c r="C50" s="94" t="s">
        <v>115</v>
      </c>
      <c r="D50" s="93" t="s">
        <v>43</v>
      </c>
      <c r="E50" s="95">
        <v>1711.8</v>
      </c>
      <c r="F50" s="96">
        <f>SUM(E50*2/1000)</f>
        <v>3.4236</v>
      </c>
      <c r="G50" s="13">
        <v>1213.55</v>
      </c>
      <c r="H50" s="97">
        <f t="shared" si="7"/>
        <v>4.1547097800000001</v>
      </c>
      <c r="I50" s="13">
        <f>F50/2*G50</f>
        <v>2077.3548900000001</v>
      </c>
      <c r="J50" s="25"/>
    </row>
    <row r="51" spans="1:14" ht="31.5" hidden="1" customHeight="1">
      <c r="A51" s="41">
        <v>15</v>
      </c>
      <c r="B51" s="93" t="s">
        <v>123</v>
      </c>
      <c r="C51" s="94" t="s">
        <v>39</v>
      </c>
      <c r="D51" s="93" t="s">
        <v>43</v>
      </c>
      <c r="E51" s="95">
        <v>15</v>
      </c>
      <c r="F51" s="96">
        <f>SUM(E51*2/100)</f>
        <v>0.3</v>
      </c>
      <c r="G51" s="13">
        <v>2730.49</v>
      </c>
      <c r="H51" s="97">
        <f t="shared" si="7"/>
        <v>0.81914699999999996</v>
      </c>
      <c r="I51" s="13">
        <f t="shared" ref="I51:I52" si="9">F51/2*G51</f>
        <v>409.57349999999997</v>
      </c>
      <c r="J51" s="25"/>
    </row>
    <row r="52" spans="1:14" ht="15.75" hidden="1" customHeight="1">
      <c r="A52" s="41">
        <v>16</v>
      </c>
      <c r="B52" s="93" t="s">
        <v>40</v>
      </c>
      <c r="C52" s="94" t="s">
        <v>41</v>
      </c>
      <c r="D52" s="93" t="s">
        <v>43</v>
      </c>
      <c r="E52" s="95">
        <v>1</v>
      </c>
      <c r="F52" s="96">
        <v>0.02</v>
      </c>
      <c r="G52" s="13">
        <v>5322.15</v>
      </c>
      <c r="H52" s="97">
        <f t="shared" si="7"/>
        <v>0.106443</v>
      </c>
      <c r="I52" s="13">
        <f t="shared" si="9"/>
        <v>53.221499999999999</v>
      </c>
      <c r="J52" s="25"/>
      <c r="L52" s="21"/>
      <c r="M52" s="22"/>
      <c r="N52" s="23"/>
    </row>
    <row r="53" spans="1:14" ht="15.75" hidden="1" customHeight="1">
      <c r="A53" s="41">
        <v>15</v>
      </c>
      <c r="B53" s="93" t="s">
        <v>42</v>
      </c>
      <c r="C53" s="94" t="s">
        <v>95</v>
      </c>
      <c r="D53" s="93" t="s">
        <v>74</v>
      </c>
      <c r="E53" s="95">
        <v>90</v>
      </c>
      <c r="F53" s="96">
        <f>SUM(E53)*3</f>
        <v>270</v>
      </c>
      <c r="G53" s="13">
        <v>65.67</v>
      </c>
      <c r="H53" s="97">
        <f t="shared" si="7"/>
        <v>17.730900000000002</v>
      </c>
      <c r="I53" s="13">
        <f>E53*G53</f>
        <v>5910.3</v>
      </c>
      <c r="J53" s="25"/>
      <c r="L53" s="21"/>
      <c r="M53" s="22"/>
      <c r="N53" s="23"/>
    </row>
    <row r="54" spans="1:14" ht="15.75" customHeight="1">
      <c r="A54" s="150" t="s">
        <v>152</v>
      </c>
      <c r="B54" s="151"/>
      <c r="C54" s="151"/>
      <c r="D54" s="151"/>
      <c r="E54" s="151"/>
      <c r="F54" s="151"/>
      <c r="G54" s="151"/>
      <c r="H54" s="151"/>
      <c r="I54" s="152"/>
      <c r="J54" s="25"/>
      <c r="L54" s="21"/>
      <c r="M54" s="22"/>
      <c r="N54" s="23"/>
    </row>
    <row r="55" spans="1:14" ht="15.75" hidden="1" customHeight="1">
      <c r="A55" s="53"/>
      <c r="B55" s="48" t="s">
        <v>44</v>
      </c>
      <c r="C55" s="17"/>
      <c r="D55" s="16"/>
      <c r="E55" s="16"/>
      <c r="F55" s="16"/>
      <c r="G55" s="31"/>
      <c r="H55" s="31"/>
      <c r="I55" s="19"/>
      <c r="J55" s="25"/>
      <c r="L55" s="21"/>
      <c r="M55" s="22"/>
      <c r="N55" s="23"/>
    </row>
    <row r="56" spans="1:14" ht="31.5" hidden="1" customHeight="1">
      <c r="A56" s="41">
        <v>14</v>
      </c>
      <c r="B56" s="93" t="s">
        <v>124</v>
      </c>
      <c r="C56" s="94" t="s">
        <v>102</v>
      </c>
      <c r="D56" s="93" t="s">
        <v>125</v>
      </c>
      <c r="E56" s="95">
        <v>96.58</v>
      </c>
      <c r="F56" s="96">
        <f>SUM(E56*6/100)</f>
        <v>5.7948000000000004</v>
      </c>
      <c r="G56" s="13">
        <v>1547.28</v>
      </c>
      <c r="H56" s="97">
        <f>SUM(F56*G56/1000)</f>
        <v>8.9661781440000006</v>
      </c>
      <c r="I56" s="13">
        <f>F56/6*G56</f>
        <v>1494.3630240000002</v>
      </c>
      <c r="J56" s="25"/>
      <c r="L56" s="21"/>
      <c r="M56" s="22"/>
      <c r="N56" s="23"/>
    </row>
    <row r="57" spans="1:14" ht="15.75" customHeight="1">
      <c r="A57" s="41"/>
      <c r="B57" s="69" t="s">
        <v>45</v>
      </c>
      <c r="C57" s="40"/>
      <c r="D57" s="34"/>
      <c r="E57" s="19"/>
      <c r="F57" s="87"/>
      <c r="G57" s="37"/>
      <c r="H57" s="70"/>
      <c r="I57" s="20"/>
      <c r="J57" s="25"/>
      <c r="L57" s="21"/>
      <c r="M57" s="22"/>
      <c r="N57" s="23"/>
    </row>
    <row r="58" spans="1:14" ht="15.75" hidden="1" customHeight="1">
      <c r="A58" s="41"/>
      <c r="B58" s="93" t="s">
        <v>46</v>
      </c>
      <c r="C58" s="94" t="s">
        <v>102</v>
      </c>
      <c r="D58" s="93" t="s">
        <v>55</v>
      </c>
      <c r="E58" s="95">
        <v>855.9</v>
      </c>
      <c r="F58" s="97">
        <v>8.6</v>
      </c>
      <c r="G58" s="13">
        <v>747.3</v>
      </c>
      <c r="H58" s="101">
        <v>6.4</v>
      </c>
      <c r="I58" s="13">
        <v>0</v>
      </c>
      <c r="J58" s="25"/>
      <c r="L58" s="21"/>
      <c r="M58" s="22"/>
      <c r="N58" s="23"/>
    </row>
    <row r="59" spans="1:14" ht="15.75" customHeight="1">
      <c r="A59" s="41">
        <v>24</v>
      </c>
      <c r="B59" s="93" t="s">
        <v>96</v>
      </c>
      <c r="C59" s="94" t="s">
        <v>25</v>
      </c>
      <c r="D59" s="93" t="s">
        <v>144</v>
      </c>
      <c r="E59" s="95">
        <v>256</v>
      </c>
      <c r="F59" s="97">
        <f>E59*12</f>
        <v>3072</v>
      </c>
      <c r="G59" s="13">
        <v>2.5958999999999999</v>
      </c>
      <c r="H59" s="101">
        <f>F59*G59/1000</f>
        <v>7.9746047999999989</v>
      </c>
      <c r="I59" s="13">
        <f>F59/12*G59</f>
        <v>664.55039999999997</v>
      </c>
      <c r="J59" s="25"/>
      <c r="L59" s="21"/>
      <c r="M59" s="22"/>
      <c r="N59" s="23"/>
    </row>
    <row r="60" spans="1:14" ht="15.75" hidden="1" customHeight="1">
      <c r="A60" s="41"/>
      <c r="B60" s="69" t="s">
        <v>145</v>
      </c>
      <c r="C60" s="40"/>
      <c r="D60" s="34"/>
      <c r="E60" s="19"/>
      <c r="F60" s="87"/>
      <c r="G60" s="71"/>
      <c r="H60" s="70"/>
      <c r="I60" s="20"/>
      <c r="J60" s="25"/>
      <c r="L60" s="21"/>
      <c r="M60" s="22"/>
      <c r="N60" s="23"/>
    </row>
    <row r="61" spans="1:14" ht="15.75" hidden="1" customHeight="1">
      <c r="A61" s="41"/>
      <c r="B61" s="93" t="s">
        <v>146</v>
      </c>
      <c r="C61" s="94" t="s">
        <v>95</v>
      </c>
      <c r="D61" s="93" t="s">
        <v>68</v>
      </c>
      <c r="E61" s="95">
        <v>2</v>
      </c>
      <c r="F61" s="96">
        <f>SUM(E61)</f>
        <v>2</v>
      </c>
      <c r="G61" s="102">
        <v>237.75</v>
      </c>
      <c r="H61" s="97">
        <f t="shared" ref="H61" si="10">SUM(F61*G61/1000)</f>
        <v>0.47549999999999998</v>
      </c>
      <c r="I61" s="13">
        <v>0</v>
      </c>
      <c r="J61" s="25"/>
      <c r="L61" s="21"/>
      <c r="M61" s="22"/>
      <c r="N61" s="23"/>
    </row>
    <row r="62" spans="1:14" ht="15.75" customHeight="1">
      <c r="A62" s="41"/>
      <c r="B62" s="77" t="s">
        <v>47</v>
      </c>
      <c r="C62" s="17"/>
      <c r="D62" s="16"/>
      <c r="E62" s="16"/>
      <c r="F62" s="88"/>
      <c r="G62" s="65"/>
      <c r="H62" s="70"/>
      <c r="I62" s="19"/>
      <c r="J62" s="25"/>
      <c r="L62" s="21"/>
      <c r="M62" s="22"/>
      <c r="N62" s="23"/>
    </row>
    <row r="63" spans="1:14" ht="15.75" hidden="1" customHeight="1">
      <c r="A63" s="41">
        <v>23</v>
      </c>
      <c r="B63" s="15" t="s">
        <v>48</v>
      </c>
      <c r="C63" s="17" t="s">
        <v>95</v>
      </c>
      <c r="D63" s="93" t="s">
        <v>68</v>
      </c>
      <c r="E63" s="19">
        <v>10</v>
      </c>
      <c r="F63" s="96">
        <v>10</v>
      </c>
      <c r="G63" s="13">
        <v>222.4</v>
      </c>
      <c r="H63" s="103">
        <f t="shared" ref="H63:H70" si="11">SUM(F63*G63/1000)</f>
        <v>2.2240000000000002</v>
      </c>
      <c r="I63" s="13">
        <v>0</v>
      </c>
      <c r="J63" s="25"/>
      <c r="L63" s="21"/>
      <c r="M63" s="22"/>
      <c r="N63" s="23"/>
    </row>
    <row r="64" spans="1:14" ht="15.75" hidden="1" customHeight="1">
      <c r="A64" s="31">
        <v>29</v>
      </c>
      <c r="B64" s="15" t="s">
        <v>49</v>
      </c>
      <c r="C64" s="17" t="s">
        <v>95</v>
      </c>
      <c r="D64" s="93" t="s">
        <v>68</v>
      </c>
      <c r="E64" s="19">
        <v>5</v>
      </c>
      <c r="F64" s="96">
        <v>5</v>
      </c>
      <c r="G64" s="13">
        <v>75.25</v>
      </c>
      <c r="H64" s="103">
        <f t="shared" si="11"/>
        <v>0.37624999999999997</v>
      </c>
      <c r="I64" s="13">
        <v>0</v>
      </c>
      <c r="J64" s="25"/>
      <c r="L64" s="21"/>
      <c r="M64" s="22"/>
      <c r="N64" s="23"/>
    </row>
    <row r="65" spans="1:14" ht="15.75" customHeight="1">
      <c r="A65" s="31">
        <v>25</v>
      </c>
      <c r="B65" s="15" t="s">
        <v>50</v>
      </c>
      <c r="C65" s="17" t="s">
        <v>126</v>
      </c>
      <c r="D65" s="15" t="s">
        <v>55</v>
      </c>
      <c r="E65" s="95">
        <v>13018</v>
      </c>
      <c r="F65" s="13">
        <f>SUM(E65/100)</f>
        <v>130.18</v>
      </c>
      <c r="G65" s="13">
        <v>212.15</v>
      </c>
      <c r="H65" s="103">
        <f t="shared" si="11"/>
        <v>27.617687</v>
      </c>
      <c r="I65" s="13">
        <f>F65*G65</f>
        <v>27617.687000000002</v>
      </c>
      <c r="J65" s="25"/>
      <c r="L65" s="21"/>
      <c r="M65" s="22"/>
      <c r="N65" s="23"/>
    </row>
    <row r="66" spans="1:14" ht="15.75" customHeight="1">
      <c r="A66" s="31">
        <v>26</v>
      </c>
      <c r="B66" s="15" t="s">
        <v>51</v>
      </c>
      <c r="C66" s="17" t="s">
        <v>127</v>
      </c>
      <c r="D66" s="15"/>
      <c r="E66" s="95">
        <v>13018</v>
      </c>
      <c r="F66" s="13">
        <f>SUM(E66/1000)</f>
        <v>13.018000000000001</v>
      </c>
      <c r="G66" s="13">
        <v>165.21</v>
      </c>
      <c r="H66" s="103">
        <f t="shared" si="11"/>
        <v>2.1507037800000002</v>
      </c>
      <c r="I66" s="13">
        <f t="shared" ref="I66:I70" si="12">F66*G66</f>
        <v>2150.7037800000003</v>
      </c>
      <c r="J66" s="25"/>
      <c r="L66" s="21"/>
      <c r="M66" s="22"/>
      <c r="N66" s="23"/>
    </row>
    <row r="67" spans="1:14" ht="15.75" customHeight="1">
      <c r="A67" s="31">
        <v>27</v>
      </c>
      <c r="B67" s="15" t="s">
        <v>52</v>
      </c>
      <c r="C67" s="17" t="s">
        <v>79</v>
      </c>
      <c r="D67" s="15" t="s">
        <v>55</v>
      </c>
      <c r="E67" s="95">
        <v>1279</v>
      </c>
      <c r="F67" s="13">
        <f>SUM(E67/100)</f>
        <v>12.79</v>
      </c>
      <c r="G67" s="13">
        <v>2074.63</v>
      </c>
      <c r="H67" s="103">
        <f t="shared" si="11"/>
        <v>26.534517700000002</v>
      </c>
      <c r="I67" s="13">
        <f t="shared" si="12"/>
        <v>26534.5177</v>
      </c>
      <c r="J67" s="25"/>
      <c r="L67" s="21"/>
      <c r="M67" s="22"/>
      <c r="N67" s="23"/>
    </row>
    <row r="68" spans="1:14" ht="15.75" customHeight="1">
      <c r="A68" s="31">
        <v>28</v>
      </c>
      <c r="B68" s="104" t="s">
        <v>128</v>
      </c>
      <c r="C68" s="17" t="s">
        <v>33</v>
      </c>
      <c r="D68" s="15"/>
      <c r="E68" s="95">
        <v>12</v>
      </c>
      <c r="F68" s="13">
        <f>SUM(E68)</f>
        <v>12</v>
      </c>
      <c r="G68" s="13">
        <v>45.32</v>
      </c>
      <c r="H68" s="103">
        <f t="shared" si="11"/>
        <v>0.54383999999999999</v>
      </c>
      <c r="I68" s="13">
        <f t="shared" si="12"/>
        <v>543.84</v>
      </c>
      <c r="J68" s="25"/>
      <c r="L68" s="21"/>
      <c r="M68" s="22"/>
      <c r="N68" s="23"/>
    </row>
    <row r="69" spans="1:14" ht="15.75" customHeight="1">
      <c r="A69" s="31">
        <v>29</v>
      </c>
      <c r="B69" s="104" t="s">
        <v>129</v>
      </c>
      <c r="C69" s="17" t="s">
        <v>33</v>
      </c>
      <c r="D69" s="15"/>
      <c r="E69" s="95">
        <v>12</v>
      </c>
      <c r="F69" s="13">
        <f>SUM(E69)</f>
        <v>12</v>
      </c>
      <c r="G69" s="13">
        <v>42.28</v>
      </c>
      <c r="H69" s="103">
        <f t="shared" si="11"/>
        <v>0.50736000000000003</v>
      </c>
      <c r="I69" s="13">
        <f t="shared" si="12"/>
        <v>507.36</v>
      </c>
      <c r="J69" s="25"/>
      <c r="L69" s="21"/>
      <c r="M69" s="22"/>
      <c r="N69" s="23"/>
    </row>
    <row r="70" spans="1:14" ht="15.75" hidden="1" customHeight="1">
      <c r="A70" s="31">
        <v>13</v>
      </c>
      <c r="B70" s="15" t="s">
        <v>59</v>
      </c>
      <c r="C70" s="17" t="s">
        <v>60</v>
      </c>
      <c r="D70" s="15" t="s">
        <v>55</v>
      </c>
      <c r="E70" s="19">
        <v>1</v>
      </c>
      <c r="F70" s="96">
        <f>SUM(E70)</f>
        <v>1</v>
      </c>
      <c r="G70" s="13">
        <v>49.88</v>
      </c>
      <c r="H70" s="103">
        <f t="shared" si="11"/>
        <v>4.9880000000000001E-2</v>
      </c>
      <c r="I70" s="13">
        <f t="shared" si="12"/>
        <v>49.88</v>
      </c>
      <c r="J70" s="25"/>
      <c r="L70" s="21"/>
      <c r="M70" s="22"/>
      <c r="N70" s="23"/>
    </row>
    <row r="71" spans="1:14" ht="15.75" hidden="1" customHeight="1">
      <c r="A71" s="53"/>
      <c r="B71" s="77" t="s">
        <v>130</v>
      </c>
      <c r="C71" s="77"/>
      <c r="D71" s="77"/>
      <c r="E71" s="77"/>
      <c r="F71" s="77"/>
      <c r="G71" s="77"/>
      <c r="H71" s="77"/>
      <c r="I71" s="19"/>
      <c r="J71" s="25"/>
      <c r="L71" s="21"/>
      <c r="M71" s="22"/>
      <c r="N71" s="23"/>
    </row>
    <row r="72" spans="1:14" ht="15.75" hidden="1" customHeight="1">
      <c r="A72" s="31">
        <v>16</v>
      </c>
      <c r="B72" s="93" t="s">
        <v>131</v>
      </c>
      <c r="C72" s="17"/>
      <c r="D72" s="15"/>
      <c r="E72" s="87"/>
      <c r="F72" s="13">
        <v>1</v>
      </c>
      <c r="G72" s="13">
        <v>10041.700000000001</v>
      </c>
      <c r="H72" s="103">
        <f>G72*F72/1000</f>
        <v>10.041700000000001</v>
      </c>
      <c r="I72" s="13">
        <f>G72</f>
        <v>10041.700000000001</v>
      </c>
      <c r="J72" s="25"/>
      <c r="L72" s="21"/>
      <c r="M72" s="22"/>
      <c r="N72" s="23"/>
    </row>
    <row r="73" spans="1:14" ht="15.75" customHeight="1">
      <c r="A73" s="31"/>
      <c r="B73" s="49" t="s">
        <v>75</v>
      </c>
      <c r="C73" s="49"/>
      <c r="D73" s="49"/>
      <c r="E73" s="19"/>
      <c r="F73" s="19"/>
      <c r="G73" s="31"/>
      <c r="H73" s="31"/>
      <c r="I73" s="19"/>
      <c r="J73" s="25"/>
      <c r="L73" s="21"/>
      <c r="M73" s="22"/>
      <c r="N73" s="23"/>
    </row>
    <row r="74" spans="1:14" ht="15.75" customHeight="1">
      <c r="A74" s="31">
        <v>30</v>
      </c>
      <c r="B74" s="15" t="s">
        <v>76</v>
      </c>
      <c r="C74" s="17" t="s">
        <v>77</v>
      </c>
      <c r="D74" s="15" t="s">
        <v>68</v>
      </c>
      <c r="E74" s="19">
        <v>5</v>
      </c>
      <c r="F74" s="13">
        <v>0.5</v>
      </c>
      <c r="G74" s="13">
        <v>501.62</v>
      </c>
      <c r="H74" s="103">
        <f t="shared" ref="H74:H76" si="13">SUM(F74*G74/1000)</f>
        <v>0.25080999999999998</v>
      </c>
      <c r="I74" s="13">
        <f>G74*1.1</f>
        <v>551.78200000000004</v>
      </c>
      <c r="J74" s="25"/>
      <c r="L74" s="21"/>
      <c r="M74" s="22"/>
      <c r="N74" s="23"/>
    </row>
    <row r="75" spans="1:14" ht="15.75" hidden="1" customHeight="1">
      <c r="A75" s="31"/>
      <c r="B75" s="15" t="s">
        <v>147</v>
      </c>
      <c r="C75" s="17" t="s">
        <v>95</v>
      </c>
      <c r="D75" s="15"/>
      <c r="E75" s="19">
        <v>1</v>
      </c>
      <c r="F75" s="86">
        <f>E75</f>
        <v>1</v>
      </c>
      <c r="G75" s="13">
        <v>852.99</v>
      </c>
      <c r="H75" s="103">
        <f t="shared" si="13"/>
        <v>0.85299000000000003</v>
      </c>
      <c r="I75" s="13">
        <v>0</v>
      </c>
      <c r="J75" s="25"/>
      <c r="L75" s="21"/>
      <c r="M75" s="22"/>
      <c r="N75" s="23"/>
    </row>
    <row r="76" spans="1:14" ht="15.75" hidden="1" customHeight="1">
      <c r="A76" s="31"/>
      <c r="B76" s="15" t="s">
        <v>148</v>
      </c>
      <c r="C76" s="17" t="s">
        <v>95</v>
      </c>
      <c r="D76" s="15"/>
      <c r="E76" s="19">
        <v>1</v>
      </c>
      <c r="F76" s="96">
        <f>SUM(E76)</f>
        <v>1</v>
      </c>
      <c r="G76" s="13">
        <v>358.51</v>
      </c>
      <c r="H76" s="103">
        <f t="shared" si="13"/>
        <v>0.35851</v>
      </c>
      <c r="I76" s="13">
        <v>0</v>
      </c>
      <c r="J76" s="25"/>
      <c r="L76" s="21"/>
      <c r="M76" s="22"/>
      <c r="N76" s="23"/>
    </row>
    <row r="77" spans="1:14" ht="15.75" hidden="1" customHeight="1">
      <c r="A77" s="31"/>
      <c r="B77" s="50" t="s">
        <v>78</v>
      </c>
      <c r="C77" s="38"/>
      <c r="D77" s="31"/>
      <c r="E77" s="19"/>
      <c r="F77" s="19"/>
      <c r="G77" s="37" t="s">
        <v>132</v>
      </c>
      <c r="H77" s="37"/>
      <c r="I77" s="19"/>
      <c r="J77" s="25"/>
      <c r="L77" s="21"/>
      <c r="M77" s="22"/>
      <c r="N77" s="23"/>
    </row>
    <row r="78" spans="1:14" ht="15.75" hidden="1" customHeight="1">
      <c r="A78" s="31">
        <v>12</v>
      </c>
      <c r="B78" s="52" t="s">
        <v>133</v>
      </c>
      <c r="C78" s="17" t="s">
        <v>79</v>
      </c>
      <c r="D78" s="15"/>
      <c r="E78" s="19"/>
      <c r="F78" s="13">
        <v>0.3</v>
      </c>
      <c r="G78" s="13">
        <v>2759.44</v>
      </c>
      <c r="H78" s="103">
        <f t="shared" ref="H78" si="14">SUM(F78*G78/1000)</f>
        <v>0.82783200000000001</v>
      </c>
      <c r="I78" s="13">
        <v>0</v>
      </c>
      <c r="J78" s="25"/>
      <c r="L78" s="21"/>
      <c r="M78" s="22"/>
      <c r="N78" s="23"/>
    </row>
    <row r="79" spans="1:14" ht="15.75" customHeight="1">
      <c r="A79" s="154" t="s">
        <v>153</v>
      </c>
      <c r="B79" s="155"/>
      <c r="C79" s="155"/>
      <c r="D79" s="155"/>
      <c r="E79" s="155"/>
      <c r="F79" s="155"/>
      <c r="G79" s="155"/>
      <c r="H79" s="155"/>
      <c r="I79" s="156"/>
      <c r="J79" s="25"/>
      <c r="L79" s="21"/>
      <c r="M79" s="22"/>
      <c r="N79" s="23"/>
    </row>
    <row r="80" spans="1:14" ht="15.75" customHeight="1">
      <c r="A80" s="31">
        <v>31</v>
      </c>
      <c r="B80" s="93" t="s">
        <v>134</v>
      </c>
      <c r="C80" s="17" t="s">
        <v>56</v>
      </c>
      <c r="D80" s="106" t="s">
        <v>57</v>
      </c>
      <c r="E80" s="13">
        <v>2581.1999999999998</v>
      </c>
      <c r="F80" s="13">
        <f>SUM(E80*12)</f>
        <v>30974.399999999998</v>
      </c>
      <c r="G80" s="13">
        <v>2.1</v>
      </c>
      <c r="H80" s="103">
        <f>SUM(F80*G80/1000)</f>
        <v>65.046239999999997</v>
      </c>
      <c r="I80" s="13">
        <f>F80/12*G80</f>
        <v>5420.5199999999995</v>
      </c>
      <c r="J80" s="25"/>
      <c r="L80" s="21"/>
    </row>
    <row r="81" spans="1:22" ht="31.5" customHeight="1">
      <c r="A81" s="31">
        <v>32</v>
      </c>
      <c r="B81" s="15" t="s">
        <v>80</v>
      </c>
      <c r="C81" s="17"/>
      <c r="D81" s="106" t="s">
        <v>57</v>
      </c>
      <c r="E81" s="95">
        <v>2581.1999999999998</v>
      </c>
      <c r="F81" s="13">
        <f>E81*12</f>
        <v>30974.399999999998</v>
      </c>
      <c r="G81" s="13">
        <v>1.63</v>
      </c>
      <c r="H81" s="103">
        <f>F81*G81/1000</f>
        <v>50.488271999999988</v>
      </c>
      <c r="I81" s="13">
        <f>F81/12*G81</f>
        <v>4207.3559999999998</v>
      </c>
    </row>
    <row r="82" spans="1:22" ht="15.75" customHeight="1">
      <c r="A82" s="53"/>
      <c r="B82" s="39" t="s">
        <v>83</v>
      </c>
      <c r="C82" s="41"/>
      <c r="D82" s="16"/>
      <c r="E82" s="16"/>
      <c r="F82" s="16"/>
      <c r="G82" s="19"/>
      <c r="H82" s="19"/>
      <c r="I82" s="33">
        <f>SUM(I16+I17+I18+I19+I20+I21+I22+I23+I24+I25+I26+I27+I28+I31+I32+I33+I34+I44+I45+I46+I47+I48+I49+I59+I65+I66+I67+I68+I69+I74+I80+I81)</f>
        <v>100917.28911745556</v>
      </c>
    </row>
    <row r="83" spans="1:22" ht="15.75" customHeight="1">
      <c r="A83" s="157" t="s">
        <v>62</v>
      </c>
      <c r="B83" s="158"/>
      <c r="C83" s="158"/>
      <c r="D83" s="158"/>
      <c r="E83" s="158"/>
      <c r="F83" s="158"/>
      <c r="G83" s="158"/>
      <c r="H83" s="158"/>
      <c r="I83" s="159"/>
    </row>
    <row r="84" spans="1:22" ht="15.75" customHeight="1">
      <c r="A84" s="31">
        <v>33</v>
      </c>
      <c r="B84" s="67" t="s">
        <v>107</v>
      </c>
      <c r="C84" s="68" t="s">
        <v>95</v>
      </c>
      <c r="D84" s="52"/>
      <c r="E84" s="13"/>
      <c r="F84" s="13">
        <v>368</v>
      </c>
      <c r="G84" s="13">
        <v>53.42</v>
      </c>
      <c r="H84" s="103" t="e">
        <f>#REF!*#REF!/1000</f>
        <v>#REF!</v>
      </c>
      <c r="I84" s="13">
        <f>G84*46</f>
        <v>2457.3200000000002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9"/>
    </row>
    <row r="85" spans="1:22" ht="31.5" customHeight="1">
      <c r="A85" s="31">
        <v>34</v>
      </c>
      <c r="B85" s="67" t="s">
        <v>82</v>
      </c>
      <c r="C85" s="68" t="s">
        <v>95</v>
      </c>
      <c r="D85" s="52"/>
      <c r="E85" s="13"/>
      <c r="F85" s="13">
        <v>3</v>
      </c>
      <c r="G85" s="13">
        <v>83.36</v>
      </c>
      <c r="H85" s="103">
        <f t="shared" ref="H85" si="15">G85*F85/1000</f>
        <v>0.25007999999999997</v>
      </c>
      <c r="I85" s="13">
        <f>G85*2</f>
        <v>166.72</v>
      </c>
      <c r="J85" s="27"/>
      <c r="K85" s="27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2" ht="15.75" customHeight="1">
      <c r="A86" s="31">
        <v>35</v>
      </c>
      <c r="B86" s="67" t="s">
        <v>113</v>
      </c>
      <c r="C86" s="68" t="s">
        <v>88</v>
      </c>
      <c r="D86" s="52"/>
      <c r="E86" s="13"/>
      <c r="F86" s="13">
        <v>1</v>
      </c>
      <c r="G86" s="13">
        <v>195.85</v>
      </c>
      <c r="H86" s="103">
        <f>G86*F86/1000</f>
        <v>0.19585</v>
      </c>
      <c r="I86" s="13">
        <f>G86</f>
        <v>195.85</v>
      </c>
      <c r="J86" s="27"/>
      <c r="K86" s="27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2" ht="15.75" customHeight="1">
      <c r="A87" s="31"/>
      <c r="B87" s="46" t="s">
        <v>53</v>
      </c>
      <c r="C87" s="42"/>
      <c r="D87" s="54"/>
      <c r="E87" s="42">
        <v>1</v>
      </c>
      <c r="F87" s="42"/>
      <c r="G87" s="42"/>
      <c r="H87" s="42"/>
      <c r="I87" s="33">
        <f>SUM(I84:I86)</f>
        <v>2819.89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1:22" ht="15.75" customHeight="1">
      <c r="A88" s="31"/>
      <c r="B88" s="52" t="s">
        <v>81</v>
      </c>
      <c r="C88" s="16"/>
      <c r="D88" s="16"/>
      <c r="E88" s="43"/>
      <c r="F88" s="43"/>
      <c r="G88" s="44"/>
      <c r="H88" s="44"/>
      <c r="I88" s="18">
        <v>0</v>
      </c>
    </row>
    <row r="89" spans="1:22" ht="15.75" customHeight="1">
      <c r="A89" s="55"/>
      <c r="B89" s="47" t="s">
        <v>157</v>
      </c>
      <c r="C89" s="36"/>
      <c r="D89" s="36"/>
      <c r="E89" s="36"/>
      <c r="F89" s="36"/>
      <c r="G89" s="36"/>
      <c r="H89" s="36"/>
      <c r="I89" s="45">
        <f>I82+I87</f>
        <v>103737.17911745555</v>
      </c>
    </row>
    <row r="90" spans="1:22" ht="15.75" customHeight="1">
      <c r="A90" s="153" t="s">
        <v>177</v>
      </c>
      <c r="B90" s="153"/>
      <c r="C90" s="153"/>
      <c r="D90" s="153"/>
      <c r="E90" s="153"/>
      <c r="F90" s="153"/>
      <c r="G90" s="153"/>
      <c r="H90" s="153"/>
      <c r="I90" s="153"/>
    </row>
    <row r="91" spans="1:22" ht="15.75" customHeight="1">
      <c r="A91" s="79"/>
      <c r="B91" s="134" t="s">
        <v>178</v>
      </c>
      <c r="C91" s="134"/>
      <c r="D91" s="134"/>
      <c r="E91" s="134"/>
      <c r="F91" s="134"/>
      <c r="G91" s="134"/>
      <c r="H91" s="91"/>
      <c r="I91" s="3"/>
    </row>
    <row r="92" spans="1:22" ht="15.75" customHeight="1">
      <c r="A92" s="72"/>
      <c r="B92" s="135" t="s">
        <v>6</v>
      </c>
      <c r="C92" s="135"/>
      <c r="D92" s="135"/>
      <c r="E92" s="135"/>
      <c r="F92" s="135"/>
      <c r="G92" s="135"/>
      <c r="H92" s="26"/>
      <c r="I92" s="5"/>
    </row>
    <row r="93" spans="1:22" ht="15.75" customHeight="1">
      <c r="A93" s="10"/>
      <c r="B93" s="10"/>
      <c r="C93" s="10"/>
      <c r="D93" s="10"/>
      <c r="E93" s="10"/>
      <c r="F93" s="10"/>
      <c r="G93" s="10"/>
      <c r="H93" s="10"/>
      <c r="I93" s="10"/>
    </row>
    <row r="94" spans="1:22" ht="15.75" customHeight="1">
      <c r="A94" s="136" t="s">
        <v>7</v>
      </c>
      <c r="B94" s="136"/>
      <c r="C94" s="136"/>
      <c r="D94" s="136"/>
      <c r="E94" s="136"/>
      <c r="F94" s="136"/>
      <c r="G94" s="136"/>
      <c r="H94" s="136"/>
      <c r="I94" s="136"/>
    </row>
    <row r="95" spans="1:22" ht="15.75" customHeight="1">
      <c r="A95" s="136" t="s">
        <v>8</v>
      </c>
      <c r="B95" s="136"/>
      <c r="C95" s="136"/>
      <c r="D95" s="136"/>
      <c r="E95" s="136"/>
      <c r="F95" s="136"/>
      <c r="G95" s="136"/>
      <c r="H95" s="136"/>
      <c r="I95" s="136"/>
    </row>
    <row r="96" spans="1:22" ht="15.75" customHeight="1">
      <c r="A96" s="139" t="s">
        <v>63</v>
      </c>
      <c r="B96" s="139"/>
      <c r="C96" s="139"/>
      <c r="D96" s="139"/>
      <c r="E96" s="139"/>
      <c r="F96" s="139"/>
      <c r="G96" s="139"/>
      <c r="H96" s="139"/>
      <c r="I96" s="139"/>
    </row>
    <row r="97" spans="1:9" ht="15.75" customHeight="1">
      <c r="A97" s="11"/>
    </row>
    <row r="98" spans="1:9" ht="15.75" customHeight="1">
      <c r="A98" s="140" t="s">
        <v>9</v>
      </c>
      <c r="B98" s="140"/>
      <c r="C98" s="140"/>
      <c r="D98" s="140"/>
      <c r="E98" s="140"/>
      <c r="F98" s="140"/>
      <c r="G98" s="140"/>
      <c r="H98" s="140"/>
      <c r="I98" s="140"/>
    </row>
    <row r="99" spans="1:9" ht="15.75" customHeight="1">
      <c r="A99" s="4"/>
    </row>
    <row r="100" spans="1:9" ht="15.75" customHeight="1">
      <c r="B100" s="75" t="s">
        <v>10</v>
      </c>
      <c r="C100" s="141" t="s">
        <v>94</v>
      </c>
      <c r="D100" s="141"/>
      <c r="E100" s="141"/>
      <c r="F100" s="89"/>
      <c r="I100" s="74"/>
    </row>
    <row r="101" spans="1:9" ht="15.75" customHeight="1">
      <c r="A101" s="72"/>
      <c r="C101" s="135" t="s">
        <v>11</v>
      </c>
      <c r="D101" s="135"/>
      <c r="E101" s="135"/>
      <c r="F101" s="26"/>
      <c r="I101" s="73" t="s">
        <v>12</v>
      </c>
    </row>
    <row r="102" spans="1:9" ht="15.75" customHeight="1">
      <c r="A102" s="27"/>
      <c r="C102" s="12"/>
      <c r="D102" s="12"/>
      <c r="G102" s="12"/>
      <c r="H102" s="12"/>
    </row>
    <row r="103" spans="1:9" ht="15.75" customHeight="1">
      <c r="B103" s="75" t="s">
        <v>13</v>
      </c>
      <c r="C103" s="142"/>
      <c r="D103" s="142"/>
      <c r="E103" s="142"/>
      <c r="F103" s="90"/>
      <c r="I103" s="74"/>
    </row>
    <row r="104" spans="1:9" ht="15.75" customHeight="1">
      <c r="A104" s="72"/>
      <c r="C104" s="138" t="s">
        <v>11</v>
      </c>
      <c r="D104" s="138"/>
      <c r="E104" s="138"/>
      <c r="F104" s="72"/>
      <c r="I104" s="73" t="s">
        <v>12</v>
      </c>
    </row>
    <row r="105" spans="1:9" ht="15.75" customHeight="1">
      <c r="A105" s="4" t="s">
        <v>14</v>
      </c>
    </row>
    <row r="106" spans="1:9">
      <c r="A106" s="137" t="s">
        <v>15</v>
      </c>
      <c r="B106" s="137"/>
      <c r="C106" s="137"/>
      <c r="D106" s="137"/>
      <c r="E106" s="137"/>
      <c r="F106" s="137"/>
      <c r="G106" s="137"/>
      <c r="H106" s="137"/>
      <c r="I106" s="137"/>
    </row>
    <row r="107" spans="1:9" ht="45" customHeight="1">
      <c r="A107" s="133" t="s">
        <v>16</v>
      </c>
      <c r="B107" s="133"/>
      <c r="C107" s="133"/>
      <c r="D107" s="133"/>
      <c r="E107" s="133"/>
      <c r="F107" s="133"/>
      <c r="G107" s="133"/>
      <c r="H107" s="133"/>
      <c r="I107" s="133"/>
    </row>
    <row r="108" spans="1:9" ht="30" customHeight="1">
      <c r="A108" s="133" t="s">
        <v>17</v>
      </c>
      <c r="B108" s="133"/>
      <c r="C108" s="133"/>
      <c r="D108" s="133"/>
      <c r="E108" s="133"/>
      <c r="F108" s="133"/>
      <c r="G108" s="133"/>
      <c r="H108" s="133"/>
      <c r="I108" s="133"/>
    </row>
    <row r="109" spans="1:9" ht="30" customHeight="1">
      <c r="A109" s="133" t="s">
        <v>21</v>
      </c>
      <c r="B109" s="133"/>
      <c r="C109" s="133"/>
      <c r="D109" s="133"/>
      <c r="E109" s="133"/>
      <c r="F109" s="133"/>
      <c r="G109" s="133"/>
      <c r="H109" s="133"/>
      <c r="I109" s="133"/>
    </row>
    <row r="110" spans="1:9" ht="15" customHeight="1">
      <c r="A110" s="133" t="s">
        <v>20</v>
      </c>
      <c r="B110" s="133"/>
      <c r="C110" s="133"/>
      <c r="D110" s="133"/>
      <c r="E110" s="133"/>
      <c r="F110" s="133"/>
      <c r="G110" s="133"/>
      <c r="H110" s="133"/>
      <c r="I110" s="133"/>
    </row>
  </sheetData>
  <autoFilter ref="I12:I82"/>
  <mergeCells count="28">
    <mergeCell ref="A14:I14"/>
    <mergeCell ref="A3:I3"/>
    <mergeCell ref="A4:I4"/>
    <mergeCell ref="A5:I5"/>
    <mergeCell ref="A8:I8"/>
    <mergeCell ref="A10:I10"/>
    <mergeCell ref="A96:I96"/>
    <mergeCell ref="A15:I15"/>
    <mergeCell ref="A29:I29"/>
    <mergeCell ref="A43:I43"/>
    <mergeCell ref="A54:I54"/>
    <mergeCell ref="A79:I79"/>
    <mergeCell ref="A83:I83"/>
    <mergeCell ref="A90:I90"/>
    <mergeCell ref="B91:G91"/>
    <mergeCell ref="B92:G92"/>
    <mergeCell ref="A94:I94"/>
    <mergeCell ref="A95:I95"/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91</v>
      </c>
      <c r="I1" s="28"/>
      <c r="J1" s="1"/>
      <c r="K1" s="1"/>
      <c r="L1" s="1"/>
      <c r="M1" s="1"/>
    </row>
    <row r="2" spans="1:13" ht="15.75" customHeight="1">
      <c r="A2" s="30" t="s">
        <v>64</v>
      </c>
      <c r="J2" s="2"/>
      <c r="K2" s="2"/>
      <c r="L2" s="2"/>
      <c r="M2" s="2"/>
    </row>
    <row r="3" spans="1:13" ht="15.75" customHeight="1">
      <c r="A3" s="143" t="s">
        <v>179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135</v>
      </c>
      <c r="B4" s="144"/>
      <c r="C4" s="144"/>
      <c r="D4" s="144"/>
      <c r="E4" s="144"/>
      <c r="F4" s="144"/>
      <c r="G4" s="144"/>
      <c r="H4" s="144"/>
      <c r="I4" s="144"/>
    </row>
    <row r="5" spans="1:13" ht="15.75" customHeight="1">
      <c r="A5" s="143" t="s">
        <v>180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2">
        <v>42916</v>
      </c>
      <c r="J6" s="2"/>
      <c r="K6" s="2"/>
      <c r="L6" s="2"/>
      <c r="M6" s="2"/>
    </row>
    <row r="7" spans="1:13" ht="15.75" customHeight="1">
      <c r="B7" s="75"/>
      <c r="C7" s="75"/>
      <c r="D7" s="75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45" t="s">
        <v>201</v>
      </c>
      <c r="B8" s="145"/>
      <c r="C8" s="145"/>
      <c r="D8" s="145"/>
      <c r="E8" s="145"/>
      <c r="F8" s="145"/>
      <c r="G8" s="145"/>
      <c r="H8" s="145"/>
      <c r="I8" s="145"/>
      <c r="J8" s="78"/>
      <c r="K8" s="78"/>
      <c r="L8" s="78"/>
      <c r="M8" s="78"/>
    </row>
    <row r="9" spans="1:13" ht="15.75">
      <c r="A9" s="4"/>
      <c r="J9" s="2"/>
      <c r="K9" s="2"/>
      <c r="L9" s="2"/>
      <c r="M9" s="2"/>
    </row>
    <row r="10" spans="1:13" ht="47.25" customHeight="1">
      <c r="A10" s="146" t="s">
        <v>202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8" t="s">
        <v>61</v>
      </c>
      <c r="B14" s="148"/>
      <c r="C14" s="148"/>
      <c r="D14" s="148"/>
      <c r="E14" s="148"/>
      <c r="F14" s="148"/>
      <c r="G14" s="148"/>
      <c r="H14" s="148"/>
      <c r="I14" s="148"/>
      <c r="J14" s="8"/>
      <c r="K14" s="8"/>
      <c r="L14" s="8"/>
      <c r="M14" s="8"/>
    </row>
    <row r="15" spans="1:13" ht="15.75" customHeight="1">
      <c r="A15" s="149" t="s">
        <v>4</v>
      </c>
      <c r="B15" s="149"/>
      <c r="C15" s="149"/>
      <c r="D15" s="149"/>
      <c r="E15" s="149"/>
      <c r="F15" s="149"/>
      <c r="G15" s="149"/>
      <c r="H15" s="149"/>
      <c r="I15" s="149"/>
      <c r="J15" s="8"/>
      <c r="K15" s="8"/>
      <c r="L15" s="8"/>
      <c r="M15" s="8"/>
    </row>
    <row r="16" spans="1:13" ht="15.75" customHeight="1">
      <c r="A16" s="31">
        <v>1</v>
      </c>
      <c r="B16" s="93" t="s">
        <v>92</v>
      </c>
      <c r="C16" s="94" t="s">
        <v>102</v>
      </c>
      <c r="D16" s="93" t="s">
        <v>140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8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111</v>
      </c>
      <c r="C17" s="94" t="s">
        <v>102</v>
      </c>
      <c r="D17" s="93" t="s">
        <v>141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112</v>
      </c>
      <c r="C18" s="94" t="s">
        <v>102</v>
      </c>
      <c r="D18" s="93" t="s">
        <v>142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3" t="s">
        <v>136</v>
      </c>
      <c r="C19" s="94" t="s">
        <v>137</v>
      </c>
      <c r="D19" s="93" t="s">
        <v>138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f>F19/2*G19</f>
        <v>157.22784000000001</v>
      </c>
      <c r="J19" s="8"/>
      <c r="K19" s="8"/>
      <c r="L19" s="8"/>
      <c r="M19" s="8"/>
    </row>
    <row r="20" spans="1:13" ht="15.75" customHeight="1">
      <c r="A20" s="31">
        <v>4</v>
      </c>
      <c r="B20" s="93" t="s">
        <v>101</v>
      </c>
      <c r="C20" s="94" t="s">
        <v>102</v>
      </c>
      <c r="D20" s="93" t="s">
        <v>30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3" t="s">
        <v>109</v>
      </c>
      <c r="C21" s="94" t="s">
        <v>102</v>
      </c>
      <c r="D21" s="93" t="s">
        <v>30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3" t="s">
        <v>103</v>
      </c>
      <c r="C22" s="94" t="s">
        <v>54</v>
      </c>
      <c r="D22" s="93" t="s">
        <v>138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f>F22*G22</f>
        <v>720.94365000000005</v>
      </c>
      <c r="J22" s="8"/>
      <c r="K22" s="8"/>
      <c r="L22" s="8"/>
      <c r="M22" s="8"/>
    </row>
    <row r="23" spans="1:13" ht="15.75" hidden="1" customHeight="1">
      <c r="A23" s="31">
        <v>8</v>
      </c>
      <c r="B23" s="93" t="s">
        <v>104</v>
      </c>
      <c r="C23" s="94" t="s">
        <v>54</v>
      </c>
      <c r="D23" s="93" t="s">
        <v>138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f t="shared" ref="I23:I26" si="1">F23*G23</f>
        <v>9.6552199999999999</v>
      </c>
      <c r="J23" s="8"/>
      <c r="K23" s="8"/>
      <c r="L23" s="8"/>
      <c r="M23" s="8"/>
    </row>
    <row r="24" spans="1:13" ht="15.75" hidden="1" customHeight="1">
      <c r="A24" s="31">
        <v>9</v>
      </c>
      <c r="B24" s="93" t="s">
        <v>105</v>
      </c>
      <c r="C24" s="94" t="s">
        <v>54</v>
      </c>
      <c r="D24" s="93" t="s">
        <v>139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f t="shared" si="1"/>
        <v>58.457999999999998</v>
      </c>
      <c r="J24" s="8"/>
      <c r="K24" s="8"/>
      <c r="L24" s="8"/>
      <c r="M24" s="8"/>
    </row>
    <row r="25" spans="1:13" ht="15.75" hidden="1" customHeight="1">
      <c r="A25" s="31">
        <v>10</v>
      </c>
      <c r="B25" s="93" t="s">
        <v>110</v>
      </c>
      <c r="C25" s="94" t="s">
        <v>102</v>
      </c>
      <c r="D25" s="93" t="s">
        <v>55</v>
      </c>
      <c r="E25" s="95">
        <v>14.25</v>
      </c>
      <c r="F25" s="96">
        <v>0.1</v>
      </c>
      <c r="G25" s="96">
        <v>216.12</v>
      </c>
      <c r="H25" s="97">
        <v>3.1E-2</v>
      </c>
      <c r="I25" s="13">
        <f t="shared" si="1"/>
        <v>21.612000000000002</v>
      </c>
      <c r="J25" s="8"/>
      <c r="K25" s="8"/>
      <c r="L25" s="8"/>
      <c r="M25" s="8"/>
    </row>
    <row r="26" spans="1:13" ht="15.75" hidden="1" customHeight="1">
      <c r="A26" s="31">
        <v>11</v>
      </c>
      <c r="B26" s="93" t="s">
        <v>106</v>
      </c>
      <c r="C26" s="94" t="s">
        <v>54</v>
      </c>
      <c r="D26" s="93" t="s">
        <v>138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f t="shared" si="1"/>
        <v>33.227039999999995</v>
      </c>
      <c r="J26" s="8"/>
      <c r="K26" s="8"/>
      <c r="L26" s="8"/>
      <c r="M26" s="8"/>
    </row>
    <row r="27" spans="1:13" ht="15.75" customHeight="1">
      <c r="A27" s="31">
        <v>6</v>
      </c>
      <c r="B27" s="93" t="s">
        <v>66</v>
      </c>
      <c r="C27" s="94" t="s">
        <v>33</v>
      </c>
      <c r="D27" s="34" t="s">
        <v>90</v>
      </c>
      <c r="E27" s="95">
        <v>0.1</v>
      </c>
      <c r="F27" s="96">
        <f>SUM(E27*365)</f>
        <v>36.5</v>
      </c>
      <c r="G27" s="96">
        <v>147.03</v>
      </c>
      <c r="H27" s="97">
        <f t="shared" si="0"/>
        <v>5.3665950000000002</v>
      </c>
      <c r="I27" s="13">
        <f>F27/12*G27</f>
        <v>447.21625</v>
      </c>
      <c r="J27" s="8"/>
      <c r="K27" s="8"/>
      <c r="L27" s="8"/>
      <c r="M27" s="8"/>
    </row>
    <row r="28" spans="1:13" ht="15.75" customHeight="1">
      <c r="A28" s="31">
        <v>7</v>
      </c>
      <c r="B28" s="99" t="s">
        <v>23</v>
      </c>
      <c r="C28" s="94" t="s">
        <v>24</v>
      </c>
      <c r="D28" s="34" t="s">
        <v>90</v>
      </c>
      <c r="E28" s="95">
        <v>2581.1999999999998</v>
      </c>
      <c r="F28" s="96">
        <f>SUM(E28*12)</f>
        <v>30974.399999999998</v>
      </c>
      <c r="G28" s="96">
        <v>4.8099999999999996</v>
      </c>
      <c r="H28" s="97">
        <f t="shared" si="0"/>
        <v>148.98686399999997</v>
      </c>
      <c r="I28" s="13">
        <f>F28/12*G28</f>
        <v>12415.571999999998</v>
      </c>
      <c r="J28" s="24"/>
      <c r="K28" s="8"/>
      <c r="L28" s="8"/>
      <c r="M28" s="8"/>
    </row>
    <row r="29" spans="1:13" ht="15.75" customHeight="1">
      <c r="A29" s="149" t="s">
        <v>89</v>
      </c>
      <c r="B29" s="149"/>
      <c r="C29" s="149"/>
      <c r="D29" s="149"/>
      <c r="E29" s="149"/>
      <c r="F29" s="149"/>
      <c r="G29" s="149"/>
      <c r="H29" s="149"/>
      <c r="I29" s="149"/>
      <c r="J29" s="24"/>
      <c r="K29" s="8"/>
      <c r="L29" s="8"/>
      <c r="M29" s="8"/>
    </row>
    <row r="30" spans="1:13" ht="15.75" customHeight="1">
      <c r="A30" s="41"/>
      <c r="B30" s="51" t="s">
        <v>28</v>
      </c>
      <c r="C30" s="51"/>
      <c r="D30" s="51"/>
      <c r="E30" s="51"/>
      <c r="F30" s="51"/>
      <c r="G30" s="51"/>
      <c r="H30" s="51"/>
      <c r="I30" s="19"/>
      <c r="J30" s="24"/>
      <c r="K30" s="8"/>
      <c r="L30" s="8"/>
      <c r="M30" s="8"/>
    </row>
    <row r="31" spans="1:13" ht="15.75" customHeight="1">
      <c r="A31" s="41">
        <v>8</v>
      </c>
      <c r="B31" s="93" t="s">
        <v>114</v>
      </c>
      <c r="C31" s="94" t="s">
        <v>115</v>
      </c>
      <c r="D31" s="93" t="s">
        <v>116</v>
      </c>
      <c r="E31" s="96">
        <v>1167.4000000000001</v>
      </c>
      <c r="F31" s="96">
        <f>SUM(E31*52/1000)</f>
        <v>60.704800000000006</v>
      </c>
      <c r="G31" s="96">
        <v>155.88999999999999</v>
      </c>
      <c r="H31" s="97">
        <f t="shared" ref="H31:H33" si="2">SUM(F31*G31/1000)</f>
        <v>9.4632712720000001</v>
      </c>
      <c r="I31" s="13">
        <f>F31/6*G31</f>
        <v>1577.2118786666665</v>
      </c>
      <c r="J31" s="24"/>
      <c r="K31" s="8"/>
      <c r="L31" s="8"/>
      <c r="M31" s="8"/>
    </row>
    <row r="32" spans="1:13" ht="31.5" customHeight="1">
      <c r="A32" s="41">
        <v>9</v>
      </c>
      <c r="B32" s="93" t="s">
        <v>154</v>
      </c>
      <c r="C32" s="94" t="s">
        <v>115</v>
      </c>
      <c r="D32" s="93" t="s">
        <v>117</v>
      </c>
      <c r="E32" s="96">
        <v>540.04999999999995</v>
      </c>
      <c r="F32" s="96">
        <f>SUM(E32*78/1000)</f>
        <v>42.123899999999992</v>
      </c>
      <c r="G32" s="96">
        <v>258.63</v>
      </c>
      <c r="H32" s="97">
        <f t="shared" si="2"/>
        <v>10.894504256999998</v>
      </c>
      <c r="I32" s="13">
        <f t="shared" ref="I32:I34" si="3">F32/6*G32</f>
        <v>1815.7507094999996</v>
      </c>
      <c r="J32" s="24"/>
      <c r="K32" s="8"/>
      <c r="L32" s="8"/>
      <c r="M32" s="8"/>
    </row>
    <row r="33" spans="1:13" ht="15.75" hidden="1" customHeight="1">
      <c r="A33" s="41">
        <v>16</v>
      </c>
      <c r="B33" s="93" t="s">
        <v>27</v>
      </c>
      <c r="C33" s="94" t="s">
        <v>115</v>
      </c>
      <c r="D33" s="93" t="s">
        <v>55</v>
      </c>
      <c r="E33" s="96">
        <v>1167.4000000000001</v>
      </c>
      <c r="F33" s="96">
        <f>SUM(E33/1000)</f>
        <v>1.1674</v>
      </c>
      <c r="G33" s="96">
        <v>3020.33</v>
      </c>
      <c r="H33" s="97">
        <f t="shared" si="2"/>
        <v>3.5259332420000002</v>
      </c>
      <c r="I33" s="13">
        <f>F33*G33</f>
        <v>3525.9332420000001</v>
      </c>
      <c r="J33" s="24"/>
      <c r="K33" s="8"/>
      <c r="L33" s="8"/>
      <c r="M33" s="8"/>
    </row>
    <row r="34" spans="1:13" ht="15.75" customHeight="1">
      <c r="A34" s="41">
        <v>10</v>
      </c>
      <c r="B34" s="93" t="s">
        <v>118</v>
      </c>
      <c r="C34" s="94" t="s">
        <v>31</v>
      </c>
      <c r="D34" s="93" t="s">
        <v>65</v>
      </c>
      <c r="E34" s="100">
        <v>0.33333333333333331</v>
      </c>
      <c r="F34" s="96">
        <f>155/3</f>
        <v>51.666666666666664</v>
      </c>
      <c r="G34" s="96">
        <v>56.69</v>
      </c>
      <c r="H34" s="97">
        <f>SUM(G34*155/3/1000)</f>
        <v>2.9289833333333331</v>
      </c>
      <c r="I34" s="13">
        <f t="shared" si="3"/>
        <v>488.16388888888883</v>
      </c>
      <c r="J34" s="24"/>
      <c r="K34" s="8"/>
      <c r="L34" s="8"/>
      <c r="M34" s="8"/>
    </row>
    <row r="35" spans="1:13" ht="15.75" hidden="1" customHeight="1">
      <c r="A35" s="41">
        <v>4</v>
      </c>
      <c r="B35" s="93" t="s">
        <v>67</v>
      </c>
      <c r="C35" s="94" t="s">
        <v>33</v>
      </c>
      <c r="D35" s="93" t="s">
        <v>68</v>
      </c>
      <c r="E35" s="95"/>
      <c r="F35" s="96">
        <v>3</v>
      </c>
      <c r="G35" s="96">
        <v>191.32</v>
      </c>
      <c r="H35" s="97">
        <f t="shared" ref="H35" si="4">SUM(F35*G35/1000)</f>
        <v>0.57396000000000003</v>
      </c>
      <c r="I35" s="13">
        <v>0</v>
      </c>
      <c r="J35" s="24"/>
      <c r="K35" s="8"/>
      <c r="L35" s="8"/>
      <c r="M35" s="8"/>
    </row>
    <row r="36" spans="1:13" ht="15.75" hidden="1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9"/>
      <c r="J36" s="24"/>
      <c r="K36" s="8"/>
      <c r="L36" s="8"/>
      <c r="M36" s="8"/>
    </row>
    <row r="37" spans="1:13" ht="15.75" hidden="1" customHeight="1">
      <c r="A37" s="41">
        <v>8</v>
      </c>
      <c r="B37" s="93" t="s">
        <v>26</v>
      </c>
      <c r="C37" s="94" t="s">
        <v>32</v>
      </c>
      <c r="D37" s="93"/>
      <c r="E37" s="95"/>
      <c r="F37" s="96">
        <v>6</v>
      </c>
      <c r="G37" s="96">
        <v>1527.2</v>
      </c>
      <c r="H37" s="97">
        <f t="shared" ref="H37:H42" si="5">SUM(F37*G37/1000)</f>
        <v>9.1632000000000016</v>
      </c>
      <c r="I37" s="13">
        <f t="shared" ref="I37:I42" si="6">F37/6*G37</f>
        <v>1527.2</v>
      </c>
      <c r="J37" s="24"/>
      <c r="K37" s="8"/>
      <c r="L37" s="8"/>
      <c r="M37" s="8"/>
    </row>
    <row r="38" spans="1:13" ht="15.75" hidden="1" customHeight="1">
      <c r="A38" s="35">
        <v>9</v>
      </c>
      <c r="B38" s="93" t="s">
        <v>69</v>
      </c>
      <c r="C38" s="94" t="s">
        <v>29</v>
      </c>
      <c r="D38" s="93" t="s">
        <v>143</v>
      </c>
      <c r="E38" s="96">
        <v>1080.0999999999999</v>
      </c>
      <c r="F38" s="96">
        <f>SUM(E38*30/1000)</f>
        <v>32.402999999999999</v>
      </c>
      <c r="G38" s="96">
        <v>2102.6999999999998</v>
      </c>
      <c r="H38" s="97">
        <f t="shared" si="5"/>
        <v>68.13378809999999</v>
      </c>
      <c r="I38" s="13">
        <f t="shared" si="6"/>
        <v>11355.63135</v>
      </c>
      <c r="J38" s="24"/>
      <c r="K38" s="8"/>
      <c r="L38" s="8"/>
      <c r="M38" s="8"/>
    </row>
    <row r="39" spans="1:13" ht="15.75" hidden="1" customHeight="1">
      <c r="A39" s="35">
        <v>10</v>
      </c>
      <c r="B39" s="93" t="s">
        <v>70</v>
      </c>
      <c r="C39" s="94" t="s">
        <v>29</v>
      </c>
      <c r="D39" s="93" t="s">
        <v>119</v>
      </c>
      <c r="E39" s="96">
        <v>45</v>
      </c>
      <c r="F39" s="96">
        <f>SUM(E39*155/1000)</f>
        <v>6.9749999999999996</v>
      </c>
      <c r="G39" s="96">
        <v>350.75</v>
      </c>
      <c r="H39" s="97">
        <f t="shared" si="5"/>
        <v>2.4464812499999997</v>
      </c>
      <c r="I39" s="13">
        <f t="shared" si="6"/>
        <v>407.74687499999993</v>
      </c>
      <c r="J39" s="24"/>
      <c r="K39" s="8"/>
      <c r="L39" s="8"/>
      <c r="M39" s="8"/>
    </row>
    <row r="40" spans="1:13" ht="47.25" hidden="1" customHeight="1">
      <c r="A40" s="35">
        <v>11</v>
      </c>
      <c r="B40" s="93" t="s">
        <v>87</v>
      </c>
      <c r="C40" s="94" t="s">
        <v>115</v>
      </c>
      <c r="D40" s="93" t="s">
        <v>71</v>
      </c>
      <c r="E40" s="96">
        <v>45</v>
      </c>
      <c r="F40" s="96">
        <f>SUM(E40*70/1000)</f>
        <v>3.15</v>
      </c>
      <c r="G40" s="96">
        <v>5803.28</v>
      </c>
      <c r="H40" s="97">
        <f t="shared" si="5"/>
        <v>18.280331999999998</v>
      </c>
      <c r="I40" s="13">
        <f t="shared" si="6"/>
        <v>3046.7220000000002</v>
      </c>
      <c r="J40" s="24"/>
      <c r="K40" s="8"/>
      <c r="L40" s="8"/>
      <c r="M40" s="8"/>
    </row>
    <row r="41" spans="1:13" ht="15.75" hidden="1" customHeight="1">
      <c r="A41" s="35">
        <v>12</v>
      </c>
      <c r="B41" s="93" t="s">
        <v>120</v>
      </c>
      <c r="C41" s="94" t="s">
        <v>115</v>
      </c>
      <c r="D41" s="93" t="s">
        <v>72</v>
      </c>
      <c r="E41" s="96">
        <v>45</v>
      </c>
      <c r="F41" s="96">
        <f>SUM(E41*45/1000)</f>
        <v>2.0249999999999999</v>
      </c>
      <c r="G41" s="96">
        <v>428.7</v>
      </c>
      <c r="H41" s="97">
        <f t="shared" si="5"/>
        <v>0.86811749999999999</v>
      </c>
      <c r="I41" s="13">
        <f t="shared" si="6"/>
        <v>144.68624999999997</v>
      </c>
      <c r="J41" s="24"/>
      <c r="K41" s="8"/>
      <c r="L41" s="8"/>
      <c r="M41" s="8"/>
    </row>
    <row r="42" spans="1:13" ht="15.75" hidden="1" customHeight="1">
      <c r="A42" s="35">
        <v>13</v>
      </c>
      <c r="B42" s="93" t="s">
        <v>73</v>
      </c>
      <c r="C42" s="94" t="s">
        <v>33</v>
      </c>
      <c r="D42" s="93"/>
      <c r="E42" s="95"/>
      <c r="F42" s="96">
        <v>0.6</v>
      </c>
      <c r="G42" s="96">
        <v>798</v>
      </c>
      <c r="H42" s="97">
        <f t="shared" si="5"/>
        <v>0.47879999999999995</v>
      </c>
      <c r="I42" s="13">
        <f t="shared" si="6"/>
        <v>79.8</v>
      </c>
      <c r="J42" s="24"/>
      <c r="K42" s="8"/>
      <c r="L42" s="8"/>
      <c r="M42" s="8"/>
    </row>
    <row r="43" spans="1:13" ht="15.75" customHeight="1">
      <c r="A43" s="150" t="s">
        <v>151</v>
      </c>
      <c r="B43" s="151"/>
      <c r="C43" s="151"/>
      <c r="D43" s="151"/>
      <c r="E43" s="151"/>
      <c r="F43" s="151"/>
      <c r="G43" s="151"/>
      <c r="H43" s="151"/>
      <c r="I43" s="152"/>
      <c r="J43" s="24"/>
      <c r="K43" s="8"/>
      <c r="L43" s="8"/>
      <c r="M43" s="8"/>
    </row>
    <row r="44" spans="1:13" ht="15.75" hidden="1" customHeight="1">
      <c r="A44" s="41">
        <v>18</v>
      </c>
      <c r="B44" s="93" t="s">
        <v>121</v>
      </c>
      <c r="C44" s="94" t="s">
        <v>115</v>
      </c>
      <c r="D44" s="93" t="s">
        <v>43</v>
      </c>
      <c r="E44" s="95">
        <v>965.8</v>
      </c>
      <c r="F44" s="96">
        <f>SUM(E44*2/1000)</f>
        <v>1.9316</v>
      </c>
      <c r="G44" s="13">
        <v>849.49</v>
      </c>
      <c r="H44" s="97">
        <f t="shared" ref="H44:H53" si="7">SUM(F44*G44/1000)</f>
        <v>1.640874884</v>
      </c>
      <c r="I44" s="13">
        <f t="shared" ref="I44:I47" si="8">F44/2*G44</f>
        <v>820.43744200000003</v>
      </c>
      <c r="J44" s="24"/>
      <c r="K44" s="8"/>
    </row>
    <row r="45" spans="1:13" ht="15.75" hidden="1" customHeight="1">
      <c r="A45" s="41">
        <v>19</v>
      </c>
      <c r="B45" s="93" t="s">
        <v>36</v>
      </c>
      <c r="C45" s="94" t="s">
        <v>115</v>
      </c>
      <c r="D45" s="93" t="s">
        <v>43</v>
      </c>
      <c r="E45" s="95">
        <v>36</v>
      </c>
      <c r="F45" s="96">
        <f>SUM(E45*2/1000)</f>
        <v>7.1999999999999995E-2</v>
      </c>
      <c r="G45" s="13">
        <v>579.48</v>
      </c>
      <c r="H45" s="97">
        <f t="shared" si="7"/>
        <v>4.1722559999999999E-2</v>
      </c>
      <c r="I45" s="13">
        <f t="shared" si="8"/>
        <v>20.861280000000001</v>
      </c>
      <c r="J45" s="25"/>
    </row>
    <row r="46" spans="1:13" ht="15.75" hidden="1" customHeight="1">
      <c r="A46" s="41">
        <v>20</v>
      </c>
      <c r="B46" s="93" t="s">
        <v>37</v>
      </c>
      <c r="C46" s="94" t="s">
        <v>115</v>
      </c>
      <c r="D46" s="93" t="s">
        <v>43</v>
      </c>
      <c r="E46" s="95">
        <v>1197.7</v>
      </c>
      <c r="F46" s="96">
        <f>SUM(E46*2/1000)</f>
        <v>2.3954</v>
      </c>
      <c r="G46" s="13">
        <v>579.48</v>
      </c>
      <c r="H46" s="97">
        <f t="shared" si="7"/>
        <v>1.3880863919999999</v>
      </c>
      <c r="I46" s="13">
        <f t="shared" si="8"/>
        <v>694.04319599999997</v>
      </c>
      <c r="J46" s="25"/>
    </row>
    <row r="47" spans="1:13" ht="15.75" hidden="1" customHeight="1">
      <c r="A47" s="41">
        <v>21</v>
      </c>
      <c r="B47" s="93" t="s">
        <v>38</v>
      </c>
      <c r="C47" s="94" t="s">
        <v>115</v>
      </c>
      <c r="D47" s="93" t="s">
        <v>43</v>
      </c>
      <c r="E47" s="95">
        <v>2275.92</v>
      </c>
      <c r="F47" s="96">
        <f>SUM(E47*2/1000)</f>
        <v>4.5518400000000003</v>
      </c>
      <c r="G47" s="13">
        <v>606.77</v>
      </c>
      <c r="H47" s="97">
        <f t="shared" si="7"/>
        <v>2.7619199567999999</v>
      </c>
      <c r="I47" s="13">
        <f t="shared" si="8"/>
        <v>1380.9599784</v>
      </c>
      <c r="J47" s="25"/>
    </row>
    <row r="48" spans="1:13" ht="15.75" hidden="1" customHeight="1">
      <c r="A48" s="41">
        <v>22</v>
      </c>
      <c r="B48" s="93" t="s">
        <v>34</v>
      </c>
      <c r="C48" s="94" t="s">
        <v>35</v>
      </c>
      <c r="D48" s="93" t="s">
        <v>43</v>
      </c>
      <c r="E48" s="95">
        <v>81.709999999999994</v>
      </c>
      <c r="F48" s="96">
        <f>SUM(E48*2/100)</f>
        <v>1.6341999999999999</v>
      </c>
      <c r="G48" s="13">
        <v>68.56</v>
      </c>
      <c r="H48" s="97">
        <f t="shared" si="7"/>
        <v>0.11204075199999999</v>
      </c>
      <c r="I48" s="13">
        <f>F48/2*G48</f>
        <v>56.020375999999999</v>
      </c>
      <c r="J48" s="25"/>
    </row>
    <row r="49" spans="1:14" ht="15.75" hidden="1" customHeight="1">
      <c r="A49" s="41">
        <v>23</v>
      </c>
      <c r="B49" s="93" t="s">
        <v>58</v>
      </c>
      <c r="C49" s="94" t="s">
        <v>115</v>
      </c>
      <c r="D49" s="93" t="s">
        <v>155</v>
      </c>
      <c r="E49" s="95">
        <v>1711.8</v>
      </c>
      <c r="F49" s="96">
        <f>SUM(E49*5/1000)</f>
        <v>8.5589999999999993</v>
      </c>
      <c r="G49" s="13">
        <v>1213.55</v>
      </c>
      <c r="H49" s="97">
        <f t="shared" si="7"/>
        <v>10.386774449999999</v>
      </c>
      <c r="I49" s="13">
        <f>F49/5*G49</f>
        <v>2077.3548899999996</v>
      </c>
      <c r="J49" s="25"/>
    </row>
    <row r="50" spans="1:14" ht="31.5" hidden="1" customHeight="1">
      <c r="A50" s="41">
        <v>14</v>
      </c>
      <c r="B50" s="93" t="s">
        <v>122</v>
      </c>
      <c r="C50" s="94" t="s">
        <v>115</v>
      </c>
      <c r="D50" s="93" t="s">
        <v>43</v>
      </c>
      <c r="E50" s="95">
        <v>1711.8</v>
      </c>
      <c r="F50" s="96">
        <f>SUM(E50*2/1000)</f>
        <v>3.4236</v>
      </c>
      <c r="G50" s="13">
        <v>1213.55</v>
      </c>
      <c r="H50" s="97">
        <f t="shared" si="7"/>
        <v>4.1547097800000001</v>
      </c>
      <c r="I50" s="13">
        <f>F50/2*G50</f>
        <v>2077.3548900000001</v>
      </c>
      <c r="J50" s="25"/>
    </row>
    <row r="51" spans="1:14" ht="31.5" hidden="1" customHeight="1">
      <c r="A51" s="41">
        <v>15</v>
      </c>
      <c r="B51" s="93" t="s">
        <v>123</v>
      </c>
      <c r="C51" s="94" t="s">
        <v>39</v>
      </c>
      <c r="D51" s="93" t="s">
        <v>43</v>
      </c>
      <c r="E51" s="95">
        <v>15</v>
      </c>
      <c r="F51" s="96">
        <f>SUM(E51*2/100)</f>
        <v>0.3</v>
      </c>
      <c r="G51" s="13">
        <v>2730.49</v>
      </c>
      <c r="H51" s="97">
        <f t="shared" si="7"/>
        <v>0.81914699999999996</v>
      </c>
      <c r="I51" s="13">
        <f t="shared" ref="I51:I52" si="9">F51/2*G51</f>
        <v>409.57349999999997</v>
      </c>
      <c r="J51" s="25"/>
    </row>
    <row r="52" spans="1:14" ht="15.75" hidden="1" customHeight="1">
      <c r="A52" s="41">
        <v>16</v>
      </c>
      <c r="B52" s="93" t="s">
        <v>40</v>
      </c>
      <c r="C52" s="94" t="s">
        <v>41</v>
      </c>
      <c r="D52" s="93" t="s">
        <v>43</v>
      </c>
      <c r="E52" s="95">
        <v>1</v>
      </c>
      <c r="F52" s="96">
        <v>0.02</v>
      </c>
      <c r="G52" s="13">
        <v>5322.15</v>
      </c>
      <c r="H52" s="97">
        <f t="shared" si="7"/>
        <v>0.106443</v>
      </c>
      <c r="I52" s="13">
        <f t="shared" si="9"/>
        <v>53.221499999999999</v>
      </c>
      <c r="J52" s="25"/>
      <c r="L52" s="21"/>
      <c r="M52" s="22"/>
      <c r="N52" s="23"/>
    </row>
    <row r="53" spans="1:14" ht="15.75" customHeight="1">
      <c r="A53" s="41">
        <v>11</v>
      </c>
      <c r="B53" s="93" t="s">
        <v>42</v>
      </c>
      <c r="C53" s="94" t="s">
        <v>95</v>
      </c>
      <c r="D53" s="93" t="s">
        <v>74</v>
      </c>
      <c r="E53" s="95">
        <v>90</v>
      </c>
      <c r="F53" s="96">
        <f>SUM(E53)*3</f>
        <v>270</v>
      </c>
      <c r="G53" s="13">
        <v>65.67</v>
      </c>
      <c r="H53" s="97">
        <f t="shared" si="7"/>
        <v>17.730900000000002</v>
      </c>
      <c r="I53" s="13">
        <f>E53*G53</f>
        <v>5910.3</v>
      </c>
      <c r="J53" s="25"/>
      <c r="L53" s="21"/>
      <c r="M53" s="22"/>
      <c r="N53" s="23"/>
    </row>
    <row r="54" spans="1:14" ht="15.75" customHeight="1">
      <c r="A54" s="150" t="s">
        <v>152</v>
      </c>
      <c r="B54" s="151"/>
      <c r="C54" s="151"/>
      <c r="D54" s="151"/>
      <c r="E54" s="151"/>
      <c r="F54" s="151"/>
      <c r="G54" s="151"/>
      <c r="H54" s="151"/>
      <c r="I54" s="152"/>
      <c r="J54" s="25"/>
      <c r="L54" s="21"/>
      <c r="M54" s="22"/>
      <c r="N54" s="23"/>
    </row>
    <row r="55" spans="1:14" ht="15.75" hidden="1" customHeight="1">
      <c r="A55" s="53"/>
      <c r="B55" s="48" t="s">
        <v>44</v>
      </c>
      <c r="C55" s="17"/>
      <c r="D55" s="16"/>
      <c r="E55" s="16"/>
      <c r="F55" s="16"/>
      <c r="G55" s="31"/>
      <c r="H55" s="31"/>
      <c r="I55" s="19"/>
      <c r="J55" s="25"/>
      <c r="L55" s="21"/>
      <c r="M55" s="22"/>
      <c r="N55" s="23"/>
    </row>
    <row r="56" spans="1:14" ht="31.5" hidden="1" customHeight="1">
      <c r="A56" s="41">
        <v>14</v>
      </c>
      <c r="B56" s="93" t="s">
        <v>124</v>
      </c>
      <c r="C56" s="94" t="s">
        <v>102</v>
      </c>
      <c r="D56" s="93" t="s">
        <v>125</v>
      </c>
      <c r="E56" s="95">
        <v>96.58</v>
      </c>
      <c r="F56" s="96">
        <f>SUM(E56*6/100)</f>
        <v>5.7948000000000004</v>
      </c>
      <c r="G56" s="13">
        <v>1547.28</v>
      </c>
      <c r="H56" s="97">
        <f>SUM(F56*G56/1000)</f>
        <v>8.9661781440000006</v>
      </c>
      <c r="I56" s="13">
        <f>F56/6*G56</f>
        <v>1494.3630240000002</v>
      </c>
      <c r="J56" s="25"/>
      <c r="L56" s="21"/>
      <c r="M56" s="22"/>
      <c r="N56" s="23"/>
    </row>
    <row r="57" spans="1:14" ht="15.75" customHeight="1">
      <c r="A57" s="41"/>
      <c r="B57" s="69" t="s">
        <v>45</v>
      </c>
      <c r="C57" s="40"/>
      <c r="D57" s="34"/>
      <c r="E57" s="19"/>
      <c r="F57" s="87"/>
      <c r="G57" s="37"/>
      <c r="H57" s="70"/>
      <c r="I57" s="20"/>
      <c r="J57" s="25"/>
      <c r="L57" s="21"/>
      <c r="M57" s="22"/>
      <c r="N57" s="23"/>
    </row>
    <row r="58" spans="1:14" ht="15.75" hidden="1" customHeight="1">
      <c r="A58" s="41"/>
      <c r="B58" s="93" t="s">
        <v>46</v>
      </c>
      <c r="C58" s="94" t="s">
        <v>102</v>
      </c>
      <c r="D58" s="93" t="s">
        <v>55</v>
      </c>
      <c r="E58" s="95">
        <v>855.9</v>
      </c>
      <c r="F58" s="97">
        <v>8.6</v>
      </c>
      <c r="G58" s="13">
        <v>747.3</v>
      </c>
      <c r="H58" s="101">
        <v>6.4</v>
      </c>
      <c r="I58" s="13">
        <v>0</v>
      </c>
      <c r="J58" s="25"/>
      <c r="L58" s="21"/>
      <c r="M58" s="22"/>
      <c r="N58" s="23"/>
    </row>
    <row r="59" spans="1:14" ht="15.75" customHeight="1">
      <c r="A59" s="41">
        <v>12</v>
      </c>
      <c r="B59" s="93" t="s">
        <v>96</v>
      </c>
      <c r="C59" s="94" t="s">
        <v>25</v>
      </c>
      <c r="D59" s="93" t="s">
        <v>144</v>
      </c>
      <c r="E59" s="95">
        <v>256</v>
      </c>
      <c r="F59" s="97">
        <f>E59*12</f>
        <v>3072</v>
      </c>
      <c r="G59" s="13">
        <v>2.5958999999999999</v>
      </c>
      <c r="H59" s="101">
        <f>F59*G59/1000</f>
        <v>7.9746047999999989</v>
      </c>
      <c r="I59" s="13">
        <f>F59/12*G59</f>
        <v>664.55039999999997</v>
      </c>
      <c r="J59" s="25"/>
      <c r="L59" s="21"/>
      <c r="M59" s="22"/>
      <c r="N59" s="23"/>
    </row>
    <row r="60" spans="1:14" ht="15.75" hidden="1" customHeight="1">
      <c r="A60" s="41"/>
      <c r="B60" s="69" t="s">
        <v>145</v>
      </c>
      <c r="C60" s="40"/>
      <c r="D60" s="34"/>
      <c r="E60" s="19"/>
      <c r="F60" s="87"/>
      <c r="G60" s="71"/>
      <c r="H60" s="70"/>
      <c r="I60" s="20"/>
      <c r="J60" s="25"/>
      <c r="L60" s="21"/>
      <c r="M60" s="22"/>
      <c r="N60" s="23"/>
    </row>
    <row r="61" spans="1:14" ht="15.75" hidden="1" customHeight="1">
      <c r="A61" s="41"/>
      <c r="B61" s="93" t="s">
        <v>146</v>
      </c>
      <c r="C61" s="94" t="s">
        <v>95</v>
      </c>
      <c r="D61" s="93" t="s">
        <v>68</v>
      </c>
      <c r="E61" s="95">
        <v>2</v>
      </c>
      <c r="F61" s="96">
        <f>SUM(E61)</f>
        <v>2</v>
      </c>
      <c r="G61" s="102">
        <v>237.75</v>
      </c>
      <c r="H61" s="97">
        <f t="shared" ref="H61" si="10">SUM(F61*G61/1000)</f>
        <v>0.47549999999999998</v>
      </c>
      <c r="I61" s="13">
        <v>0</v>
      </c>
      <c r="J61" s="25"/>
      <c r="L61" s="21"/>
      <c r="M61" s="22"/>
      <c r="N61" s="23"/>
    </row>
    <row r="62" spans="1:14" ht="15.75" hidden="1" customHeight="1">
      <c r="A62" s="41"/>
      <c r="B62" s="77" t="s">
        <v>47</v>
      </c>
      <c r="C62" s="17"/>
      <c r="D62" s="16"/>
      <c r="E62" s="16"/>
      <c r="F62" s="88"/>
      <c r="G62" s="65"/>
      <c r="H62" s="70"/>
      <c r="I62" s="19"/>
      <c r="J62" s="25"/>
      <c r="L62" s="21"/>
      <c r="M62" s="22"/>
      <c r="N62" s="23"/>
    </row>
    <row r="63" spans="1:14" ht="15.75" hidden="1" customHeight="1">
      <c r="A63" s="41">
        <v>23</v>
      </c>
      <c r="B63" s="15" t="s">
        <v>48</v>
      </c>
      <c r="C63" s="17" t="s">
        <v>95</v>
      </c>
      <c r="D63" s="93" t="s">
        <v>68</v>
      </c>
      <c r="E63" s="19">
        <v>10</v>
      </c>
      <c r="F63" s="96">
        <v>10</v>
      </c>
      <c r="G63" s="13">
        <v>222.4</v>
      </c>
      <c r="H63" s="103">
        <f t="shared" ref="H63:H70" si="11">SUM(F63*G63/1000)</f>
        <v>2.2240000000000002</v>
      </c>
      <c r="I63" s="13">
        <v>0</v>
      </c>
      <c r="J63" s="25"/>
      <c r="L63" s="21"/>
      <c r="M63" s="22"/>
      <c r="N63" s="23"/>
    </row>
    <row r="64" spans="1:14" ht="15.75" hidden="1" customHeight="1">
      <c r="A64" s="31">
        <v>29</v>
      </c>
      <c r="B64" s="15" t="s">
        <v>49</v>
      </c>
      <c r="C64" s="17" t="s">
        <v>95</v>
      </c>
      <c r="D64" s="93" t="s">
        <v>68</v>
      </c>
      <c r="E64" s="19">
        <v>5</v>
      </c>
      <c r="F64" s="96">
        <v>5</v>
      </c>
      <c r="G64" s="13">
        <v>75.25</v>
      </c>
      <c r="H64" s="103">
        <f t="shared" si="11"/>
        <v>0.37624999999999997</v>
      </c>
      <c r="I64" s="13">
        <v>0</v>
      </c>
      <c r="J64" s="25"/>
      <c r="L64" s="21"/>
      <c r="M64" s="22"/>
      <c r="N64" s="23"/>
    </row>
    <row r="65" spans="1:14" ht="15.75" hidden="1" customHeight="1">
      <c r="A65" s="31">
        <v>25</v>
      </c>
      <c r="B65" s="15" t="s">
        <v>50</v>
      </c>
      <c r="C65" s="17" t="s">
        <v>126</v>
      </c>
      <c r="D65" s="15" t="s">
        <v>55</v>
      </c>
      <c r="E65" s="95">
        <v>13018</v>
      </c>
      <c r="F65" s="13">
        <f>SUM(E65/100)</f>
        <v>130.18</v>
      </c>
      <c r="G65" s="13">
        <v>212.15</v>
      </c>
      <c r="H65" s="103">
        <f t="shared" si="11"/>
        <v>27.617687</v>
      </c>
      <c r="I65" s="13">
        <f>F65*G65</f>
        <v>27617.687000000002</v>
      </c>
      <c r="J65" s="25"/>
      <c r="L65" s="21"/>
      <c r="M65" s="22"/>
      <c r="N65" s="23"/>
    </row>
    <row r="66" spans="1:14" ht="15.75" hidden="1" customHeight="1">
      <c r="A66" s="31">
        <v>26</v>
      </c>
      <c r="B66" s="15" t="s">
        <v>51</v>
      </c>
      <c r="C66" s="17" t="s">
        <v>127</v>
      </c>
      <c r="D66" s="15"/>
      <c r="E66" s="95">
        <v>13018</v>
      </c>
      <c r="F66" s="13">
        <f>SUM(E66/1000)</f>
        <v>13.018000000000001</v>
      </c>
      <c r="G66" s="13">
        <v>165.21</v>
      </c>
      <c r="H66" s="103">
        <f t="shared" si="11"/>
        <v>2.1507037800000002</v>
      </c>
      <c r="I66" s="13">
        <f t="shared" ref="I66:I70" si="12">F66*G66</f>
        <v>2150.7037800000003</v>
      </c>
      <c r="J66" s="25"/>
      <c r="L66" s="21"/>
      <c r="M66" s="22"/>
      <c r="N66" s="23"/>
    </row>
    <row r="67" spans="1:14" ht="15.75" hidden="1" customHeight="1">
      <c r="A67" s="31">
        <v>27</v>
      </c>
      <c r="B67" s="15" t="s">
        <v>52</v>
      </c>
      <c r="C67" s="17" t="s">
        <v>79</v>
      </c>
      <c r="D67" s="15" t="s">
        <v>55</v>
      </c>
      <c r="E67" s="95">
        <v>1279</v>
      </c>
      <c r="F67" s="13">
        <f>SUM(E67/100)</f>
        <v>12.79</v>
      </c>
      <c r="G67" s="13">
        <v>2074.63</v>
      </c>
      <c r="H67" s="103">
        <f t="shared" si="11"/>
        <v>26.534517700000002</v>
      </c>
      <c r="I67" s="13">
        <f t="shared" si="12"/>
        <v>26534.5177</v>
      </c>
      <c r="J67" s="25"/>
      <c r="L67" s="21"/>
      <c r="M67" s="22"/>
      <c r="N67" s="23"/>
    </row>
    <row r="68" spans="1:14" ht="15.75" hidden="1" customHeight="1">
      <c r="A68" s="31">
        <v>28</v>
      </c>
      <c r="B68" s="104" t="s">
        <v>128</v>
      </c>
      <c r="C68" s="17" t="s">
        <v>33</v>
      </c>
      <c r="D68" s="15"/>
      <c r="E68" s="95">
        <v>12</v>
      </c>
      <c r="F68" s="13">
        <f>SUM(E68)</f>
        <v>12</v>
      </c>
      <c r="G68" s="13">
        <v>45.32</v>
      </c>
      <c r="H68" s="103">
        <f t="shared" si="11"/>
        <v>0.54383999999999999</v>
      </c>
      <c r="I68" s="13">
        <f t="shared" si="12"/>
        <v>543.84</v>
      </c>
      <c r="J68" s="25"/>
      <c r="L68" s="21"/>
      <c r="M68" s="22"/>
      <c r="N68" s="23"/>
    </row>
    <row r="69" spans="1:14" ht="15.75" hidden="1" customHeight="1">
      <c r="A69" s="31">
        <v>29</v>
      </c>
      <c r="B69" s="104" t="s">
        <v>129</v>
      </c>
      <c r="C69" s="17" t="s">
        <v>33</v>
      </c>
      <c r="D69" s="15"/>
      <c r="E69" s="95">
        <v>12</v>
      </c>
      <c r="F69" s="13">
        <f>SUM(E69)</f>
        <v>12</v>
      </c>
      <c r="G69" s="13">
        <v>42.28</v>
      </c>
      <c r="H69" s="103">
        <f t="shared" si="11"/>
        <v>0.50736000000000003</v>
      </c>
      <c r="I69" s="13">
        <f t="shared" si="12"/>
        <v>507.36</v>
      </c>
      <c r="J69" s="25"/>
      <c r="L69" s="21"/>
      <c r="M69" s="22"/>
      <c r="N69" s="23"/>
    </row>
    <row r="70" spans="1:14" ht="15.75" hidden="1" customHeight="1">
      <c r="A70" s="31">
        <v>13</v>
      </c>
      <c r="B70" s="15" t="s">
        <v>59</v>
      </c>
      <c r="C70" s="17" t="s">
        <v>60</v>
      </c>
      <c r="D70" s="15" t="s">
        <v>55</v>
      </c>
      <c r="E70" s="19">
        <v>1</v>
      </c>
      <c r="F70" s="96">
        <f>SUM(E70)</f>
        <v>1</v>
      </c>
      <c r="G70" s="13">
        <v>49.88</v>
      </c>
      <c r="H70" s="103">
        <f t="shared" si="11"/>
        <v>4.9880000000000001E-2</v>
      </c>
      <c r="I70" s="13">
        <f t="shared" si="12"/>
        <v>49.88</v>
      </c>
      <c r="J70" s="25"/>
      <c r="L70" s="21"/>
      <c r="M70" s="22"/>
      <c r="N70" s="23"/>
    </row>
    <row r="71" spans="1:14" ht="15.75" hidden="1" customHeight="1">
      <c r="A71" s="53"/>
      <c r="B71" s="77" t="s">
        <v>130</v>
      </c>
      <c r="C71" s="77"/>
      <c r="D71" s="77"/>
      <c r="E71" s="77"/>
      <c r="F71" s="77"/>
      <c r="G71" s="77"/>
      <c r="H71" s="77"/>
      <c r="I71" s="19"/>
      <c r="J71" s="25"/>
      <c r="L71" s="21"/>
      <c r="M71" s="22"/>
      <c r="N71" s="23"/>
    </row>
    <row r="72" spans="1:14" ht="15.75" hidden="1" customHeight="1">
      <c r="A72" s="31">
        <v>16</v>
      </c>
      <c r="B72" s="93" t="s">
        <v>131</v>
      </c>
      <c r="C72" s="17"/>
      <c r="D72" s="15"/>
      <c r="E72" s="87"/>
      <c r="F72" s="13">
        <v>1</v>
      </c>
      <c r="G72" s="13">
        <v>10041.700000000001</v>
      </c>
      <c r="H72" s="103">
        <f>G72*F72/1000</f>
        <v>10.041700000000001</v>
      </c>
      <c r="I72" s="13">
        <f>G72</f>
        <v>10041.700000000001</v>
      </c>
      <c r="J72" s="25"/>
      <c r="L72" s="21"/>
      <c r="M72" s="22"/>
      <c r="N72" s="23"/>
    </row>
    <row r="73" spans="1:14" ht="15.75" hidden="1" customHeight="1">
      <c r="A73" s="31"/>
      <c r="B73" s="49" t="s">
        <v>75</v>
      </c>
      <c r="C73" s="49"/>
      <c r="D73" s="49"/>
      <c r="E73" s="19"/>
      <c r="F73" s="19"/>
      <c r="G73" s="31"/>
      <c r="H73" s="31"/>
      <c r="I73" s="19"/>
      <c r="J73" s="25"/>
      <c r="L73" s="21"/>
      <c r="M73" s="22"/>
      <c r="N73" s="23"/>
    </row>
    <row r="74" spans="1:14" ht="15.75" hidden="1" customHeight="1">
      <c r="A74" s="31">
        <v>30</v>
      </c>
      <c r="B74" s="15" t="s">
        <v>76</v>
      </c>
      <c r="C74" s="17" t="s">
        <v>77</v>
      </c>
      <c r="D74" s="15" t="s">
        <v>68</v>
      </c>
      <c r="E74" s="19">
        <v>5</v>
      </c>
      <c r="F74" s="13">
        <v>0.5</v>
      </c>
      <c r="G74" s="13">
        <v>501.62</v>
      </c>
      <c r="H74" s="103">
        <f t="shared" ref="H74:H76" si="13">SUM(F74*G74/1000)</f>
        <v>0.25080999999999998</v>
      </c>
      <c r="I74" s="13">
        <f>G74*1.1</f>
        <v>551.78200000000004</v>
      </c>
      <c r="J74" s="25"/>
      <c r="L74" s="21"/>
      <c r="M74" s="22"/>
      <c r="N74" s="23"/>
    </row>
    <row r="75" spans="1:14" ht="15.75" hidden="1" customHeight="1">
      <c r="A75" s="31"/>
      <c r="B75" s="15" t="s">
        <v>147</v>
      </c>
      <c r="C75" s="17" t="s">
        <v>95</v>
      </c>
      <c r="D75" s="15"/>
      <c r="E75" s="19">
        <v>1</v>
      </c>
      <c r="F75" s="86">
        <f>E75</f>
        <v>1</v>
      </c>
      <c r="G75" s="13">
        <v>852.99</v>
      </c>
      <c r="H75" s="103">
        <f t="shared" si="13"/>
        <v>0.85299000000000003</v>
      </c>
      <c r="I75" s="13">
        <v>0</v>
      </c>
      <c r="J75" s="25"/>
      <c r="L75" s="21"/>
      <c r="M75" s="22"/>
      <c r="N75" s="23"/>
    </row>
    <row r="76" spans="1:14" ht="15.75" hidden="1" customHeight="1">
      <c r="A76" s="31"/>
      <c r="B76" s="15" t="s">
        <v>148</v>
      </c>
      <c r="C76" s="17" t="s">
        <v>95</v>
      </c>
      <c r="D76" s="15"/>
      <c r="E76" s="19">
        <v>1</v>
      </c>
      <c r="F76" s="96">
        <f>SUM(E76)</f>
        <v>1</v>
      </c>
      <c r="G76" s="13">
        <v>358.51</v>
      </c>
      <c r="H76" s="103">
        <f t="shared" si="13"/>
        <v>0.35851</v>
      </c>
      <c r="I76" s="13">
        <v>0</v>
      </c>
      <c r="J76" s="25"/>
      <c r="L76" s="21"/>
      <c r="M76" s="22"/>
      <c r="N76" s="23"/>
    </row>
    <row r="77" spans="1:14" ht="15.75" hidden="1" customHeight="1">
      <c r="A77" s="31"/>
      <c r="B77" s="50" t="s">
        <v>78</v>
      </c>
      <c r="C77" s="38"/>
      <c r="D77" s="31"/>
      <c r="E77" s="19"/>
      <c r="F77" s="19"/>
      <c r="G77" s="37" t="s">
        <v>132</v>
      </c>
      <c r="H77" s="37"/>
      <c r="I77" s="19"/>
      <c r="J77" s="25"/>
      <c r="L77" s="21"/>
      <c r="M77" s="22"/>
      <c r="N77" s="23"/>
    </row>
    <row r="78" spans="1:14" ht="15.75" hidden="1" customHeight="1">
      <c r="A78" s="31">
        <v>12</v>
      </c>
      <c r="B78" s="52" t="s">
        <v>133</v>
      </c>
      <c r="C78" s="17" t="s">
        <v>79</v>
      </c>
      <c r="D78" s="15"/>
      <c r="E78" s="19"/>
      <c r="F78" s="13">
        <v>0.3</v>
      </c>
      <c r="G78" s="13">
        <v>2759.44</v>
      </c>
      <c r="H78" s="103">
        <f t="shared" ref="H78" si="14">SUM(F78*G78/1000)</f>
        <v>0.82783200000000001</v>
      </c>
      <c r="I78" s="13">
        <v>0</v>
      </c>
      <c r="J78" s="25"/>
      <c r="L78" s="21"/>
      <c r="M78" s="22"/>
      <c r="N78" s="23"/>
    </row>
    <row r="79" spans="1:14" ht="15.75" customHeight="1">
      <c r="A79" s="154" t="s">
        <v>153</v>
      </c>
      <c r="B79" s="155"/>
      <c r="C79" s="155"/>
      <c r="D79" s="155"/>
      <c r="E79" s="155"/>
      <c r="F79" s="155"/>
      <c r="G79" s="155"/>
      <c r="H79" s="155"/>
      <c r="I79" s="156"/>
      <c r="J79" s="25"/>
      <c r="L79" s="21"/>
      <c r="M79" s="22"/>
      <c r="N79" s="23"/>
    </row>
    <row r="80" spans="1:14" ht="15.75" customHeight="1">
      <c r="A80" s="31">
        <v>13</v>
      </c>
      <c r="B80" s="93" t="s">
        <v>134</v>
      </c>
      <c r="C80" s="17" t="s">
        <v>56</v>
      </c>
      <c r="D80" s="106" t="s">
        <v>57</v>
      </c>
      <c r="E80" s="13">
        <v>2581.1999999999998</v>
      </c>
      <c r="F80" s="13">
        <f>SUM(E80*12)</f>
        <v>30974.399999999998</v>
      </c>
      <c r="G80" s="13">
        <v>2.1</v>
      </c>
      <c r="H80" s="103">
        <f>SUM(F80*G80/1000)</f>
        <v>65.046239999999997</v>
      </c>
      <c r="I80" s="13">
        <f>F80/12*G80</f>
        <v>5420.5199999999995</v>
      </c>
      <c r="J80" s="25"/>
      <c r="L80" s="21"/>
    </row>
    <row r="81" spans="1:22" ht="31.5" customHeight="1">
      <c r="A81" s="31">
        <v>14</v>
      </c>
      <c r="B81" s="15" t="s">
        <v>80</v>
      </c>
      <c r="C81" s="17"/>
      <c r="D81" s="106" t="s">
        <v>57</v>
      </c>
      <c r="E81" s="95">
        <v>2581.1999999999998</v>
      </c>
      <c r="F81" s="13">
        <f>E81*12</f>
        <v>30974.399999999998</v>
      </c>
      <c r="G81" s="13">
        <v>1.63</v>
      </c>
      <c r="H81" s="103">
        <f>F81*G81/1000</f>
        <v>50.488271999999988</v>
      </c>
      <c r="I81" s="13">
        <f>F81/12*G81</f>
        <v>4207.3559999999998</v>
      </c>
    </row>
    <row r="82" spans="1:22" ht="15.75" customHeight="1">
      <c r="A82" s="53"/>
      <c r="B82" s="39" t="s">
        <v>83</v>
      </c>
      <c r="C82" s="41"/>
      <c r="D82" s="16"/>
      <c r="E82" s="16"/>
      <c r="F82" s="16"/>
      <c r="G82" s="19"/>
      <c r="H82" s="19"/>
      <c r="I82" s="33">
        <f>SUM(I16+I17+I18+I20+I21+I27+I28+I31+I32+I34+I53+I59+I80+I81)</f>
        <v>39344.964483055548</v>
      </c>
    </row>
    <row r="83" spans="1:22" ht="15.75" customHeight="1">
      <c r="A83" s="157" t="s">
        <v>62</v>
      </c>
      <c r="B83" s="158"/>
      <c r="C83" s="158"/>
      <c r="D83" s="158"/>
      <c r="E83" s="158"/>
      <c r="F83" s="158"/>
      <c r="G83" s="158"/>
      <c r="H83" s="158"/>
      <c r="I83" s="159"/>
    </row>
    <row r="84" spans="1:22" ht="15.75" customHeight="1">
      <c r="A84" s="31">
        <v>15</v>
      </c>
      <c r="B84" s="67" t="s">
        <v>107</v>
      </c>
      <c r="C84" s="68" t="s">
        <v>95</v>
      </c>
      <c r="D84" s="52"/>
      <c r="E84" s="13"/>
      <c r="F84" s="13">
        <v>368</v>
      </c>
      <c r="G84" s="13">
        <v>53.42</v>
      </c>
      <c r="H84" s="103" t="e">
        <f>#REF!*#REF!/1000</f>
        <v>#REF!</v>
      </c>
      <c r="I84" s="13">
        <f>G84*46</f>
        <v>2457.3200000000002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9"/>
    </row>
    <row r="85" spans="1:22" ht="31.5" customHeight="1">
      <c r="A85" s="31">
        <v>16</v>
      </c>
      <c r="B85" s="107" t="s">
        <v>160</v>
      </c>
      <c r="C85" s="108" t="s">
        <v>84</v>
      </c>
      <c r="D85" s="52"/>
      <c r="E85" s="13"/>
      <c r="F85" s="13">
        <v>4.9000000000000004</v>
      </c>
      <c r="G85" s="13">
        <v>1187</v>
      </c>
      <c r="H85" s="103">
        <f t="shared" ref="H85:H86" si="15">G85*F85/1000</f>
        <v>5.8163</v>
      </c>
      <c r="I85" s="13">
        <f>G85*0.5</f>
        <v>593.5</v>
      </c>
      <c r="J85" s="27"/>
      <c r="K85" s="27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2" ht="31.5" customHeight="1">
      <c r="A86" s="31">
        <v>17</v>
      </c>
      <c r="B86" s="67" t="s">
        <v>93</v>
      </c>
      <c r="C86" s="68" t="s">
        <v>108</v>
      </c>
      <c r="D86" s="52"/>
      <c r="E86" s="13"/>
      <c r="F86" s="13">
        <v>8</v>
      </c>
      <c r="G86" s="13">
        <v>589.84</v>
      </c>
      <c r="H86" s="103">
        <f t="shared" si="15"/>
        <v>4.7187200000000002</v>
      </c>
      <c r="I86" s="13">
        <f>G86*(1+1+2)</f>
        <v>2359.36</v>
      </c>
      <c r="J86" s="27"/>
      <c r="K86" s="27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2" ht="15.75" customHeight="1">
      <c r="A87" s="31">
        <v>18</v>
      </c>
      <c r="B87" s="67" t="s">
        <v>181</v>
      </c>
      <c r="C87" s="68" t="s">
        <v>166</v>
      </c>
      <c r="D87" s="52"/>
      <c r="E87" s="13"/>
      <c r="F87" s="13">
        <v>1</v>
      </c>
      <c r="G87" s="13">
        <v>306.37</v>
      </c>
      <c r="H87" s="103">
        <f>G87*F87/1000</f>
        <v>0.30637000000000003</v>
      </c>
      <c r="I87" s="13">
        <f>G87</f>
        <v>306.37</v>
      </c>
      <c r="J87" s="27"/>
      <c r="K87" s="27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2" ht="15.75" customHeight="1">
      <c r="A88" s="31"/>
      <c r="B88" s="46" t="s">
        <v>53</v>
      </c>
      <c r="C88" s="42"/>
      <c r="D88" s="54"/>
      <c r="E88" s="42">
        <v>1</v>
      </c>
      <c r="F88" s="42"/>
      <c r="G88" s="42"/>
      <c r="H88" s="42"/>
      <c r="I88" s="33">
        <f>SUM(I84:I87)</f>
        <v>5716.55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1:22" ht="15.75" customHeight="1">
      <c r="A89" s="31"/>
      <c r="B89" s="52" t="s">
        <v>81</v>
      </c>
      <c r="C89" s="16"/>
      <c r="D89" s="16"/>
      <c r="E89" s="43"/>
      <c r="F89" s="43"/>
      <c r="G89" s="44"/>
      <c r="H89" s="44"/>
      <c r="I89" s="18">
        <v>0</v>
      </c>
    </row>
    <row r="90" spans="1:22" ht="15.75" customHeight="1">
      <c r="A90" s="55"/>
      <c r="B90" s="47" t="s">
        <v>157</v>
      </c>
      <c r="C90" s="36"/>
      <c r="D90" s="36"/>
      <c r="E90" s="36"/>
      <c r="F90" s="36"/>
      <c r="G90" s="36"/>
      <c r="H90" s="36"/>
      <c r="I90" s="45">
        <f>I82+I88</f>
        <v>45061.514483055551</v>
      </c>
    </row>
    <row r="91" spans="1:22" ht="15.75" customHeight="1">
      <c r="A91" s="153" t="s">
        <v>182</v>
      </c>
      <c r="B91" s="153"/>
      <c r="C91" s="153"/>
      <c r="D91" s="153"/>
      <c r="E91" s="153"/>
      <c r="F91" s="153"/>
      <c r="G91" s="153"/>
      <c r="H91" s="153"/>
      <c r="I91" s="153"/>
    </row>
    <row r="92" spans="1:22" ht="15.75" customHeight="1">
      <c r="A92" s="79"/>
      <c r="B92" s="134" t="s">
        <v>183</v>
      </c>
      <c r="C92" s="134"/>
      <c r="D92" s="134"/>
      <c r="E92" s="134"/>
      <c r="F92" s="134"/>
      <c r="G92" s="134"/>
      <c r="H92" s="91"/>
      <c r="I92" s="3"/>
    </row>
    <row r="93" spans="1:22" ht="15.75" customHeight="1">
      <c r="A93" s="72"/>
      <c r="B93" s="135" t="s">
        <v>6</v>
      </c>
      <c r="C93" s="135"/>
      <c r="D93" s="135"/>
      <c r="E93" s="135"/>
      <c r="F93" s="135"/>
      <c r="G93" s="135"/>
      <c r="H93" s="26"/>
      <c r="I93" s="5"/>
    </row>
    <row r="94" spans="1:22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22" ht="15.75" customHeight="1">
      <c r="A95" s="136" t="s">
        <v>7</v>
      </c>
      <c r="B95" s="136"/>
      <c r="C95" s="136"/>
      <c r="D95" s="136"/>
      <c r="E95" s="136"/>
      <c r="F95" s="136"/>
      <c r="G95" s="136"/>
      <c r="H95" s="136"/>
      <c r="I95" s="136"/>
    </row>
    <row r="96" spans="1:22" ht="15.75" customHeight="1">
      <c r="A96" s="136" t="s">
        <v>8</v>
      </c>
      <c r="B96" s="136"/>
      <c r="C96" s="136"/>
      <c r="D96" s="136"/>
      <c r="E96" s="136"/>
      <c r="F96" s="136"/>
      <c r="G96" s="136"/>
      <c r="H96" s="136"/>
      <c r="I96" s="136"/>
    </row>
    <row r="97" spans="1:9" ht="15.75" customHeight="1">
      <c r="A97" s="139" t="s">
        <v>63</v>
      </c>
      <c r="B97" s="139"/>
      <c r="C97" s="139"/>
      <c r="D97" s="139"/>
      <c r="E97" s="139"/>
      <c r="F97" s="139"/>
      <c r="G97" s="139"/>
      <c r="H97" s="139"/>
      <c r="I97" s="139"/>
    </row>
    <row r="98" spans="1:9" ht="15.75" customHeight="1">
      <c r="A98" s="11"/>
    </row>
    <row r="99" spans="1:9" ht="15.75" customHeight="1">
      <c r="A99" s="140" t="s">
        <v>9</v>
      </c>
      <c r="B99" s="140"/>
      <c r="C99" s="140"/>
      <c r="D99" s="140"/>
      <c r="E99" s="140"/>
      <c r="F99" s="140"/>
      <c r="G99" s="140"/>
      <c r="H99" s="140"/>
      <c r="I99" s="140"/>
    </row>
    <row r="100" spans="1:9" ht="15.75" customHeight="1">
      <c r="A100" s="4"/>
    </row>
    <row r="101" spans="1:9" ht="15.75" customHeight="1">
      <c r="B101" s="75" t="s">
        <v>10</v>
      </c>
      <c r="C101" s="141" t="s">
        <v>94</v>
      </c>
      <c r="D101" s="141"/>
      <c r="E101" s="141"/>
      <c r="F101" s="89"/>
      <c r="I101" s="74"/>
    </row>
    <row r="102" spans="1:9" ht="15.75" customHeight="1">
      <c r="A102" s="72"/>
      <c r="C102" s="135" t="s">
        <v>11</v>
      </c>
      <c r="D102" s="135"/>
      <c r="E102" s="135"/>
      <c r="F102" s="26"/>
      <c r="I102" s="73" t="s">
        <v>12</v>
      </c>
    </row>
    <row r="103" spans="1:9" ht="15.75" customHeight="1">
      <c r="A103" s="27"/>
      <c r="C103" s="12"/>
      <c r="D103" s="12"/>
      <c r="G103" s="12"/>
      <c r="H103" s="12"/>
    </row>
    <row r="104" spans="1:9" ht="15.75" customHeight="1">
      <c r="B104" s="75" t="s">
        <v>13</v>
      </c>
      <c r="C104" s="142"/>
      <c r="D104" s="142"/>
      <c r="E104" s="142"/>
      <c r="F104" s="90"/>
      <c r="I104" s="74"/>
    </row>
    <row r="105" spans="1:9" ht="15.75" customHeight="1">
      <c r="A105" s="72"/>
      <c r="C105" s="138" t="s">
        <v>11</v>
      </c>
      <c r="D105" s="138"/>
      <c r="E105" s="138"/>
      <c r="F105" s="72"/>
      <c r="I105" s="73" t="s">
        <v>12</v>
      </c>
    </row>
    <row r="106" spans="1:9" ht="15.75" customHeight="1">
      <c r="A106" s="4" t="s">
        <v>14</v>
      </c>
    </row>
    <row r="107" spans="1:9">
      <c r="A107" s="137" t="s">
        <v>15</v>
      </c>
      <c r="B107" s="137"/>
      <c r="C107" s="137"/>
      <c r="D107" s="137"/>
      <c r="E107" s="137"/>
      <c r="F107" s="137"/>
      <c r="G107" s="137"/>
      <c r="H107" s="137"/>
      <c r="I107" s="137"/>
    </row>
    <row r="108" spans="1:9" ht="45" customHeight="1">
      <c r="A108" s="133" t="s">
        <v>16</v>
      </c>
      <c r="B108" s="133"/>
      <c r="C108" s="133"/>
      <c r="D108" s="133"/>
      <c r="E108" s="133"/>
      <c r="F108" s="133"/>
      <c r="G108" s="133"/>
      <c r="H108" s="133"/>
      <c r="I108" s="133"/>
    </row>
    <row r="109" spans="1:9" ht="30" customHeight="1">
      <c r="A109" s="133" t="s">
        <v>17</v>
      </c>
      <c r="B109" s="133"/>
      <c r="C109" s="133"/>
      <c r="D109" s="133"/>
      <c r="E109" s="133"/>
      <c r="F109" s="133"/>
      <c r="G109" s="133"/>
      <c r="H109" s="133"/>
      <c r="I109" s="133"/>
    </row>
    <row r="110" spans="1:9" ht="30" customHeight="1">
      <c r="A110" s="133" t="s">
        <v>21</v>
      </c>
      <c r="B110" s="133"/>
      <c r="C110" s="133"/>
      <c r="D110" s="133"/>
      <c r="E110" s="133"/>
      <c r="F110" s="133"/>
      <c r="G110" s="133"/>
      <c r="H110" s="133"/>
      <c r="I110" s="133"/>
    </row>
    <row r="111" spans="1:9" ht="15" customHeight="1">
      <c r="A111" s="133" t="s">
        <v>20</v>
      </c>
      <c r="B111" s="133"/>
      <c r="C111" s="133"/>
      <c r="D111" s="133"/>
      <c r="E111" s="133"/>
      <c r="F111" s="133"/>
      <c r="G111" s="133"/>
      <c r="H111" s="133"/>
      <c r="I111" s="133"/>
    </row>
  </sheetData>
  <autoFilter ref="I12:I82"/>
  <mergeCells count="28">
    <mergeCell ref="A14:I14"/>
    <mergeCell ref="A3:I3"/>
    <mergeCell ref="A4:I4"/>
    <mergeCell ref="A5:I5"/>
    <mergeCell ref="A8:I8"/>
    <mergeCell ref="A10:I10"/>
    <mergeCell ref="A97:I97"/>
    <mergeCell ref="A15:I15"/>
    <mergeCell ref="A29:I29"/>
    <mergeCell ref="A43:I43"/>
    <mergeCell ref="A54:I54"/>
    <mergeCell ref="A79:I79"/>
    <mergeCell ref="A83:I83"/>
    <mergeCell ref="A91:I91"/>
    <mergeCell ref="B92:G92"/>
    <mergeCell ref="B93:G93"/>
    <mergeCell ref="A95:I95"/>
    <mergeCell ref="A96:I96"/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91</v>
      </c>
      <c r="I1" s="28"/>
      <c r="J1" s="1"/>
      <c r="K1" s="1"/>
      <c r="L1" s="1"/>
      <c r="M1" s="1"/>
    </row>
    <row r="2" spans="1:13" ht="15.75" customHeight="1">
      <c r="A2" s="30" t="s">
        <v>64</v>
      </c>
      <c r="J2" s="2"/>
      <c r="K2" s="2"/>
      <c r="L2" s="2"/>
      <c r="M2" s="2"/>
    </row>
    <row r="3" spans="1:13" ht="15.75" customHeight="1">
      <c r="A3" s="143" t="s">
        <v>184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135</v>
      </c>
      <c r="B4" s="144"/>
      <c r="C4" s="144"/>
      <c r="D4" s="144"/>
      <c r="E4" s="144"/>
      <c r="F4" s="144"/>
      <c r="G4" s="144"/>
      <c r="H4" s="144"/>
      <c r="I4" s="144"/>
    </row>
    <row r="5" spans="1:13" ht="15.75" customHeight="1">
      <c r="A5" s="143" t="s">
        <v>185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 customHeight="1">
      <c r="A6" s="2"/>
      <c r="B6" s="84"/>
      <c r="C6" s="84"/>
      <c r="D6" s="84"/>
      <c r="E6" s="84"/>
      <c r="F6" s="84"/>
      <c r="G6" s="84"/>
      <c r="H6" s="84"/>
      <c r="I6" s="32">
        <v>42947</v>
      </c>
      <c r="J6" s="2"/>
      <c r="K6" s="2"/>
      <c r="L6" s="2"/>
      <c r="M6" s="2"/>
    </row>
    <row r="7" spans="1:13" ht="15.75" customHeight="1">
      <c r="B7" s="85"/>
      <c r="C7" s="85"/>
      <c r="D7" s="85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45" t="s">
        <v>201</v>
      </c>
      <c r="B8" s="145"/>
      <c r="C8" s="145"/>
      <c r="D8" s="145"/>
      <c r="E8" s="145"/>
      <c r="F8" s="145"/>
      <c r="G8" s="145"/>
      <c r="H8" s="145"/>
      <c r="I8" s="145"/>
      <c r="J8" s="78"/>
      <c r="K8" s="78"/>
      <c r="L8" s="78"/>
      <c r="M8" s="78"/>
    </row>
    <row r="9" spans="1:13" ht="15.75">
      <c r="A9" s="4"/>
      <c r="J9" s="2"/>
      <c r="K9" s="2"/>
      <c r="L9" s="2"/>
      <c r="M9" s="2"/>
    </row>
    <row r="10" spans="1:13" ht="47.25" customHeight="1">
      <c r="A10" s="146" t="s">
        <v>202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8" t="s">
        <v>61</v>
      </c>
      <c r="B14" s="148"/>
      <c r="C14" s="148"/>
      <c r="D14" s="148"/>
      <c r="E14" s="148"/>
      <c r="F14" s="148"/>
      <c r="G14" s="148"/>
      <c r="H14" s="148"/>
      <c r="I14" s="148"/>
      <c r="J14" s="8"/>
      <c r="K14" s="8"/>
      <c r="L14" s="8"/>
      <c r="M14" s="8"/>
    </row>
    <row r="15" spans="1:13" ht="15.75" customHeight="1">
      <c r="A15" s="149" t="s">
        <v>4</v>
      </c>
      <c r="B15" s="149"/>
      <c r="C15" s="149"/>
      <c r="D15" s="149"/>
      <c r="E15" s="149"/>
      <c r="F15" s="149"/>
      <c r="G15" s="149"/>
      <c r="H15" s="149"/>
      <c r="I15" s="149"/>
      <c r="J15" s="8"/>
      <c r="K15" s="8"/>
      <c r="L15" s="8"/>
      <c r="M15" s="8"/>
    </row>
    <row r="16" spans="1:13" ht="15.75" customHeight="1">
      <c r="A16" s="31">
        <v>1</v>
      </c>
      <c r="B16" s="93" t="s">
        <v>92</v>
      </c>
      <c r="C16" s="94" t="s">
        <v>102</v>
      </c>
      <c r="D16" s="93" t="s">
        <v>140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8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111</v>
      </c>
      <c r="C17" s="94" t="s">
        <v>102</v>
      </c>
      <c r="D17" s="93" t="s">
        <v>141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112</v>
      </c>
      <c r="C18" s="94" t="s">
        <v>102</v>
      </c>
      <c r="D18" s="93" t="s">
        <v>142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3" t="s">
        <v>136</v>
      </c>
      <c r="C19" s="94" t="s">
        <v>137</v>
      </c>
      <c r="D19" s="93" t="s">
        <v>138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f>F19/2*G19</f>
        <v>157.22784000000001</v>
      </c>
      <c r="J19" s="8"/>
      <c r="K19" s="8"/>
      <c r="L19" s="8"/>
      <c r="M19" s="8"/>
    </row>
    <row r="20" spans="1:13" ht="15.75" customHeight="1">
      <c r="A20" s="31">
        <v>4</v>
      </c>
      <c r="B20" s="93" t="s">
        <v>101</v>
      </c>
      <c r="C20" s="94" t="s">
        <v>102</v>
      </c>
      <c r="D20" s="93" t="s">
        <v>30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3" t="s">
        <v>109</v>
      </c>
      <c r="C21" s="94" t="s">
        <v>102</v>
      </c>
      <c r="D21" s="93" t="s">
        <v>30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3" t="s">
        <v>103</v>
      </c>
      <c r="C22" s="94" t="s">
        <v>54</v>
      </c>
      <c r="D22" s="93" t="s">
        <v>138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f>F22*G22</f>
        <v>720.94365000000005</v>
      </c>
      <c r="J22" s="8"/>
      <c r="K22" s="8"/>
      <c r="L22" s="8"/>
      <c r="M22" s="8"/>
    </row>
    <row r="23" spans="1:13" ht="15.75" hidden="1" customHeight="1">
      <c r="A23" s="31">
        <v>8</v>
      </c>
      <c r="B23" s="93" t="s">
        <v>104</v>
      </c>
      <c r="C23" s="94" t="s">
        <v>54</v>
      </c>
      <c r="D23" s="93" t="s">
        <v>138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f t="shared" ref="I23:I26" si="1">F23*G23</f>
        <v>9.6552199999999999</v>
      </c>
      <c r="J23" s="8"/>
      <c r="K23" s="8"/>
      <c r="L23" s="8"/>
      <c r="M23" s="8"/>
    </row>
    <row r="24" spans="1:13" ht="15.75" hidden="1" customHeight="1">
      <c r="A24" s="31">
        <v>9</v>
      </c>
      <c r="B24" s="93" t="s">
        <v>105</v>
      </c>
      <c r="C24" s="94" t="s">
        <v>54</v>
      </c>
      <c r="D24" s="93" t="s">
        <v>139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f t="shared" si="1"/>
        <v>58.457999999999998</v>
      </c>
      <c r="J24" s="8"/>
      <c r="K24" s="8"/>
      <c r="L24" s="8"/>
      <c r="M24" s="8"/>
    </row>
    <row r="25" spans="1:13" ht="15.75" hidden="1" customHeight="1">
      <c r="A25" s="31">
        <v>10</v>
      </c>
      <c r="B25" s="93" t="s">
        <v>110</v>
      </c>
      <c r="C25" s="94" t="s">
        <v>102</v>
      </c>
      <c r="D25" s="93" t="s">
        <v>55</v>
      </c>
      <c r="E25" s="95">
        <v>14.25</v>
      </c>
      <c r="F25" s="96">
        <v>0.1</v>
      </c>
      <c r="G25" s="96">
        <v>216.12</v>
      </c>
      <c r="H25" s="97">
        <v>3.1E-2</v>
      </c>
      <c r="I25" s="13">
        <f t="shared" si="1"/>
        <v>21.612000000000002</v>
      </c>
      <c r="J25" s="8"/>
      <c r="K25" s="8"/>
      <c r="L25" s="8"/>
      <c r="M25" s="8"/>
    </row>
    <row r="26" spans="1:13" ht="15.75" hidden="1" customHeight="1">
      <c r="A26" s="31">
        <v>11</v>
      </c>
      <c r="B26" s="93" t="s">
        <v>106</v>
      </c>
      <c r="C26" s="94" t="s">
        <v>54</v>
      </c>
      <c r="D26" s="93" t="s">
        <v>138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f t="shared" si="1"/>
        <v>33.227039999999995</v>
      </c>
      <c r="J26" s="8"/>
      <c r="K26" s="8"/>
      <c r="L26" s="8"/>
      <c r="M26" s="8"/>
    </row>
    <row r="27" spans="1:13" ht="15.75" customHeight="1">
      <c r="A27" s="31">
        <v>6</v>
      </c>
      <c r="B27" s="93" t="s">
        <v>66</v>
      </c>
      <c r="C27" s="94" t="s">
        <v>33</v>
      </c>
      <c r="D27" s="34" t="s">
        <v>90</v>
      </c>
      <c r="E27" s="95">
        <v>0.1</v>
      </c>
      <c r="F27" s="96">
        <f>SUM(E27*365)</f>
        <v>36.5</v>
      </c>
      <c r="G27" s="96">
        <v>147.03</v>
      </c>
      <c r="H27" s="97">
        <f t="shared" si="0"/>
        <v>5.3665950000000002</v>
      </c>
      <c r="I27" s="13">
        <f>F27/12*G27</f>
        <v>447.21625</v>
      </c>
      <c r="J27" s="8"/>
      <c r="K27" s="8"/>
      <c r="L27" s="8"/>
      <c r="M27" s="8"/>
    </row>
    <row r="28" spans="1:13" ht="15.75" customHeight="1">
      <c r="A28" s="31">
        <v>7</v>
      </c>
      <c r="B28" s="99" t="s">
        <v>23</v>
      </c>
      <c r="C28" s="94" t="s">
        <v>24</v>
      </c>
      <c r="D28" s="34" t="s">
        <v>90</v>
      </c>
      <c r="E28" s="95">
        <v>2581.1999999999998</v>
      </c>
      <c r="F28" s="96">
        <f>SUM(E28*12)</f>
        <v>30974.399999999998</v>
      </c>
      <c r="G28" s="96">
        <v>4.8099999999999996</v>
      </c>
      <c r="H28" s="97">
        <f t="shared" si="0"/>
        <v>148.98686399999997</v>
      </c>
      <c r="I28" s="13">
        <f>F28/12*G28</f>
        <v>12415.571999999998</v>
      </c>
      <c r="J28" s="24"/>
      <c r="K28" s="8"/>
      <c r="L28" s="8"/>
      <c r="M28" s="8"/>
    </row>
    <row r="29" spans="1:13" ht="15.75" customHeight="1">
      <c r="A29" s="149" t="s">
        <v>89</v>
      </c>
      <c r="B29" s="149"/>
      <c r="C29" s="149"/>
      <c r="D29" s="149"/>
      <c r="E29" s="149"/>
      <c r="F29" s="149"/>
      <c r="G29" s="149"/>
      <c r="H29" s="149"/>
      <c r="I29" s="149"/>
      <c r="J29" s="24"/>
      <c r="K29" s="8"/>
      <c r="L29" s="8"/>
      <c r="M29" s="8"/>
    </row>
    <row r="30" spans="1:13" ht="15.75" customHeight="1">
      <c r="A30" s="41"/>
      <c r="B30" s="51" t="s">
        <v>28</v>
      </c>
      <c r="C30" s="51"/>
      <c r="D30" s="51"/>
      <c r="E30" s="51"/>
      <c r="F30" s="51"/>
      <c r="G30" s="51"/>
      <c r="H30" s="51"/>
      <c r="I30" s="19"/>
      <c r="J30" s="24"/>
      <c r="K30" s="8"/>
      <c r="L30" s="8"/>
      <c r="M30" s="8"/>
    </row>
    <row r="31" spans="1:13" ht="15.75" customHeight="1">
      <c r="A31" s="41">
        <v>8</v>
      </c>
      <c r="B31" s="93" t="s">
        <v>114</v>
      </c>
      <c r="C31" s="94" t="s">
        <v>115</v>
      </c>
      <c r="D31" s="93" t="s">
        <v>116</v>
      </c>
      <c r="E31" s="96">
        <v>1167.4000000000001</v>
      </c>
      <c r="F31" s="96">
        <f>SUM(E31*52/1000)</f>
        <v>60.704800000000006</v>
      </c>
      <c r="G31" s="96">
        <v>155.88999999999999</v>
      </c>
      <c r="H31" s="97">
        <f t="shared" ref="H31:H33" si="2">SUM(F31*G31/1000)</f>
        <v>9.4632712720000001</v>
      </c>
      <c r="I31" s="13">
        <f>F31/6*G31</f>
        <v>1577.2118786666665</v>
      </c>
      <c r="J31" s="24"/>
      <c r="K31" s="8"/>
      <c r="L31" s="8"/>
      <c r="M31" s="8"/>
    </row>
    <row r="32" spans="1:13" ht="31.5" customHeight="1">
      <c r="A32" s="41">
        <v>9</v>
      </c>
      <c r="B32" s="93" t="s">
        <v>154</v>
      </c>
      <c r="C32" s="94" t="s">
        <v>115</v>
      </c>
      <c r="D32" s="93" t="s">
        <v>117</v>
      </c>
      <c r="E32" s="96">
        <v>540.04999999999995</v>
      </c>
      <c r="F32" s="96">
        <f>SUM(E32*78/1000)</f>
        <v>42.123899999999992</v>
      </c>
      <c r="G32" s="96">
        <v>258.63</v>
      </c>
      <c r="H32" s="97">
        <f t="shared" si="2"/>
        <v>10.894504256999998</v>
      </c>
      <c r="I32" s="13">
        <f t="shared" ref="I32:I34" si="3">F32/6*G32</f>
        <v>1815.7507094999996</v>
      </c>
      <c r="J32" s="24"/>
      <c r="K32" s="8"/>
      <c r="L32" s="8"/>
      <c r="M32" s="8"/>
    </row>
    <row r="33" spans="1:13" ht="15.75" hidden="1" customHeight="1">
      <c r="A33" s="41">
        <v>16</v>
      </c>
      <c r="B33" s="93" t="s">
        <v>27</v>
      </c>
      <c r="C33" s="94" t="s">
        <v>115</v>
      </c>
      <c r="D33" s="93" t="s">
        <v>55</v>
      </c>
      <c r="E33" s="96">
        <v>1167.4000000000001</v>
      </c>
      <c r="F33" s="96">
        <f>SUM(E33/1000)</f>
        <v>1.1674</v>
      </c>
      <c r="G33" s="96">
        <v>3020.33</v>
      </c>
      <c r="H33" s="97">
        <f t="shared" si="2"/>
        <v>3.5259332420000002</v>
      </c>
      <c r="I33" s="13">
        <f>F33*G33</f>
        <v>3525.9332420000001</v>
      </c>
      <c r="J33" s="24"/>
      <c r="K33" s="8"/>
      <c r="L33" s="8"/>
      <c r="M33" s="8"/>
    </row>
    <row r="34" spans="1:13" ht="15.75" customHeight="1">
      <c r="A34" s="41">
        <v>10</v>
      </c>
      <c r="B34" s="93" t="s">
        <v>118</v>
      </c>
      <c r="C34" s="94" t="s">
        <v>31</v>
      </c>
      <c r="D34" s="93" t="s">
        <v>65</v>
      </c>
      <c r="E34" s="100">
        <v>0.33333333333333331</v>
      </c>
      <c r="F34" s="96">
        <f>155/3</f>
        <v>51.666666666666664</v>
      </c>
      <c r="G34" s="96">
        <v>56.69</v>
      </c>
      <c r="H34" s="97">
        <f>SUM(G34*155/3/1000)</f>
        <v>2.9289833333333331</v>
      </c>
      <c r="I34" s="13">
        <f t="shared" si="3"/>
        <v>488.16388888888883</v>
      </c>
      <c r="J34" s="24"/>
      <c r="K34" s="8"/>
      <c r="L34" s="8"/>
      <c r="M34" s="8"/>
    </row>
    <row r="35" spans="1:13" ht="15.75" hidden="1" customHeight="1">
      <c r="A35" s="41">
        <v>4</v>
      </c>
      <c r="B35" s="93" t="s">
        <v>67</v>
      </c>
      <c r="C35" s="94" t="s">
        <v>33</v>
      </c>
      <c r="D35" s="93" t="s">
        <v>68</v>
      </c>
      <c r="E35" s="95"/>
      <c r="F35" s="96">
        <v>3</v>
      </c>
      <c r="G35" s="96">
        <v>191.32</v>
      </c>
      <c r="H35" s="97">
        <f t="shared" ref="H35" si="4">SUM(F35*G35/1000)</f>
        <v>0.57396000000000003</v>
      </c>
      <c r="I35" s="13">
        <v>0</v>
      </c>
      <c r="J35" s="24"/>
      <c r="K35" s="8"/>
      <c r="L35" s="8"/>
      <c r="M35" s="8"/>
    </row>
    <row r="36" spans="1:13" ht="15.75" hidden="1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9"/>
      <c r="J36" s="24"/>
      <c r="K36" s="8"/>
      <c r="L36" s="8"/>
      <c r="M36" s="8"/>
    </row>
    <row r="37" spans="1:13" ht="15.75" hidden="1" customHeight="1">
      <c r="A37" s="41">
        <v>8</v>
      </c>
      <c r="B37" s="93" t="s">
        <v>26</v>
      </c>
      <c r="C37" s="94" t="s">
        <v>32</v>
      </c>
      <c r="D37" s="93"/>
      <c r="E37" s="95"/>
      <c r="F37" s="96">
        <v>6</v>
      </c>
      <c r="G37" s="96">
        <v>1527.2</v>
      </c>
      <c r="H37" s="97">
        <f t="shared" ref="H37:H42" si="5">SUM(F37*G37/1000)</f>
        <v>9.1632000000000016</v>
      </c>
      <c r="I37" s="13">
        <f t="shared" ref="I37:I42" si="6">F37/6*G37</f>
        <v>1527.2</v>
      </c>
      <c r="J37" s="24"/>
      <c r="K37" s="8"/>
      <c r="L37" s="8"/>
      <c r="M37" s="8"/>
    </row>
    <row r="38" spans="1:13" ht="15.75" hidden="1" customHeight="1">
      <c r="A38" s="35">
        <v>9</v>
      </c>
      <c r="B38" s="93" t="s">
        <v>69</v>
      </c>
      <c r="C38" s="94" t="s">
        <v>29</v>
      </c>
      <c r="D38" s="93" t="s">
        <v>143</v>
      </c>
      <c r="E38" s="96">
        <v>1080.0999999999999</v>
      </c>
      <c r="F38" s="96">
        <f>SUM(E38*30/1000)</f>
        <v>32.402999999999999</v>
      </c>
      <c r="G38" s="96">
        <v>2102.6999999999998</v>
      </c>
      <c r="H38" s="97">
        <f t="shared" si="5"/>
        <v>68.13378809999999</v>
      </c>
      <c r="I38" s="13">
        <f t="shared" si="6"/>
        <v>11355.63135</v>
      </c>
      <c r="J38" s="24"/>
      <c r="K38" s="8"/>
      <c r="L38" s="8"/>
      <c r="M38" s="8"/>
    </row>
    <row r="39" spans="1:13" ht="15.75" hidden="1" customHeight="1">
      <c r="A39" s="35">
        <v>10</v>
      </c>
      <c r="B39" s="93" t="s">
        <v>70</v>
      </c>
      <c r="C39" s="94" t="s">
        <v>29</v>
      </c>
      <c r="D39" s="93" t="s">
        <v>119</v>
      </c>
      <c r="E39" s="96">
        <v>45</v>
      </c>
      <c r="F39" s="96">
        <f>SUM(E39*155/1000)</f>
        <v>6.9749999999999996</v>
      </c>
      <c r="G39" s="96">
        <v>350.75</v>
      </c>
      <c r="H39" s="97">
        <f t="shared" si="5"/>
        <v>2.4464812499999997</v>
      </c>
      <c r="I39" s="13">
        <f t="shared" si="6"/>
        <v>407.74687499999993</v>
      </c>
      <c r="J39" s="24"/>
      <c r="K39" s="8"/>
      <c r="L39" s="8"/>
      <c r="M39" s="8"/>
    </row>
    <row r="40" spans="1:13" ht="47.25" hidden="1" customHeight="1">
      <c r="A40" s="35">
        <v>11</v>
      </c>
      <c r="B40" s="93" t="s">
        <v>87</v>
      </c>
      <c r="C40" s="94" t="s">
        <v>115</v>
      </c>
      <c r="D40" s="93" t="s">
        <v>71</v>
      </c>
      <c r="E40" s="96">
        <v>45</v>
      </c>
      <c r="F40" s="96">
        <f>SUM(E40*70/1000)</f>
        <v>3.15</v>
      </c>
      <c r="G40" s="96">
        <v>5803.28</v>
      </c>
      <c r="H40" s="97">
        <f t="shared" si="5"/>
        <v>18.280331999999998</v>
      </c>
      <c r="I40" s="13">
        <f t="shared" si="6"/>
        <v>3046.7220000000002</v>
      </c>
      <c r="J40" s="24"/>
      <c r="K40" s="8"/>
      <c r="L40" s="8"/>
      <c r="M40" s="8"/>
    </row>
    <row r="41" spans="1:13" ht="15.75" hidden="1" customHeight="1">
      <c r="A41" s="35">
        <v>12</v>
      </c>
      <c r="B41" s="93" t="s">
        <v>120</v>
      </c>
      <c r="C41" s="94" t="s">
        <v>115</v>
      </c>
      <c r="D41" s="93" t="s">
        <v>72</v>
      </c>
      <c r="E41" s="96">
        <v>45</v>
      </c>
      <c r="F41" s="96">
        <f>SUM(E41*45/1000)</f>
        <v>2.0249999999999999</v>
      </c>
      <c r="G41" s="96">
        <v>428.7</v>
      </c>
      <c r="H41" s="97">
        <f t="shared" si="5"/>
        <v>0.86811749999999999</v>
      </c>
      <c r="I41" s="13">
        <f t="shared" si="6"/>
        <v>144.68624999999997</v>
      </c>
      <c r="J41" s="24"/>
      <c r="K41" s="8"/>
      <c r="L41" s="8"/>
      <c r="M41" s="8"/>
    </row>
    <row r="42" spans="1:13" ht="15.75" hidden="1" customHeight="1">
      <c r="A42" s="35">
        <v>13</v>
      </c>
      <c r="B42" s="93" t="s">
        <v>73</v>
      </c>
      <c r="C42" s="94" t="s">
        <v>33</v>
      </c>
      <c r="D42" s="93"/>
      <c r="E42" s="95"/>
      <c r="F42" s="96">
        <v>0.6</v>
      </c>
      <c r="G42" s="96">
        <v>798</v>
      </c>
      <c r="H42" s="97">
        <f t="shared" si="5"/>
        <v>0.47879999999999995</v>
      </c>
      <c r="I42" s="13">
        <f t="shared" si="6"/>
        <v>79.8</v>
      </c>
      <c r="J42" s="24"/>
      <c r="K42" s="8"/>
      <c r="L42" s="8"/>
      <c r="M42" s="8"/>
    </row>
    <row r="43" spans="1:13" ht="15.75" hidden="1" customHeight="1">
      <c r="A43" s="150" t="s">
        <v>151</v>
      </c>
      <c r="B43" s="151"/>
      <c r="C43" s="151"/>
      <c r="D43" s="151"/>
      <c r="E43" s="151"/>
      <c r="F43" s="151"/>
      <c r="G43" s="151"/>
      <c r="H43" s="151"/>
      <c r="I43" s="152"/>
      <c r="J43" s="24"/>
      <c r="K43" s="8"/>
      <c r="L43" s="8"/>
      <c r="M43" s="8"/>
    </row>
    <row r="44" spans="1:13" ht="15.75" hidden="1" customHeight="1">
      <c r="A44" s="41">
        <v>18</v>
      </c>
      <c r="B44" s="93" t="s">
        <v>121</v>
      </c>
      <c r="C44" s="94" t="s">
        <v>115</v>
      </c>
      <c r="D44" s="93" t="s">
        <v>43</v>
      </c>
      <c r="E44" s="95">
        <v>965.8</v>
      </c>
      <c r="F44" s="96">
        <f>SUM(E44*2/1000)</f>
        <v>1.9316</v>
      </c>
      <c r="G44" s="13">
        <v>849.49</v>
      </c>
      <c r="H44" s="97">
        <f t="shared" ref="H44:H53" si="7">SUM(F44*G44/1000)</f>
        <v>1.640874884</v>
      </c>
      <c r="I44" s="13">
        <f t="shared" ref="I44:I47" si="8">F44/2*G44</f>
        <v>820.43744200000003</v>
      </c>
      <c r="J44" s="24"/>
      <c r="K44" s="8"/>
    </row>
    <row r="45" spans="1:13" ht="15.75" hidden="1" customHeight="1">
      <c r="A45" s="41">
        <v>19</v>
      </c>
      <c r="B45" s="93" t="s">
        <v>36</v>
      </c>
      <c r="C45" s="94" t="s">
        <v>115</v>
      </c>
      <c r="D45" s="93" t="s">
        <v>43</v>
      </c>
      <c r="E45" s="95">
        <v>36</v>
      </c>
      <c r="F45" s="96">
        <f>SUM(E45*2/1000)</f>
        <v>7.1999999999999995E-2</v>
      </c>
      <c r="G45" s="13">
        <v>579.48</v>
      </c>
      <c r="H45" s="97">
        <f t="shared" si="7"/>
        <v>4.1722559999999999E-2</v>
      </c>
      <c r="I45" s="13">
        <f t="shared" si="8"/>
        <v>20.861280000000001</v>
      </c>
      <c r="J45" s="25"/>
    </row>
    <row r="46" spans="1:13" ht="15.75" hidden="1" customHeight="1">
      <c r="A46" s="41">
        <v>20</v>
      </c>
      <c r="B46" s="93" t="s">
        <v>37</v>
      </c>
      <c r="C46" s="94" t="s">
        <v>115</v>
      </c>
      <c r="D46" s="93" t="s">
        <v>43</v>
      </c>
      <c r="E46" s="95">
        <v>1197.7</v>
      </c>
      <c r="F46" s="96">
        <f>SUM(E46*2/1000)</f>
        <v>2.3954</v>
      </c>
      <c r="G46" s="13">
        <v>579.48</v>
      </c>
      <c r="H46" s="97">
        <f t="shared" si="7"/>
        <v>1.3880863919999999</v>
      </c>
      <c r="I46" s="13">
        <f t="shared" si="8"/>
        <v>694.04319599999997</v>
      </c>
      <c r="J46" s="25"/>
    </row>
    <row r="47" spans="1:13" ht="15.75" hidden="1" customHeight="1">
      <c r="A47" s="41">
        <v>21</v>
      </c>
      <c r="B47" s="93" t="s">
        <v>38</v>
      </c>
      <c r="C47" s="94" t="s">
        <v>115</v>
      </c>
      <c r="D47" s="93" t="s">
        <v>43</v>
      </c>
      <c r="E47" s="95">
        <v>2275.92</v>
      </c>
      <c r="F47" s="96">
        <f>SUM(E47*2/1000)</f>
        <v>4.5518400000000003</v>
      </c>
      <c r="G47" s="13">
        <v>606.77</v>
      </c>
      <c r="H47" s="97">
        <f t="shared" si="7"/>
        <v>2.7619199567999999</v>
      </c>
      <c r="I47" s="13">
        <f t="shared" si="8"/>
        <v>1380.9599784</v>
      </c>
      <c r="J47" s="25"/>
    </row>
    <row r="48" spans="1:13" ht="15.75" hidden="1" customHeight="1">
      <c r="A48" s="41">
        <v>22</v>
      </c>
      <c r="B48" s="93" t="s">
        <v>34</v>
      </c>
      <c r="C48" s="94" t="s">
        <v>35</v>
      </c>
      <c r="D48" s="93" t="s">
        <v>43</v>
      </c>
      <c r="E48" s="95">
        <v>81.709999999999994</v>
      </c>
      <c r="F48" s="96">
        <f>SUM(E48*2/100)</f>
        <v>1.6341999999999999</v>
      </c>
      <c r="G48" s="13">
        <v>68.56</v>
      </c>
      <c r="H48" s="97">
        <f t="shared" si="7"/>
        <v>0.11204075199999999</v>
      </c>
      <c r="I48" s="13">
        <f>F48/2*G48</f>
        <v>56.020375999999999</v>
      </c>
      <c r="J48" s="25"/>
    </row>
    <row r="49" spans="1:14" ht="15.75" hidden="1" customHeight="1">
      <c r="A49" s="41">
        <v>23</v>
      </c>
      <c r="B49" s="93" t="s">
        <v>58</v>
      </c>
      <c r="C49" s="94" t="s">
        <v>115</v>
      </c>
      <c r="D49" s="93" t="s">
        <v>155</v>
      </c>
      <c r="E49" s="95">
        <v>1711.8</v>
      </c>
      <c r="F49" s="96">
        <f>SUM(E49*5/1000)</f>
        <v>8.5589999999999993</v>
      </c>
      <c r="G49" s="13">
        <v>1213.55</v>
      </c>
      <c r="H49" s="97">
        <f t="shared" si="7"/>
        <v>10.386774449999999</v>
      </c>
      <c r="I49" s="13">
        <f>F49/5*G49</f>
        <v>2077.3548899999996</v>
      </c>
      <c r="J49" s="25"/>
    </row>
    <row r="50" spans="1:14" ht="31.5" hidden="1" customHeight="1">
      <c r="A50" s="41">
        <v>14</v>
      </c>
      <c r="B50" s="93" t="s">
        <v>122</v>
      </c>
      <c r="C50" s="94" t="s">
        <v>115</v>
      </c>
      <c r="D50" s="93" t="s">
        <v>43</v>
      </c>
      <c r="E50" s="95">
        <v>1711.8</v>
      </c>
      <c r="F50" s="96">
        <f>SUM(E50*2/1000)</f>
        <v>3.4236</v>
      </c>
      <c r="G50" s="13">
        <v>1213.55</v>
      </c>
      <c r="H50" s="97">
        <f t="shared" si="7"/>
        <v>4.1547097800000001</v>
      </c>
      <c r="I50" s="13">
        <f>F50/2*G50</f>
        <v>2077.3548900000001</v>
      </c>
      <c r="J50" s="25"/>
    </row>
    <row r="51" spans="1:14" ht="31.5" hidden="1" customHeight="1">
      <c r="A51" s="41">
        <v>15</v>
      </c>
      <c r="B51" s="93" t="s">
        <v>123</v>
      </c>
      <c r="C51" s="94" t="s">
        <v>39</v>
      </c>
      <c r="D51" s="93" t="s">
        <v>43</v>
      </c>
      <c r="E51" s="95">
        <v>15</v>
      </c>
      <c r="F51" s="96">
        <f>SUM(E51*2/100)</f>
        <v>0.3</v>
      </c>
      <c r="G51" s="13">
        <v>2730.49</v>
      </c>
      <c r="H51" s="97">
        <f t="shared" si="7"/>
        <v>0.81914699999999996</v>
      </c>
      <c r="I51" s="13">
        <f t="shared" ref="I51:I52" si="9">F51/2*G51</f>
        <v>409.57349999999997</v>
      </c>
      <c r="J51" s="25"/>
    </row>
    <row r="52" spans="1:14" ht="15.75" hidden="1" customHeight="1">
      <c r="A52" s="41">
        <v>16</v>
      </c>
      <c r="B52" s="93" t="s">
        <v>40</v>
      </c>
      <c r="C52" s="94" t="s">
        <v>41</v>
      </c>
      <c r="D52" s="93" t="s">
        <v>43</v>
      </c>
      <c r="E52" s="95">
        <v>1</v>
      </c>
      <c r="F52" s="96">
        <v>0.02</v>
      </c>
      <c r="G52" s="13">
        <v>5322.15</v>
      </c>
      <c r="H52" s="97">
        <f t="shared" si="7"/>
        <v>0.106443</v>
      </c>
      <c r="I52" s="13">
        <f t="shared" si="9"/>
        <v>53.221499999999999</v>
      </c>
      <c r="J52" s="25"/>
      <c r="L52" s="21"/>
      <c r="M52" s="22"/>
      <c r="N52" s="23"/>
    </row>
    <row r="53" spans="1:14" ht="15.75" hidden="1" customHeight="1">
      <c r="A53" s="41">
        <v>11</v>
      </c>
      <c r="B53" s="93" t="s">
        <v>42</v>
      </c>
      <c r="C53" s="94" t="s">
        <v>95</v>
      </c>
      <c r="D53" s="93" t="s">
        <v>74</v>
      </c>
      <c r="E53" s="95">
        <v>90</v>
      </c>
      <c r="F53" s="96">
        <f>SUM(E53)*3</f>
        <v>270</v>
      </c>
      <c r="G53" s="13">
        <v>65.67</v>
      </c>
      <c r="H53" s="97">
        <f t="shared" si="7"/>
        <v>17.730900000000002</v>
      </c>
      <c r="I53" s="13">
        <f>E53*G53</f>
        <v>5910.3</v>
      </c>
      <c r="J53" s="25"/>
      <c r="L53" s="21"/>
      <c r="M53" s="22"/>
      <c r="N53" s="23"/>
    </row>
    <row r="54" spans="1:14" ht="15.75" customHeight="1">
      <c r="A54" s="150" t="s">
        <v>171</v>
      </c>
      <c r="B54" s="151"/>
      <c r="C54" s="151"/>
      <c r="D54" s="151"/>
      <c r="E54" s="151"/>
      <c r="F54" s="151"/>
      <c r="G54" s="151"/>
      <c r="H54" s="151"/>
      <c r="I54" s="152"/>
      <c r="J54" s="25"/>
      <c r="L54" s="21"/>
      <c r="M54" s="22"/>
      <c r="N54" s="23"/>
    </row>
    <row r="55" spans="1:14" ht="15.75" hidden="1" customHeight="1">
      <c r="A55" s="92"/>
      <c r="B55" s="48" t="s">
        <v>44</v>
      </c>
      <c r="C55" s="17"/>
      <c r="D55" s="16"/>
      <c r="E55" s="16"/>
      <c r="F55" s="16"/>
      <c r="G55" s="31"/>
      <c r="H55" s="31"/>
      <c r="I55" s="19"/>
      <c r="J55" s="25"/>
      <c r="L55" s="21"/>
      <c r="M55" s="22"/>
      <c r="N55" s="23"/>
    </row>
    <row r="56" spans="1:14" ht="31.5" hidden="1" customHeight="1">
      <c r="A56" s="41">
        <v>14</v>
      </c>
      <c r="B56" s="93" t="s">
        <v>124</v>
      </c>
      <c r="C56" s="94" t="s">
        <v>102</v>
      </c>
      <c r="D56" s="93" t="s">
        <v>125</v>
      </c>
      <c r="E56" s="95">
        <v>96.58</v>
      </c>
      <c r="F56" s="96">
        <f>SUM(E56*6/100)</f>
        <v>5.7948000000000004</v>
      </c>
      <c r="G56" s="13">
        <v>1547.28</v>
      </c>
      <c r="H56" s="97">
        <f>SUM(F56*G56/1000)</f>
        <v>8.9661781440000006</v>
      </c>
      <c r="I56" s="13">
        <f>F56/6*G56</f>
        <v>1494.3630240000002</v>
      </c>
      <c r="J56" s="25"/>
      <c r="L56" s="21"/>
      <c r="M56" s="22"/>
      <c r="N56" s="23"/>
    </row>
    <row r="57" spans="1:14" ht="15.75" customHeight="1">
      <c r="A57" s="41"/>
      <c r="B57" s="69" t="s">
        <v>45</v>
      </c>
      <c r="C57" s="40"/>
      <c r="D57" s="34"/>
      <c r="E57" s="19"/>
      <c r="F57" s="87"/>
      <c r="G57" s="37"/>
      <c r="H57" s="70"/>
      <c r="I57" s="20"/>
      <c r="J57" s="25"/>
      <c r="L57" s="21"/>
      <c r="M57" s="22"/>
      <c r="N57" s="23"/>
    </row>
    <row r="58" spans="1:14" ht="15.75" hidden="1" customHeight="1">
      <c r="A58" s="41"/>
      <c r="B58" s="93" t="s">
        <v>46</v>
      </c>
      <c r="C58" s="94" t="s">
        <v>102</v>
      </c>
      <c r="D58" s="93" t="s">
        <v>55</v>
      </c>
      <c r="E58" s="95">
        <v>855.9</v>
      </c>
      <c r="F58" s="97">
        <v>8.6</v>
      </c>
      <c r="G58" s="13">
        <v>747.3</v>
      </c>
      <c r="H58" s="101">
        <v>6.4</v>
      </c>
      <c r="I58" s="13">
        <v>0</v>
      </c>
      <c r="J58" s="25"/>
      <c r="L58" s="21"/>
      <c r="M58" s="22"/>
      <c r="N58" s="23"/>
    </row>
    <row r="59" spans="1:14" ht="15.75" customHeight="1">
      <c r="A59" s="41">
        <v>11</v>
      </c>
      <c r="B59" s="93" t="s">
        <v>96</v>
      </c>
      <c r="C59" s="94" t="s">
        <v>25</v>
      </c>
      <c r="D59" s="93" t="s">
        <v>144</v>
      </c>
      <c r="E59" s="95">
        <v>256</v>
      </c>
      <c r="F59" s="97">
        <f>E59*12</f>
        <v>3072</v>
      </c>
      <c r="G59" s="13">
        <v>2.5958999999999999</v>
      </c>
      <c r="H59" s="101">
        <f>F59*G59/1000</f>
        <v>7.9746047999999989</v>
      </c>
      <c r="I59" s="13">
        <f>F59/12*G59</f>
        <v>664.55039999999997</v>
      </c>
      <c r="J59" s="25"/>
      <c r="L59" s="21"/>
      <c r="M59" s="22"/>
      <c r="N59" s="23"/>
    </row>
    <row r="60" spans="1:14" ht="15.75" hidden="1" customHeight="1">
      <c r="A60" s="41"/>
      <c r="B60" s="69" t="s">
        <v>145</v>
      </c>
      <c r="C60" s="40"/>
      <c r="D60" s="34"/>
      <c r="E60" s="19"/>
      <c r="F60" s="87"/>
      <c r="G60" s="71"/>
      <c r="H60" s="70"/>
      <c r="I60" s="20"/>
      <c r="J60" s="25"/>
      <c r="L60" s="21"/>
      <c r="M60" s="22"/>
      <c r="N60" s="23"/>
    </row>
    <row r="61" spans="1:14" ht="15.75" hidden="1" customHeight="1">
      <c r="A61" s="41"/>
      <c r="B61" s="93" t="s">
        <v>146</v>
      </c>
      <c r="C61" s="94" t="s">
        <v>95</v>
      </c>
      <c r="D61" s="93" t="s">
        <v>68</v>
      </c>
      <c r="E61" s="95">
        <v>2</v>
      </c>
      <c r="F61" s="96">
        <f>SUM(E61)</f>
        <v>2</v>
      </c>
      <c r="G61" s="102">
        <v>237.75</v>
      </c>
      <c r="H61" s="97">
        <f t="shared" ref="H61" si="10">SUM(F61*G61/1000)</f>
        <v>0.47549999999999998</v>
      </c>
      <c r="I61" s="13">
        <v>0</v>
      </c>
      <c r="J61" s="25"/>
      <c r="L61" s="21"/>
      <c r="M61" s="22"/>
      <c r="N61" s="23"/>
    </row>
    <row r="62" spans="1:14" ht="15.75" hidden="1" customHeight="1">
      <c r="A62" s="41"/>
      <c r="B62" s="83" t="s">
        <v>47</v>
      </c>
      <c r="C62" s="17"/>
      <c r="D62" s="16"/>
      <c r="E62" s="16"/>
      <c r="F62" s="88"/>
      <c r="G62" s="65"/>
      <c r="H62" s="70"/>
      <c r="I62" s="19"/>
      <c r="J62" s="25"/>
      <c r="L62" s="21"/>
      <c r="M62" s="22"/>
      <c r="N62" s="23"/>
    </row>
    <row r="63" spans="1:14" ht="15.75" hidden="1" customHeight="1">
      <c r="A63" s="41">
        <v>23</v>
      </c>
      <c r="B63" s="15" t="s">
        <v>48</v>
      </c>
      <c r="C63" s="17" t="s">
        <v>95</v>
      </c>
      <c r="D63" s="93" t="s">
        <v>68</v>
      </c>
      <c r="E63" s="19">
        <v>10</v>
      </c>
      <c r="F63" s="96">
        <v>10</v>
      </c>
      <c r="G63" s="13">
        <v>222.4</v>
      </c>
      <c r="H63" s="103">
        <f t="shared" ref="H63:H70" si="11">SUM(F63*G63/1000)</f>
        <v>2.2240000000000002</v>
      </c>
      <c r="I63" s="13">
        <v>0</v>
      </c>
      <c r="J63" s="25"/>
      <c r="L63" s="21"/>
      <c r="M63" s="22"/>
      <c r="N63" s="23"/>
    </row>
    <row r="64" spans="1:14" ht="15.75" hidden="1" customHeight="1">
      <c r="A64" s="31">
        <v>29</v>
      </c>
      <c r="B64" s="15" t="s">
        <v>49</v>
      </c>
      <c r="C64" s="17" t="s">
        <v>95</v>
      </c>
      <c r="D64" s="93" t="s">
        <v>68</v>
      </c>
      <c r="E64" s="19">
        <v>5</v>
      </c>
      <c r="F64" s="96">
        <v>5</v>
      </c>
      <c r="G64" s="13">
        <v>75.25</v>
      </c>
      <c r="H64" s="103">
        <f t="shared" si="11"/>
        <v>0.37624999999999997</v>
      </c>
      <c r="I64" s="13">
        <v>0</v>
      </c>
      <c r="J64" s="25"/>
      <c r="L64" s="21"/>
      <c r="M64" s="22"/>
      <c r="N64" s="23"/>
    </row>
    <row r="65" spans="1:14" ht="15.75" hidden="1" customHeight="1">
      <c r="A65" s="31">
        <v>25</v>
      </c>
      <c r="B65" s="15" t="s">
        <v>50</v>
      </c>
      <c r="C65" s="17" t="s">
        <v>126</v>
      </c>
      <c r="D65" s="15" t="s">
        <v>55</v>
      </c>
      <c r="E65" s="95">
        <v>13018</v>
      </c>
      <c r="F65" s="13">
        <f>SUM(E65/100)</f>
        <v>130.18</v>
      </c>
      <c r="G65" s="13">
        <v>212.15</v>
      </c>
      <c r="H65" s="103">
        <f t="shared" si="11"/>
        <v>27.617687</v>
      </c>
      <c r="I65" s="13">
        <f>F65*G65</f>
        <v>27617.687000000002</v>
      </c>
      <c r="J65" s="25"/>
      <c r="L65" s="21"/>
      <c r="M65" s="22"/>
      <c r="N65" s="23"/>
    </row>
    <row r="66" spans="1:14" ht="15.75" hidden="1" customHeight="1">
      <c r="A66" s="31">
        <v>26</v>
      </c>
      <c r="B66" s="15" t="s">
        <v>51</v>
      </c>
      <c r="C66" s="17" t="s">
        <v>127</v>
      </c>
      <c r="D66" s="15"/>
      <c r="E66" s="95">
        <v>13018</v>
      </c>
      <c r="F66" s="13">
        <f>SUM(E66/1000)</f>
        <v>13.018000000000001</v>
      </c>
      <c r="G66" s="13">
        <v>165.21</v>
      </c>
      <c r="H66" s="103">
        <f t="shared" si="11"/>
        <v>2.1507037800000002</v>
      </c>
      <c r="I66" s="13">
        <f t="shared" ref="I66:I70" si="12">F66*G66</f>
        <v>2150.7037800000003</v>
      </c>
      <c r="J66" s="25"/>
      <c r="L66" s="21"/>
      <c r="M66" s="22"/>
      <c r="N66" s="23"/>
    </row>
    <row r="67" spans="1:14" ht="15.75" hidden="1" customHeight="1">
      <c r="A67" s="31">
        <v>27</v>
      </c>
      <c r="B67" s="15" t="s">
        <v>52</v>
      </c>
      <c r="C67" s="17" t="s">
        <v>79</v>
      </c>
      <c r="D67" s="15" t="s">
        <v>55</v>
      </c>
      <c r="E67" s="95">
        <v>1279</v>
      </c>
      <c r="F67" s="13">
        <f>SUM(E67/100)</f>
        <v>12.79</v>
      </c>
      <c r="G67" s="13">
        <v>2074.63</v>
      </c>
      <c r="H67" s="103">
        <f t="shared" si="11"/>
        <v>26.534517700000002</v>
      </c>
      <c r="I67" s="13">
        <f t="shared" si="12"/>
        <v>26534.5177</v>
      </c>
      <c r="J67" s="25"/>
      <c r="L67" s="21"/>
      <c r="M67" s="22"/>
      <c r="N67" s="23"/>
    </row>
    <row r="68" spans="1:14" ht="15.75" hidden="1" customHeight="1">
      <c r="A68" s="31">
        <v>28</v>
      </c>
      <c r="B68" s="104" t="s">
        <v>128</v>
      </c>
      <c r="C68" s="17" t="s">
        <v>33</v>
      </c>
      <c r="D68" s="15"/>
      <c r="E68" s="95">
        <v>12</v>
      </c>
      <c r="F68" s="13">
        <f>SUM(E68)</f>
        <v>12</v>
      </c>
      <c r="G68" s="13">
        <v>45.32</v>
      </c>
      <c r="H68" s="103">
        <f t="shared" si="11"/>
        <v>0.54383999999999999</v>
      </c>
      <c r="I68" s="13">
        <f t="shared" si="12"/>
        <v>543.84</v>
      </c>
      <c r="J68" s="25"/>
      <c r="L68" s="21"/>
      <c r="M68" s="22"/>
      <c r="N68" s="23"/>
    </row>
    <row r="69" spans="1:14" ht="15.75" hidden="1" customHeight="1">
      <c r="A69" s="31">
        <v>29</v>
      </c>
      <c r="B69" s="104" t="s">
        <v>129</v>
      </c>
      <c r="C69" s="17" t="s">
        <v>33</v>
      </c>
      <c r="D69" s="15"/>
      <c r="E69" s="95">
        <v>12</v>
      </c>
      <c r="F69" s="13">
        <f>SUM(E69)</f>
        <v>12</v>
      </c>
      <c r="G69" s="13">
        <v>42.28</v>
      </c>
      <c r="H69" s="103">
        <f t="shared" si="11"/>
        <v>0.50736000000000003</v>
      </c>
      <c r="I69" s="13">
        <f t="shared" si="12"/>
        <v>507.36</v>
      </c>
      <c r="J69" s="25"/>
      <c r="L69" s="21"/>
      <c r="M69" s="22"/>
      <c r="N69" s="23"/>
    </row>
    <row r="70" spans="1:14" ht="15.75" hidden="1" customHeight="1">
      <c r="A70" s="31">
        <v>13</v>
      </c>
      <c r="B70" s="15" t="s">
        <v>59</v>
      </c>
      <c r="C70" s="17" t="s">
        <v>60</v>
      </c>
      <c r="D70" s="15" t="s">
        <v>55</v>
      </c>
      <c r="E70" s="19">
        <v>1</v>
      </c>
      <c r="F70" s="96">
        <f>SUM(E70)</f>
        <v>1</v>
      </c>
      <c r="G70" s="13">
        <v>49.88</v>
      </c>
      <c r="H70" s="103">
        <f t="shared" si="11"/>
        <v>4.9880000000000001E-2</v>
      </c>
      <c r="I70" s="13">
        <f t="shared" si="12"/>
        <v>49.88</v>
      </c>
      <c r="J70" s="25"/>
      <c r="L70" s="21"/>
      <c r="M70" s="22"/>
      <c r="N70" s="23"/>
    </row>
    <row r="71" spans="1:14" ht="15.75" hidden="1" customHeight="1">
      <c r="A71" s="92"/>
      <c r="B71" s="83" t="s">
        <v>130</v>
      </c>
      <c r="C71" s="83"/>
      <c r="D71" s="83"/>
      <c r="E71" s="83"/>
      <c r="F71" s="83"/>
      <c r="G71" s="83"/>
      <c r="H71" s="83"/>
      <c r="I71" s="19"/>
      <c r="J71" s="25"/>
      <c r="L71" s="21"/>
      <c r="M71" s="22"/>
      <c r="N71" s="23"/>
    </row>
    <row r="72" spans="1:14" ht="15.75" hidden="1" customHeight="1">
      <c r="A72" s="31">
        <v>16</v>
      </c>
      <c r="B72" s="93" t="s">
        <v>131</v>
      </c>
      <c r="C72" s="17"/>
      <c r="D72" s="15"/>
      <c r="E72" s="87"/>
      <c r="F72" s="13">
        <v>1</v>
      </c>
      <c r="G72" s="13">
        <v>10041.700000000001</v>
      </c>
      <c r="H72" s="103">
        <f>G72*F72/1000</f>
        <v>10.041700000000001</v>
      </c>
      <c r="I72" s="13">
        <f>G72</f>
        <v>10041.700000000001</v>
      </c>
      <c r="J72" s="25"/>
      <c r="L72" s="21"/>
      <c r="M72" s="22"/>
      <c r="N72" s="23"/>
    </row>
    <row r="73" spans="1:14" ht="15.75" customHeight="1">
      <c r="A73" s="31"/>
      <c r="B73" s="49" t="s">
        <v>75</v>
      </c>
      <c r="C73" s="49"/>
      <c r="D73" s="49"/>
      <c r="E73" s="19"/>
      <c r="F73" s="19"/>
      <c r="G73" s="31"/>
      <c r="H73" s="31"/>
      <c r="I73" s="19"/>
      <c r="J73" s="25"/>
      <c r="L73" s="21"/>
      <c r="M73" s="22"/>
      <c r="N73" s="23"/>
    </row>
    <row r="74" spans="1:14" ht="15.75" customHeight="1">
      <c r="A74" s="31">
        <v>12</v>
      </c>
      <c r="B74" s="15" t="s">
        <v>76</v>
      </c>
      <c r="C74" s="17" t="s">
        <v>77</v>
      </c>
      <c r="D74" s="15" t="s">
        <v>68</v>
      </c>
      <c r="E74" s="19">
        <v>5</v>
      </c>
      <c r="F74" s="13">
        <v>0.5</v>
      </c>
      <c r="G74" s="13">
        <v>501.62</v>
      </c>
      <c r="H74" s="103">
        <f t="shared" ref="H74:H76" si="13">SUM(F74*G74/1000)</f>
        <v>0.25080999999999998</v>
      </c>
      <c r="I74" s="13">
        <f>G74*0.1</f>
        <v>50.162000000000006</v>
      </c>
      <c r="J74" s="25"/>
      <c r="L74" s="21"/>
      <c r="M74" s="22"/>
      <c r="N74" s="23"/>
    </row>
    <row r="75" spans="1:14" ht="15.75" hidden="1" customHeight="1">
      <c r="A75" s="31"/>
      <c r="B75" s="15" t="s">
        <v>147</v>
      </c>
      <c r="C75" s="17" t="s">
        <v>95</v>
      </c>
      <c r="D75" s="15"/>
      <c r="E75" s="19">
        <v>1</v>
      </c>
      <c r="F75" s="86">
        <f>E75</f>
        <v>1</v>
      </c>
      <c r="G75" s="13">
        <v>852.99</v>
      </c>
      <c r="H75" s="103">
        <f t="shared" si="13"/>
        <v>0.85299000000000003</v>
      </c>
      <c r="I75" s="13">
        <v>0</v>
      </c>
      <c r="J75" s="25"/>
      <c r="L75" s="21"/>
      <c r="M75" s="22"/>
      <c r="N75" s="23"/>
    </row>
    <row r="76" spans="1:14" ht="15.75" hidden="1" customHeight="1">
      <c r="A76" s="31"/>
      <c r="B76" s="15" t="s">
        <v>148</v>
      </c>
      <c r="C76" s="17" t="s">
        <v>95</v>
      </c>
      <c r="D76" s="15"/>
      <c r="E76" s="19">
        <v>1</v>
      </c>
      <c r="F76" s="96">
        <f>SUM(E76)</f>
        <v>1</v>
      </c>
      <c r="G76" s="13">
        <v>358.51</v>
      </c>
      <c r="H76" s="103">
        <f t="shared" si="13"/>
        <v>0.35851</v>
      </c>
      <c r="I76" s="13">
        <v>0</v>
      </c>
      <c r="J76" s="25"/>
      <c r="L76" s="21"/>
      <c r="M76" s="22"/>
      <c r="N76" s="23"/>
    </row>
    <row r="77" spans="1:14" ht="15.75" hidden="1" customHeight="1">
      <c r="A77" s="31"/>
      <c r="B77" s="50" t="s">
        <v>78</v>
      </c>
      <c r="C77" s="38"/>
      <c r="D77" s="31"/>
      <c r="E77" s="19"/>
      <c r="F77" s="19"/>
      <c r="G77" s="37" t="s">
        <v>132</v>
      </c>
      <c r="H77" s="37"/>
      <c r="I77" s="19"/>
      <c r="J77" s="25"/>
      <c r="L77" s="21"/>
      <c r="M77" s="22"/>
      <c r="N77" s="23"/>
    </row>
    <row r="78" spans="1:14" ht="15.75" hidden="1" customHeight="1">
      <c r="A78" s="31">
        <v>12</v>
      </c>
      <c r="B78" s="52" t="s">
        <v>133</v>
      </c>
      <c r="C78" s="17" t="s">
        <v>79</v>
      </c>
      <c r="D78" s="15"/>
      <c r="E78" s="19"/>
      <c r="F78" s="13">
        <v>0.3</v>
      </c>
      <c r="G78" s="13">
        <v>2759.44</v>
      </c>
      <c r="H78" s="103">
        <f t="shared" ref="H78" si="14">SUM(F78*G78/1000)</f>
        <v>0.82783200000000001</v>
      </c>
      <c r="I78" s="13">
        <v>0</v>
      </c>
      <c r="J78" s="25"/>
      <c r="L78" s="21"/>
      <c r="M78" s="22"/>
      <c r="N78" s="23"/>
    </row>
    <row r="79" spans="1:14" ht="15.75" customHeight="1">
      <c r="A79" s="154" t="s">
        <v>172</v>
      </c>
      <c r="B79" s="155"/>
      <c r="C79" s="155"/>
      <c r="D79" s="155"/>
      <c r="E79" s="155"/>
      <c r="F79" s="155"/>
      <c r="G79" s="155"/>
      <c r="H79" s="155"/>
      <c r="I79" s="156"/>
      <c r="J79" s="25"/>
      <c r="L79" s="21"/>
      <c r="M79" s="22"/>
      <c r="N79" s="23"/>
    </row>
    <row r="80" spans="1:14" ht="15.75" customHeight="1">
      <c r="A80" s="31">
        <v>13</v>
      </c>
      <c r="B80" s="93" t="s">
        <v>134</v>
      </c>
      <c r="C80" s="17" t="s">
        <v>56</v>
      </c>
      <c r="D80" s="106" t="s">
        <v>57</v>
      </c>
      <c r="E80" s="13">
        <v>2581.1999999999998</v>
      </c>
      <c r="F80" s="13">
        <f>SUM(E80*12)</f>
        <v>30974.399999999998</v>
      </c>
      <c r="G80" s="13">
        <v>2.1</v>
      </c>
      <c r="H80" s="103">
        <f>SUM(F80*G80/1000)</f>
        <v>65.046239999999997</v>
      </c>
      <c r="I80" s="13">
        <f>F80/12*G80</f>
        <v>5420.5199999999995</v>
      </c>
      <c r="J80" s="25"/>
      <c r="L80" s="21"/>
    </row>
    <row r="81" spans="1:22" ht="31.5" customHeight="1">
      <c r="A81" s="31">
        <v>14</v>
      </c>
      <c r="B81" s="15" t="s">
        <v>80</v>
      </c>
      <c r="C81" s="17"/>
      <c r="D81" s="106" t="s">
        <v>57</v>
      </c>
      <c r="E81" s="95">
        <v>2581.1999999999998</v>
      </c>
      <c r="F81" s="13">
        <f>E81*12</f>
        <v>30974.399999999998</v>
      </c>
      <c r="G81" s="13">
        <v>1.63</v>
      </c>
      <c r="H81" s="103">
        <f>F81*G81/1000</f>
        <v>50.488271999999988</v>
      </c>
      <c r="I81" s="13">
        <f>F81/12*G81</f>
        <v>4207.3559999999998</v>
      </c>
    </row>
    <row r="82" spans="1:22" ht="15.75" customHeight="1">
      <c r="A82" s="92"/>
      <c r="B82" s="39" t="s">
        <v>83</v>
      </c>
      <c r="C82" s="41"/>
      <c r="D82" s="16"/>
      <c r="E82" s="16"/>
      <c r="F82" s="16"/>
      <c r="G82" s="19"/>
      <c r="H82" s="19"/>
      <c r="I82" s="33">
        <f>SUM(I16+I17+I18+I20+I21+I27+I28+I31+I32+I34+I59+I74+I80+I81)</f>
        <v>33484.826483055556</v>
      </c>
    </row>
    <row r="83" spans="1:22" ht="15.75" customHeight="1">
      <c r="A83" s="157" t="s">
        <v>62</v>
      </c>
      <c r="B83" s="158"/>
      <c r="C83" s="158"/>
      <c r="D83" s="158"/>
      <c r="E83" s="158"/>
      <c r="F83" s="158"/>
      <c r="G83" s="158"/>
      <c r="H83" s="158"/>
      <c r="I83" s="159"/>
    </row>
    <row r="84" spans="1:22" ht="15.75" customHeight="1">
      <c r="A84" s="31">
        <v>15</v>
      </c>
      <c r="B84" s="67" t="s">
        <v>107</v>
      </c>
      <c r="C84" s="68" t="s">
        <v>95</v>
      </c>
      <c r="D84" s="52"/>
      <c r="E84" s="13"/>
      <c r="F84" s="13">
        <v>368</v>
      </c>
      <c r="G84" s="13">
        <v>53.42</v>
      </c>
      <c r="H84" s="103" t="e">
        <f>#REF!*#REF!/1000</f>
        <v>#REF!</v>
      </c>
      <c r="I84" s="13">
        <f>G84*46</f>
        <v>2457.3200000000002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9"/>
    </row>
    <row r="85" spans="1:22" ht="15.75" customHeight="1">
      <c r="A85" s="31">
        <v>16</v>
      </c>
      <c r="B85" s="67" t="s">
        <v>85</v>
      </c>
      <c r="C85" s="68" t="s">
        <v>95</v>
      </c>
      <c r="D85" s="66"/>
      <c r="E85" s="37"/>
      <c r="F85" s="37">
        <v>4</v>
      </c>
      <c r="G85" s="37">
        <v>189.88</v>
      </c>
      <c r="H85" s="105">
        <f>G85*F85/1000</f>
        <v>0.75951999999999997</v>
      </c>
      <c r="I85" s="13">
        <f>G85*2</f>
        <v>379.76</v>
      </c>
      <c r="J85" s="27"/>
      <c r="K85" s="27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2" ht="15.75" customHeight="1">
      <c r="A86" s="31">
        <v>17</v>
      </c>
      <c r="B86" s="67" t="s">
        <v>186</v>
      </c>
      <c r="C86" s="111" t="s">
        <v>187</v>
      </c>
      <c r="D86" s="66"/>
      <c r="E86" s="37"/>
      <c r="F86" s="37">
        <v>1</v>
      </c>
      <c r="G86" s="37">
        <v>295.45</v>
      </c>
      <c r="H86" s="105">
        <f t="shared" ref="H86" si="15">G86*F86/1000</f>
        <v>0.29544999999999999</v>
      </c>
      <c r="I86" s="13">
        <f>G86</f>
        <v>295.45</v>
      </c>
      <c r="J86" s="27"/>
      <c r="K86" s="27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2" ht="15.75" customHeight="1">
      <c r="A87" s="31"/>
      <c r="B87" s="46" t="s">
        <v>53</v>
      </c>
      <c r="C87" s="42"/>
      <c r="D87" s="54"/>
      <c r="E87" s="42">
        <v>1</v>
      </c>
      <c r="F87" s="42"/>
      <c r="G87" s="42"/>
      <c r="H87" s="42"/>
      <c r="I87" s="33">
        <f>SUM(I84:I86)</f>
        <v>3132.5299999999997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1:22" ht="15.75" customHeight="1">
      <c r="A88" s="31"/>
      <c r="B88" s="52" t="s">
        <v>81</v>
      </c>
      <c r="C88" s="16"/>
      <c r="D88" s="16"/>
      <c r="E88" s="43"/>
      <c r="F88" s="43"/>
      <c r="G88" s="44"/>
      <c r="H88" s="44"/>
      <c r="I88" s="18">
        <v>0</v>
      </c>
    </row>
    <row r="89" spans="1:22" ht="15.75" customHeight="1">
      <c r="A89" s="55"/>
      <c r="B89" s="47" t="s">
        <v>157</v>
      </c>
      <c r="C89" s="36"/>
      <c r="D89" s="36"/>
      <c r="E89" s="36"/>
      <c r="F89" s="36"/>
      <c r="G89" s="36"/>
      <c r="H89" s="36"/>
      <c r="I89" s="45">
        <f>I82+I87</f>
        <v>36617.356483055555</v>
      </c>
    </row>
    <row r="90" spans="1:22" ht="15.75" customHeight="1">
      <c r="A90" s="153" t="s">
        <v>188</v>
      </c>
      <c r="B90" s="153"/>
      <c r="C90" s="153"/>
      <c r="D90" s="153"/>
      <c r="E90" s="153"/>
      <c r="F90" s="153"/>
      <c r="G90" s="153"/>
      <c r="H90" s="153"/>
      <c r="I90" s="153"/>
    </row>
    <row r="91" spans="1:22" ht="15.75" customHeight="1">
      <c r="A91" s="79"/>
      <c r="B91" s="134" t="s">
        <v>189</v>
      </c>
      <c r="C91" s="134"/>
      <c r="D91" s="134"/>
      <c r="E91" s="134"/>
      <c r="F91" s="134"/>
      <c r="G91" s="134"/>
      <c r="H91" s="91"/>
      <c r="I91" s="3"/>
    </row>
    <row r="92" spans="1:22" ht="15.75" customHeight="1">
      <c r="A92" s="82"/>
      <c r="B92" s="135" t="s">
        <v>6</v>
      </c>
      <c r="C92" s="135"/>
      <c r="D92" s="135"/>
      <c r="E92" s="135"/>
      <c r="F92" s="135"/>
      <c r="G92" s="135"/>
      <c r="H92" s="26"/>
      <c r="I92" s="5"/>
    </row>
    <row r="93" spans="1:22" ht="15.75" customHeight="1">
      <c r="A93" s="10"/>
      <c r="B93" s="10"/>
      <c r="C93" s="10"/>
      <c r="D93" s="10"/>
      <c r="E93" s="10"/>
      <c r="F93" s="10"/>
      <c r="G93" s="10"/>
      <c r="H93" s="10"/>
      <c r="I93" s="10"/>
    </row>
    <row r="94" spans="1:22" ht="15.75" customHeight="1">
      <c r="A94" s="136" t="s">
        <v>7</v>
      </c>
      <c r="B94" s="136"/>
      <c r="C94" s="136"/>
      <c r="D94" s="136"/>
      <c r="E94" s="136"/>
      <c r="F94" s="136"/>
      <c r="G94" s="136"/>
      <c r="H94" s="136"/>
      <c r="I94" s="136"/>
    </row>
    <row r="95" spans="1:22" ht="15.75" customHeight="1">
      <c r="A95" s="136" t="s">
        <v>8</v>
      </c>
      <c r="B95" s="136"/>
      <c r="C95" s="136"/>
      <c r="D95" s="136"/>
      <c r="E95" s="136"/>
      <c r="F95" s="136"/>
      <c r="G95" s="136"/>
      <c r="H95" s="136"/>
      <c r="I95" s="136"/>
    </row>
    <row r="96" spans="1:22" ht="15.75" customHeight="1">
      <c r="A96" s="139" t="s">
        <v>63</v>
      </c>
      <c r="B96" s="139"/>
      <c r="C96" s="139"/>
      <c r="D96" s="139"/>
      <c r="E96" s="139"/>
      <c r="F96" s="139"/>
      <c r="G96" s="139"/>
      <c r="H96" s="139"/>
      <c r="I96" s="139"/>
    </row>
    <row r="97" spans="1:9" ht="15.75" customHeight="1">
      <c r="A97" s="11"/>
    </row>
    <row r="98" spans="1:9" ht="15.75" customHeight="1">
      <c r="A98" s="140" t="s">
        <v>9</v>
      </c>
      <c r="B98" s="140"/>
      <c r="C98" s="140"/>
      <c r="D98" s="140"/>
      <c r="E98" s="140"/>
      <c r="F98" s="140"/>
      <c r="G98" s="140"/>
      <c r="H98" s="140"/>
      <c r="I98" s="140"/>
    </row>
    <row r="99" spans="1:9" ht="15.75" customHeight="1">
      <c r="A99" s="4"/>
    </row>
    <row r="100" spans="1:9" ht="15.75" customHeight="1">
      <c r="B100" s="85" t="s">
        <v>10</v>
      </c>
      <c r="C100" s="141" t="s">
        <v>94</v>
      </c>
      <c r="D100" s="141"/>
      <c r="E100" s="141"/>
      <c r="F100" s="89"/>
      <c r="I100" s="81"/>
    </row>
    <row r="101" spans="1:9" ht="15.75" customHeight="1">
      <c r="A101" s="82"/>
      <c r="C101" s="135" t="s">
        <v>11</v>
      </c>
      <c r="D101" s="135"/>
      <c r="E101" s="135"/>
      <c r="F101" s="26"/>
      <c r="I101" s="80" t="s">
        <v>12</v>
      </c>
    </row>
    <row r="102" spans="1:9" ht="15.75" customHeight="1">
      <c r="A102" s="27"/>
      <c r="C102" s="12"/>
      <c r="D102" s="12"/>
      <c r="G102" s="12"/>
      <c r="H102" s="12"/>
    </row>
    <row r="103" spans="1:9" ht="15.75" customHeight="1">
      <c r="B103" s="85" t="s">
        <v>13</v>
      </c>
      <c r="C103" s="142"/>
      <c r="D103" s="142"/>
      <c r="E103" s="142"/>
      <c r="F103" s="90"/>
      <c r="I103" s="81"/>
    </row>
    <row r="104" spans="1:9" ht="15.75" customHeight="1">
      <c r="A104" s="82"/>
      <c r="C104" s="138" t="s">
        <v>11</v>
      </c>
      <c r="D104" s="138"/>
      <c r="E104" s="138"/>
      <c r="F104" s="82"/>
      <c r="I104" s="80" t="s">
        <v>12</v>
      </c>
    </row>
    <row r="105" spans="1:9" ht="15.75" customHeight="1">
      <c r="A105" s="4" t="s">
        <v>14</v>
      </c>
    </row>
    <row r="106" spans="1:9">
      <c r="A106" s="137" t="s">
        <v>15</v>
      </c>
      <c r="B106" s="137"/>
      <c r="C106" s="137"/>
      <c r="D106" s="137"/>
      <c r="E106" s="137"/>
      <c r="F106" s="137"/>
      <c r="G106" s="137"/>
      <c r="H106" s="137"/>
      <c r="I106" s="137"/>
    </row>
    <row r="107" spans="1:9" ht="45" customHeight="1">
      <c r="A107" s="133" t="s">
        <v>16</v>
      </c>
      <c r="B107" s="133"/>
      <c r="C107" s="133"/>
      <c r="D107" s="133"/>
      <c r="E107" s="133"/>
      <c r="F107" s="133"/>
      <c r="G107" s="133"/>
      <c r="H107" s="133"/>
      <c r="I107" s="133"/>
    </row>
    <row r="108" spans="1:9" ht="30" customHeight="1">
      <c r="A108" s="133" t="s">
        <v>17</v>
      </c>
      <c r="B108" s="133"/>
      <c r="C108" s="133"/>
      <c r="D108" s="133"/>
      <c r="E108" s="133"/>
      <c r="F108" s="133"/>
      <c r="G108" s="133"/>
      <c r="H108" s="133"/>
      <c r="I108" s="133"/>
    </row>
    <row r="109" spans="1:9" ht="30" customHeight="1">
      <c r="A109" s="133" t="s">
        <v>21</v>
      </c>
      <c r="B109" s="133"/>
      <c r="C109" s="133"/>
      <c r="D109" s="133"/>
      <c r="E109" s="133"/>
      <c r="F109" s="133"/>
      <c r="G109" s="133"/>
      <c r="H109" s="133"/>
      <c r="I109" s="133"/>
    </row>
    <row r="110" spans="1:9" ht="15" customHeight="1">
      <c r="A110" s="133" t="s">
        <v>20</v>
      </c>
      <c r="B110" s="133"/>
      <c r="C110" s="133"/>
      <c r="D110" s="133"/>
      <c r="E110" s="133"/>
      <c r="F110" s="133"/>
      <c r="G110" s="133"/>
      <c r="H110" s="133"/>
      <c r="I110" s="133"/>
    </row>
  </sheetData>
  <autoFilter ref="I12:I82"/>
  <mergeCells count="28"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  <mergeCell ref="A96:I96"/>
    <mergeCell ref="A15:I15"/>
    <mergeCell ref="A29:I29"/>
    <mergeCell ref="A43:I43"/>
    <mergeCell ref="A54:I54"/>
    <mergeCell ref="A79:I79"/>
    <mergeCell ref="A83:I83"/>
    <mergeCell ref="A90:I90"/>
    <mergeCell ref="B91:G91"/>
    <mergeCell ref="B92:G92"/>
    <mergeCell ref="A94:I94"/>
    <mergeCell ref="A95:I95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91</v>
      </c>
      <c r="I1" s="28"/>
      <c r="J1" s="1"/>
      <c r="K1" s="1"/>
      <c r="L1" s="1"/>
      <c r="M1" s="1"/>
    </row>
    <row r="2" spans="1:13" ht="15.75" customHeight="1">
      <c r="A2" s="30" t="s">
        <v>64</v>
      </c>
      <c r="J2" s="2"/>
      <c r="K2" s="2"/>
      <c r="L2" s="2"/>
      <c r="M2" s="2"/>
    </row>
    <row r="3" spans="1:13" ht="15.75" customHeight="1">
      <c r="A3" s="143" t="s">
        <v>190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135</v>
      </c>
      <c r="B4" s="144"/>
      <c r="C4" s="144"/>
      <c r="D4" s="144"/>
      <c r="E4" s="144"/>
      <c r="F4" s="144"/>
      <c r="G4" s="144"/>
      <c r="H4" s="144"/>
      <c r="I4" s="144"/>
    </row>
    <row r="5" spans="1:13" ht="15.75" customHeight="1">
      <c r="A5" s="143" t="s">
        <v>191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 customHeight="1">
      <c r="A6" s="2"/>
      <c r="B6" s="84"/>
      <c r="C6" s="84"/>
      <c r="D6" s="84"/>
      <c r="E6" s="84"/>
      <c r="F6" s="84"/>
      <c r="G6" s="84"/>
      <c r="H6" s="84"/>
      <c r="I6" s="32">
        <v>42978</v>
      </c>
      <c r="J6" s="2"/>
      <c r="K6" s="2"/>
      <c r="L6" s="2"/>
      <c r="M6" s="2"/>
    </row>
    <row r="7" spans="1:13" ht="15.75" customHeight="1">
      <c r="B7" s="85"/>
      <c r="C7" s="85"/>
      <c r="D7" s="85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45" t="s">
        <v>201</v>
      </c>
      <c r="B8" s="145"/>
      <c r="C8" s="145"/>
      <c r="D8" s="145"/>
      <c r="E8" s="145"/>
      <c r="F8" s="145"/>
      <c r="G8" s="145"/>
      <c r="H8" s="145"/>
      <c r="I8" s="145"/>
      <c r="J8" s="78"/>
      <c r="K8" s="78"/>
      <c r="L8" s="78"/>
      <c r="M8" s="78"/>
    </row>
    <row r="9" spans="1:13" ht="15.75">
      <c r="A9" s="4"/>
      <c r="J9" s="2"/>
      <c r="K9" s="2"/>
      <c r="L9" s="2"/>
      <c r="M9" s="2"/>
    </row>
    <row r="10" spans="1:13" ht="47.25" customHeight="1">
      <c r="A10" s="146" t="s">
        <v>202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8" t="s">
        <v>61</v>
      </c>
      <c r="B14" s="148"/>
      <c r="C14" s="148"/>
      <c r="D14" s="148"/>
      <c r="E14" s="148"/>
      <c r="F14" s="148"/>
      <c r="G14" s="148"/>
      <c r="H14" s="148"/>
      <c r="I14" s="148"/>
      <c r="J14" s="8"/>
      <c r="K14" s="8"/>
      <c r="L14" s="8"/>
      <c r="M14" s="8"/>
    </row>
    <row r="15" spans="1:13" ht="15.75" customHeight="1">
      <c r="A15" s="149" t="s">
        <v>4</v>
      </c>
      <c r="B15" s="149"/>
      <c r="C15" s="149"/>
      <c r="D15" s="149"/>
      <c r="E15" s="149"/>
      <c r="F15" s="149"/>
      <c r="G15" s="149"/>
      <c r="H15" s="149"/>
      <c r="I15" s="149"/>
      <c r="J15" s="8"/>
      <c r="K15" s="8"/>
      <c r="L15" s="8"/>
      <c r="M15" s="8"/>
    </row>
    <row r="16" spans="1:13" ht="15.75" customHeight="1">
      <c r="A16" s="31">
        <v>1</v>
      </c>
      <c r="B16" s="93" t="s">
        <v>92</v>
      </c>
      <c r="C16" s="94" t="s">
        <v>102</v>
      </c>
      <c r="D16" s="93" t="s">
        <v>140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8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111</v>
      </c>
      <c r="C17" s="94" t="s">
        <v>102</v>
      </c>
      <c r="D17" s="93" t="s">
        <v>141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112</v>
      </c>
      <c r="C18" s="94" t="s">
        <v>102</v>
      </c>
      <c r="D18" s="93" t="s">
        <v>142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3" t="s">
        <v>136</v>
      </c>
      <c r="C19" s="94" t="s">
        <v>137</v>
      </c>
      <c r="D19" s="93" t="s">
        <v>138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f>F19/2*G19</f>
        <v>157.22784000000001</v>
      </c>
      <c r="J19" s="8"/>
      <c r="K19" s="8"/>
      <c r="L19" s="8"/>
      <c r="M19" s="8"/>
    </row>
    <row r="20" spans="1:13" ht="15.75" customHeight="1">
      <c r="A20" s="31">
        <v>4</v>
      </c>
      <c r="B20" s="93" t="s">
        <v>101</v>
      </c>
      <c r="C20" s="94" t="s">
        <v>102</v>
      </c>
      <c r="D20" s="93" t="s">
        <v>30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3" t="s">
        <v>109</v>
      </c>
      <c r="C21" s="94" t="s">
        <v>102</v>
      </c>
      <c r="D21" s="93" t="s">
        <v>30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3" t="s">
        <v>103</v>
      </c>
      <c r="C22" s="94" t="s">
        <v>54</v>
      </c>
      <c r="D22" s="93" t="s">
        <v>138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f>F22*G22</f>
        <v>720.94365000000005</v>
      </c>
      <c r="J22" s="8"/>
      <c r="K22" s="8"/>
      <c r="L22" s="8"/>
      <c r="M22" s="8"/>
    </row>
    <row r="23" spans="1:13" ht="15.75" hidden="1" customHeight="1">
      <c r="A23" s="31">
        <v>8</v>
      </c>
      <c r="B23" s="93" t="s">
        <v>104</v>
      </c>
      <c r="C23" s="94" t="s">
        <v>54</v>
      </c>
      <c r="D23" s="93" t="s">
        <v>138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f t="shared" ref="I23:I26" si="1">F23*G23</f>
        <v>9.6552199999999999</v>
      </c>
      <c r="J23" s="8"/>
      <c r="K23" s="8"/>
      <c r="L23" s="8"/>
      <c r="M23" s="8"/>
    </row>
    <row r="24" spans="1:13" ht="15.75" hidden="1" customHeight="1">
      <c r="A24" s="31">
        <v>9</v>
      </c>
      <c r="B24" s="93" t="s">
        <v>105</v>
      </c>
      <c r="C24" s="94" t="s">
        <v>54</v>
      </c>
      <c r="D24" s="93" t="s">
        <v>139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f t="shared" si="1"/>
        <v>58.457999999999998</v>
      </c>
      <c r="J24" s="8"/>
      <c r="K24" s="8"/>
      <c r="L24" s="8"/>
      <c r="M24" s="8"/>
    </row>
    <row r="25" spans="1:13" ht="15.75" hidden="1" customHeight="1">
      <c r="A25" s="31">
        <v>10</v>
      </c>
      <c r="B25" s="93" t="s">
        <v>110</v>
      </c>
      <c r="C25" s="94" t="s">
        <v>102</v>
      </c>
      <c r="D25" s="93" t="s">
        <v>55</v>
      </c>
      <c r="E25" s="95">
        <v>14.25</v>
      </c>
      <c r="F25" s="96">
        <v>0.1</v>
      </c>
      <c r="G25" s="96">
        <v>216.12</v>
      </c>
      <c r="H25" s="97">
        <v>3.1E-2</v>
      </c>
      <c r="I25" s="13">
        <f t="shared" si="1"/>
        <v>21.612000000000002</v>
      </c>
      <c r="J25" s="8"/>
      <c r="K25" s="8"/>
      <c r="L25" s="8"/>
      <c r="M25" s="8"/>
    </row>
    <row r="26" spans="1:13" ht="15.75" hidden="1" customHeight="1">
      <c r="A26" s="31">
        <v>11</v>
      </c>
      <c r="B26" s="93" t="s">
        <v>106</v>
      </c>
      <c r="C26" s="94" t="s">
        <v>54</v>
      </c>
      <c r="D26" s="93" t="s">
        <v>138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f t="shared" si="1"/>
        <v>33.227039999999995</v>
      </c>
      <c r="J26" s="8"/>
      <c r="K26" s="8"/>
      <c r="L26" s="8"/>
      <c r="M26" s="8"/>
    </row>
    <row r="27" spans="1:13" ht="15.75" customHeight="1">
      <c r="A27" s="31">
        <v>6</v>
      </c>
      <c r="B27" s="93" t="s">
        <v>66</v>
      </c>
      <c r="C27" s="94" t="s">
        <v>33</v>
      </c>
      <c r="D27" s="34" t="s">
        <v>90</v>
      </c>
      <c r="E27" s="95">
        <v>0.1</v>
      </c>
      <c r="F27" s="96">
        <f>SUM(E27*365)</f>
        <v>36.5</v>
      </c>
      <c r="G27" s="96">
        <v>147.03</v>
      </c>
      <c r="H27" s="97">
        <f t="shared" si="0"/>
        <v>5.3665950000000002</v>
      </c>
      <c r="I27" s="13">
        <f>F27/12*G27</f>
        <v>447.21625</v>
      </c>
      <c r="J27" s="8"/>
      <c r="K27" s="8"/>
      <c r="L27" s="8"/>
      <c r="M27" s="8"/>
    </row>
    <row r="28" spans="1:13" ht="15.75" customHeight="1">
      <c r="A28" s="31">
        <v>7</v>
      </c>
      <c r="B28" s="99" t="s">
        <v>23</v>
      </c>
      <c r="C28" s="94" t="s">
        <v>24</v>
      </c>
      <c r="D28" s="34" t="s">
        <v>90</v>
      </c>
      <c r="E28" s="95">
        <v>2581.1999999999998</v>
      </c>
      <c r="F28" s="96">
        <f>SUM(E28*12)</f>
        <v>30974.399999999998</v>
      </c>
      <c r="G28" s="96">
        <v>4.8099999999999996</v>
      </c>
      <c r="H28" s="97">
        <f t="shared" si="0"/>
        <v>148.98686399999997</v>
      </c>
      <c r="I28" s="13">
        <f>F28/12*G28</f>
        <v>12415.571999999998</v>
      </c>
      <c r="J28" s="24"/>
      <c r="K28" s="8"/>
      <c r="L28" s="8"/>
      <c r="M28" s="8"/>
    </row>
    <row r="29" spans="1:13" ht="15.75" customHeight="1">
      <c r="A29" s="149" t="s">
        <v>89</v>
      </c>
      <c r="B29" s="149"/>
      <c r="C29" s="149"/>
      <c r="D29" s="149"/>
      <c r="E29" s="149"/>
      <c r="F29" s="149"/>
      <c r="G29" s="149"/>
      <c r="H29" s="149"/>
      <c r="I29" s="149"/>
      <c r="J29" s="24"/>
      <c r="K29" s="8"/>
      <c r="L29" s="8"/>
      <c r="M29" s="8"/>
    </row>
    <row r="30" spans="1:13" ht="15.75" customHeight="1">
      <c r="A30" s="41"/>
      <c r="B30" s="51" t="s">
        <v>28</v>
      </c>
      <c r="C30" s="51"/>
      <c r="D30" s="51"/>
      <c r="E30" s="51"/>
      <c r="F30" s="51"/>
      <c r="G30" s="51"/>
      <c r="H30" s="51"/>
      <c r="I30" s="19"/>
      <c r="J30" s="24"/>
      <c r="K30" s="8"/>
      <c r="L30" s="8"/>
      <c r="M30" s="8"/>
    </row>
    <row r="31" spans="1:13" ht="15.75" customHeight="1">
      <c r="A31" s="41">
        <v>8</v>
      </c>
      <c r="B31" s="93" t="s">
        <v>114</v>
      </c>
      <c r="C31" s="94" t="s">
        <v>115</v>
      </c>
      <c r="D31" s="93" t="s">
        <v>116</v>
      </c>
      <c r="E31" s="96">
        <v>1167.4000000000001</v>
      </c>
      <c r="F31" s="96">
        <f>SUM(E31*52/1000)</f>
        <v>60.704800000000006</v>
      </c>
      <c r="G31" s="96">
        <v>155.88999999999999</v>
      </c>
      <c r="H31" s="97">
        <f t="shared" ref="H31:H33" si="2">SUM(F31*G31/1000)</f>
        <v>9.4632712720000001</v>
      </c>
      <c r="I31" s="13">
        <f>F31/6*G31</f>
        <v>1577.2118786666665</v>
      </c>
      <c r="J31" s="24"/>
      <c r="K31" s="8"/>
      <c r="L31" s="8"/>
      <c r="M31" s="8"/>
    </row>
    <row r="32" spans="1:13" ht="31.5" customHeight="1">
      <c r="A32" s="41">
        <v>9</v>
      </c>
      <c r="B32" s="93" t="s">
        <v>154</v>
      </c>
      <c r="C32" s="94" t="s">
        <v>115</v>
      </c>
      <c r="D32" s="93" t="s">
        <v>117</v>
      </c>
      <c r="E32" s="96">
        <v>540.04999999999995</v>
      </c>
      <c r="F32" s="96">
        <f>SUM(E32*78/1000)</f>
        <v>42.123899999999992</v>
      </c>
      <c r="G32" s="96">
        <v>258.63</v>
      </c>
      <c r="H32" s="97">
        <f t="shared" si="2"/>
        <v>10.894504256999998</v>
      </c>
      <c r="I32" s="13">
        <f t="shared" ref="I32:I34" si="3">F32/6*G32</f>
        <v>1815.7507094999996</v>
      </c>
      <c r="J32" s="24"/>
      <c r="K32" s="8"/>
      <c r="L32" s="8"/>
      <c r="M32" s="8"/>
    </row>
    <row r="33" spans="1:13" ht="15.75" hidden="1" customHeight="1">
      <c r="A33" s="41">
        <v>16</v>
      </c>
      <c r="B33" s="93" t="s">
        <v>27</v>
      </c>
      <c r="C33" s="94" t="s">
        <v>115</v>
      </c>
      <c r="D33" s="93" t="s">
        <v>55</v>
      </c>
      <c r="E33" s="96">
        <v>1167.4000000000001</v>
      </c>
      <c r="F33" s="96">
        <f>SUM(E33/1000)</f>
        <v>1.1674</v>
      </c>
      <c r="G33" s="96">
        <v>3020.33</v>
      </c>
      <c r="H33" s="97">
        <f t="shared" si="2"/>
        <v>3.5259332420000002</v>
      </c>
      <c r="I33" s="13">
        <f>F33*G33</f>
        <v>3525.9332420000001</v>
      </c>
      <c r="J33" s="24"/>
      <c r="K33" s="8"/>
      <c r="L33" s="8"/>
      <c r="M33" s="8"/>
    </row>
    <row r="34" spans="1:13" ht="15.75" customHeight="1">
      <c r="A34" s="41">
        <v>10</v>
      </c>
      <c r="B34" s="93" t="s">
        <v>118</v>
      </c>
      <c r="C34" s="94" t="s">
        <v>31</v>
      </c>
      <c r="D34" s="93" t="s">
        <v>65</v>
      </c>
      <c r="E34" s="100">
        <v>0.33333333333333331</v>
      </c>
      <c r="F34" s="96">
        <f>155/3</f>
        <v>51.666666666666664</v>
      </c>
      <c r="G34" s="96">
        <v>56.69</v>
      </c>
      <c r="H34" s="97">
        <f>SUM(G34*155/3/1000)</f>
        <v>2.9289833333333331</v>
      </c>
      <c r="I34" s="13">
        <f t="shared" si="3"/>
        <v>488.16388888888883</v>
      </c>
      <c r="J34" s="24"/>
      <c r="K34" s="8"/>
      <c r="L34" s="8"/>
      <c r="M34" s="8"/>
    </row>
    <row r="35" spans="1:13" ht="15.75" hidden="1" customHeight="1">
      <c r="A35" s="41">
        <v>4</v>
      </c>
      <c r="B35" s="93" t="s">
        <v>67</v>
      </c>
      <c r="C35" s="94" t="s">
        <v>33</v>
      </c>
      <c r="D35" s="93" t="s">
        <v>68</v>
      </c>
      <c r="E35" s="95"/>
      <c r="F35" s="96">
        <v>3</v>
      </c>
      <c r="G35" s="96">
        <v>191.32</v>
      </c>
      <c r="H35" s="97">
        <f t="shared" ref="H35" si="4">SUM(F35*G35/1000)</f>
        <v>0.57396000000000003</v>
      </c>
      <c r="I35" s="13">
        <v>0</v>
      </c>
      <c r="J35" s="24"/>
      <c r="K35" s="8"/>
      <c r="L35" s="8"/>
      <c r="M35" s="8"/>
    </row>
    <row r="36" spans="1:13" ht="15.75" hidden="1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9"/>
      <c r="J36" s="24"/>
      <c r="K36" s="8"/>
      <c r="L36" s="8"/>
      <c r="M36" s="8"/>
    </row>
    <row r="37" spans="1:13" ht="15.75" hidden="1" customHeight="1">
      <c r="A37" s="41">
        <v>8</v>
      </c>
      <c r="B37" s="93" t="s">
        <v>26</v>
      </c>
      <c r="C37" s="94" t="s">
        <v>32</v>
      </c>
      <c r="D37" s="93"/>
      <c r="E37" s="95"/>
      <c r="F37" s="96">
        <v>6</v>
      </c>
      <c r="G37" s="96">
        <v>1527.2</v>
      </c>
      <c r="H37" s="97">
        <f t="shared" ref="H37:H42" si="5">SUM(F37*G37/1000)</f>
        <v>9.1632000000000016</v>
      </c>
      <c r="I37" s="13">
        <f t="shared" ref="I37:I42" si="6">F37/6*G37</f>
        <v>1527.2</v>
      </c>
      <c r="J37" s="24"/>
      <c r="K37" s="8"/>
      <c r="L37" s="8"/>
      <c r="M37" s="8"/>
    </row>
    <row r="38" spans="1:13" ht="15.75" hidden="1" customHeight="1">
      <c r="A38" s="35">
        <v>9</v>
      </c>
      <c r="B38" s="93" t="s">
        <v>69</v>
      </c>
      <c r="C38" s="94" t="s">
        <v>29</v>
      </c>
      <c r="D38" s="93" t="s">
        <v>143</v>
      </c>
      <c r="E38" s="96">
        <v>1080.0999999999999</v>
      </c>
      <c r="F38" s="96">
        <f>SUM(E38*30/1000)</f>
        <v>32.402999999999999</v>
      </c>
      <c r="G38" s="96">
        <v>2102.6999999999998</v>
      </c>
      <c r="H38" s="97">
        <f t="shared" si="5"/>
        <v>68.13378809999999</v>
      </c>
      <c r="I38" s="13">
        <f t="shared" si="6"/>
        <v>11355.63135</v>
      </c>
      <c r="J38" s="24"/>
      <c r="K38" s="8"/>
      <c r="L38" s="8"/>
      <c r="M38" s="8"/>
    </row>
    <row r="39" spans="1:13" ht="15.75" hidden="1" customHeight="1">
      <c r="A39" s="35">
        <v>10</v>
      </c>
      <c r="B39" s="93" t="s">
        <v>70</v>
      </c>
      <c r="C39" s="94" t="s">
        <v>29</v>
      </c>
      <c r="D39" s="93" t="s">
        <v>119</v>
      </c>
      <c r="E39" s="96">
        <v>45</v>
      </c>
      <c r="F39" s="96">
        <f>SUM(E39*155/1000)</f>
        <v>6.9749999999999996</v>
      </c>
      <c r="G39" s="96">
        <v>350.75</v>
      </c>
      <c r="H39" s="97">
        <f t="shared" si="5"/>
        <v>2.4464812499999997</v>
      </c>
      <c r="I39" s="13">
        <f t="shared" si="6"/>
        <v>407.74687499999993</v>
      </c>
      <c r="J39" s="24"/>
      <c r="K39" s="8"/>
      <c r="L39" s="8"/>
      <c r="M39" s="8"/>
    </row>
    <row r="40" spans="1:13" ht="47.25" hidden="1" customHeight="1">
      <c r="A40" s="35">
        <v>11</v>
      </c>
      <c r="B40" s="93" t="s">
        <v>87</v>
      </c>
      <c r="C40" s="94" t="s">
        <v>115</v>
      </c>
      <c r="D40" s="93" t="s">
        <v>71</v>
      </c>
      <c r="E40" s="96">
        <v>45</v>
      </c>
      <c r="F40" s="96">
        <f>SUM(E40*70/1000)</f>
        <v>3.15</v>
      </c>
      <c r="G40" s="96">
        <v>5803.28</v>
      </c>
      <c r="H40" s="97">
        <f t="shared" si="5"/>
        <v>18.280331999999998</v>
      </c>
      <c r="I40" s="13">
        <f t="shared" si="6"/>
        <v>3046.7220000000002</v>
      </c>
      <c r="J40" s="24"/>
      <c r="K40" s="8"/>
      <c r="L40" s="8"/>
      <c r="M40" s="8"/>
    </row>
    <row r="41" spans="1:13" ht="15.75" hidden="1" customHeight="1">
      <c r="A41" s="35">
        <v>12</v>
      </c>
      <c r="B41" s="93" t="s">
        <v>120</v>
      </c>
      <c r="C41" s="94" t="s">
        <v>115</v>
      </c>
      <c r="D41" s="93" t="s">
        <v>72</v>
      </c>
      <c r="E41" s="96">
        <v>45</v>
      </c>
      <c r="F41" s="96">
        <f>SUM(E41*45/1000)</f>
        <v>2.0249999999999999</v>
      </c>
      <c r="G41" s="96">
        <v>428.7</v>
      </c>
      <c r="H41" s="97">
        <f t="shared" si="5"/>
        <v>0.86811749999999999</v>
      </c>
      <c r="I41" s="13">
        <f t="shared" si="6"/>
        <v>144.68624999999997</v>
      </c>
      <c r="J41" s="24"/>
      <c r="K41" s="8"/>
      <c r="L41" s="8"/>
      <c r="M41" s="8"/>
    </row>
    <row r="42" spans="1:13" ht="15.75" hidden="1" customHeight="1">
      <c r="A42" s="35">
        <v>13</v>
      </c>
      <c r="B42" s="93" t="s">
        <v>73</v>
      </c>
      <c r="C42" s="94" t="s">
        <v>33</v>
      </c>
      <c r="D42" s="93"/>
      <c r="E42" s="95"/>
      <c r="F42" s="96">
        <v>0.6</v>
      </c>
      <c r="G42" s="96">
        <v>798</v>
      </c>
      <c r="H42" s="97">
        <f t="shared" si="5"/>
        <v>0.47879999999999995</v>
      </c>
      <c r="I42" s="13">
        <f t="shared" si="6"/>
        <v>79.8</v>
      </c>
      <c r="J42" s="24"/>
      <c r="K42" s="8"/>
      <c r="L42" s="8"/>
      <c r="M42" s="8"/>
    </row>
    <row r="43" spans="1:13" ht="15.75" hidden="1" customHeight="1">
      <c r="A43" s="150" t="s">
        <v>151</v>
      </c>
      <c r="B43" s="151"/>
      <c r="C43" s="151"/>
      <c r="D43" s="151"/>
      <c r="E43" s="151"/>
      <c r="F43" s="151"/>
      <c r="G43" s="151"/>
      <c r="H43" s="151"/>
      <c r="I43" s="152"/>
      <c r="J43" s="24"/>
      <c r="K43" s="8"/>
      <c r="L43" s="8"/>
      <c r="M43" s="8"/>
    </row>
    <row r="44" spans="1:13" ht="15.75" hidden="1" customHeight="1">
      <c r="A44" s="41">
        <v>18</v>
      </c>
      <c r="B44" s="93" t="s">
        <v>121</v>
      </c>
      <c r="C44" s="94" t="s">
        <v>115</v>
      </c>
      <c r="D44" s="93" t="s">
        <v>43</v>
      </c>
      <c r="E44" s="95">
        <v>965.8</v>
      </c>
      <c r="F44" s="96">
        <f>SUM(E44*2/1000)</f>
        <v>1.9316</v>
      </c>
      <c r="G44" s="13">
        <v>849.49</v>
      </c>
      <c r="H44" s="97">
        <f t="shared" ref="H44:H53" si="7">SUM(F44*G44/1000)</f>
        <v>1.640874884</v>
      </c>
      <c r="I44" s="13">
        <f t="shared" ref="I44:I47" si="8">F44/2*G44</f>
        <v>820.43744200000003</v>
      </c>
      <c r="J44" s="24"/>
      <c r="K44" s="8"/>
    </row>
    <row r="45" spans="1:13" ht="15.75" hidden="1" customHeight="1">
      <c r="A45" s="41">
        <v>19</v>
      </c>
      <c r="B45" s="93" t="s">
        <v>36</v>
      </c>
      <c r="C45" s="94" t="s">
        <v>115</v>
      </c>
      <c r="D45" s="93" t="s">
        <v>43</v>
      </c>
      <c r="E45" s="95">
        <v>36</v>
      </c>
      <c r="F45" s="96">
        <f>SUM(E45*2/1000)</f>
        <v>7.1999999999999995E-2</v>
      </c>
      <c r="G45" s="13">
        <v>579.48</v>
      </c>
      <c r="H45" s="97">
        <f t="shared" si="7"/>
        <v>4.1722559999999999E-2</v>
      </c>
      <c r="I45" s="13">
        <f t="shared" si="8"/>
        <v>20.861280000000001</v>
      </c>
      <c r="J45" s="25"/>
    </row>
    <row r="46" spans="1:13" ht="15.75" hidden="1" customHeight="1">
      <c r="A46" s="41">
        <v>20</v>
      </c>
      <c r="B46" s="93" t="s">
        <v>37</v>
      </c>
      <c r="C46" s="94" t="s">
        <v>115</v>
      </c>
      <c r="D46" s="93" t="s">
        <v>43</v>
      </c>
      <c r="E46" s="95">
        <v>1197.7</v>
      </c>
      <c r="F46" s="96">
        <f>SUM(E46*2/1000)</f>
        <v>2.3954</v>
      </c>
      <c r="G46" s="13">
        <v>579.48</v>
      </c>
      <c r="H46" s="97">
        <f t="shared" si="7"/>
        <v>1.3880863919999999</v>
      </c>
      <c r="I46" s="13">
        <f t="shared" si="8"/>
        <v>694.04319599999997</v>
      </c>
      <c r="J46" s="25"/>
    </row>
    <row r="47" spans="1:13" ht="15.75" hidden="1" customHeight="1">
      <c r="A47" s="41">
        <v>21</v>
      </c>
      <c r="B47" s="93" t="s">
        <v>38</v>
      </c>
      <c r="C47" s="94" t="s">
        <v>115</v>
      </c>
      <c r="D47" s="93" t="s">
        <v>43</v>
      </c>
      <c r="E47" s="95">
        <v>2275.92</v>
      </c>
      <c r="F47" s="96">
        <f>SUM(E47*2/1000)</f>
        <v>4.5518400000000003</v>
      </c>
      <c r="G47" s="13">
        <v>606.77</v>
      </c>
      <c r="H47" s="97">
        <f t="shared" si="7"/>
        <v>2.7619199567999999</v>
      </c>
      <c r="I47" s="13">
        <f t="shared" si="8"/>
        <v>1380.9599784</v>
      </c>
      <c r="J47" s="25"/>
    </row>
    <row r="48" spans="1:13" ht="15.75" hidden="1" customHeight="1">
      <c r="A48" s="41">
        <v>22</v>
      </c>
      <c r="B48" s="93" t="s">
        <v>34</v>
      </c>
      <c r="C48" s="94" t="s">
        <v>35</v>
      </c>
      <c r="D48" s="93" t="s">
        <v>43</v>
      </c>
      <c r="E48" s="95">
        <v>81.709999999999994</v>
      </c>
      <c r="F48" s="96">
        <f>SUM(E48*2/100)</f>
        <v>1.6341999999999999</v>
      </c>
      <c r="G48" s="13">
        <v>68.56</v>
      </c>
      <c r="H48" s="97">
        <f t="shared" si="7"/>
        <v>0.11204075199999999</v>
      </c>
      <c r="I48" s="13">
        <f>F48/2*G48</f>
        <v>56.020375999999999</v>
      </c>
      <c r="J48" s="25"/>
    </row>
    <row r="49" spans="1:14" ht="15.75" hidden="1" customHeight="1">
      <c r="A49" s="41">
        <v>23</v>
      </c>
      <c r="B49" s="93" t="s">
        <v>58</v>
      </c>
      <c r="C49" s="94" t="s">
        <v>115</v>
      </c>
      <c r="D49" s="93" t="s">
        <v>155</v>
      </c>
      <c r="E49" s="95">
        <v>1711.8</v>
      </c>
      <c r="F49" s="96">
        <f>SUM(E49*5/1000)</f>
        <v>8.5589999999999993</v>
      </c>
      <c r="G49" s="13">
        <v>1213.55</v>
      </c>
      <c r="H49" s="97">
        <f t="shared" si="7"/>
        <v>10.386774449999999</v>
      </c>
      <c r="I49" s="13">
        <f>F49/5*G49</f>
        <v>2077.3548899999996</v>
      </c>
      <c r="J49" s="25"/>
    </row>
    <row r="50" spans="1:14" ht="31.5" hidden="1" customHeight="1">
      <c r="A50" s="41">
        <v>14</v>
      </c>
      <c r="B50" s="93" t="s">
        <v>122</v>
      </c>
      <c r="C50" s="94" t="s">
        <v>115</v>
      </c>
      <c r="D50" s="93" t="s">
        <v>43</v>
      </c>
      <c r="E50" s="95">
        <v>1711.8</v>
      </c>
      <c r="F50" s="96">
        <f>SUM(E50*2/1000)</f>
        <v>3.4236</v>
      </c>
      <c r="G50" s="13">
        <v>1213.55</v>
      </c>
      <c r="H50" s="97">
        <f t="shared" si="7"/>
        <v>4.1547097800000001</v>
      </c>
      <c r="I50" s="13">
        <f>F50/2*G50</f>
        <v>2077.3548900000001</v>
      </c>
      <c r="J50" s="25"/>
    </row>
    <row r="51" spans="1:14" ht="31.5" hidden="1" customHeight="1">
      <c r="A51" s="41">
        <v>15</v>
      </c>
      <c r="B51" s="93" t="s">
        <v>123</v>
      </c>
      <c r="C51" s="94" t="s">
        <v>39</v>
      </c>
      <c r="D51" s="93" t="s">
        <v>43</v>
      </c>
      <c r="E51" s="95">
        <v>15</v>
      </c>
      <c r="F51" s="96">
        <f>SUM(E51*2/100)</f>
        <v>0.3</v>
      </c>
      <c r="G51" s="13">
        <v>2730.49</v>
      </c>
      <c r="H51" s="97">
        <f t="shared" si="7"/>
        <v>0.81914699999999996</v>
      </c>
      <c r="I51" s="13">
        <f t="shared" ref="I51:I52" si="9">F51/2*G51</f>
        <v>409.57349999999997</v>
      </c>
      <c r="J51" s="25"/>
    </row>
    <row r="52" spans="1:14" ht="15.75" hidden="1" customHeight="1">
      <c r="A52" s="41">
        <v>16</v>
      </c>
      <c r="B52" s="93" t="s">
        <v>40</v>
      </c>
      <c r="C52" s="94" t="s">
        <v>41</v>
      </c>
      <c r="D52" s="93" t="s">
        <v>43</v>
      </c>
      <c r="E52" s="95">
        <v>1</v>
      </c>
      <c r="F52" s="96">
        <v>0.02</v>
      </c>
      <c r="G52" s="13">
        <v>5322.15</v>
      </c>
      <c r="H52" s="97">
        <f t="shared" si="7"/>
        <v>0.106443</v>
      </c>
      <c r="I52" s="13">
        <f t="shared" si="9"/>
        <v>53.221499999999999</v>
      </c>
      <c r="J52" s="25"/>
      <c r="L52" s="21"/>
      <c r="M52" s="22"/>
      <c r="N52" s="23"/>
    </row>
    <row r="53" spans="1:14" ht="15.75" hidden="1" customHeight="1">
      <c r="A53" s="41">
        <v>11</v>
      </c>
      <c r="B53" s="93" t="s">
        <v>42</v>
      </c>
      <c r="C53" s="94" t="s">
        <v>95</v>
      </c>
      <c r="D53" s="93" t="s">
        <v>74</v>
      </c>
      <c r="E53" s="95">
        <v>90</v>
      </c>
      <c r="F53" s="96">
        <f>SUM(E53)*3</f>
        <v>270</v>
      </c>
      <c r="G53" s="13">
        <v>65.67</v>
      </c>
      <c r="H53" s="97">
        <f t="shared" si="7"/>
        <v>17.730900000000002</v>
      </c>
      <c r="I53" s="13">
        <f>E53*G53</f>
        <v>5910.3</v>
      </c>
      <c r="J53" s="25"/>
      <c r="L53" s="21"/>
      <c r="M53" s="22"/>
      <c r="N53" s="23"/>
    </row>
    <row r="54" spans="1:14" ht="15.75" customHeight="1">
      <c r="A54" s="150" t="s">
        <v>171</v>
      </c>
      <c r="B54" s="151"/>
      <c r="C54" s="151"/>
      <c r="D54" s="151"/>
      <c r="E54" s="151"/>
      <c r="F54" s="151"/>
      <c r="G54" s="151"/>
      <c r="H54" s="151"/>
      <c r="I54" s="152"/>
      <c r="J54" s="25"/>
      <c r="L54" s="21"/>
      <c r="M54" s="22"/>
      <c r="N54" s="23"/>
    </row>
    <row r="55" spans="1:14" ht="15.75" hidden="1" customHeight="1">
      <c r="A55" s="92"/>
      <c r="B55" s="48" t="s">
        <v>44</v>
      </c>
      <c r="C55" s="17"/>
      <c r="D55" s="16"/>
      <c r="E55" s="16"/>
      <c r="F55" s="16"/>
      <c r="G55" s="31"/>
      <c r="H55" s="31"/>
      <c r="I55" s="19"/>
      <c r="J55" s="25"/>
      <c r="L55" s="21"/>
      <c r="M55" s="22"/>
      <c r="N55" s="23"/>
    </row>
    <row r="56" spans="1:14" ht="31.5" hidden="1" customHeight="1">
      <c r="A56" s="41">
        <v>14</v>
      </c>
      <c r="B56" s="93" t="s">
        <v>124</v>
      </c>
      <c r="C56" s="94" t="s">
        <v>102</v>
      </c>
      <c r="D56" s="93" t="s">
        <v>125</v>
      </c>
      <c r="E56" s="95">
        <v>96.58</v>
      </c>
      <c r="F56" s="96">
        <f>SUM(E56*6/100)</f>
        <v>5.7948000000000004</v>
      </c>
      <c r="G56" s="13">
        <v>1547.28</v>
      </c>
      <c r="H56" s="97">
        <f>SUM(F56*G56/1000)</f>
        <v>8.9661781440000006</v>
      </c>
      <c r="I56" s="13">
        <f>F56/6*G56</f>
        <v>1494.3630240000002</v>
      </c>
      <c r="J56" s="25"/>
      <c r="L56" s="21"/>
      <c r="M56" s="22"/>
      <c r="N56" s="23"/>
    </row>
    <row r="57" spans="1:14" ht="15.75" customHeight="1">
      <c r="A57" s="41"/>
      <c r="B57" s="69" t="s">
        <v>45</v>
      </c>
      <c r="C57" s="40"/>
      <c r="D57" s="34"/>
      <c r="E57" s="19"/>
      <c r="F57" s="87"/>
      <c r="G57" s="37"/>
      <c r="H57" s="70"/>
      <c r="I57" s="20"/>
      <c r="J57" s="25"/>
      <c r="L57" s="21"/>
      <c r="M57" s="22"/>
      <c r="N57" s="23"/>
    </row>
    <row r="58" spans="1:14" ht="15.75" hidden="1" customHeight="1">
      <c r="A58" s="41"/>
      <c r="B58" s="93" t="s">
        <v>46</v>
      </c>
      <c r="C58" s="94" t="s">
        <v>102</v>
      </c>
      <c r="D58" s="93" t="s">
        <v>55</v>
      </c>
      <c r="E58" s="95">
        <v>855.9</v>
      </c>
      <c r="F58" s="97">
        <v>8.6</v>
      </c>
      <c r="G58" s="13">
        <v>747.3</v>
      </c>
      <c r="H58" s="101">
        <v>6.4</v>
      </c>
      <c r="I58" s="13">
        <v>0</v>
      </c>
      <c r="J58" s="25"/>
      <c r="L58" s="21"/>
      <c r="M58" s="22"/>
      <c r="N58" s="23"/>
    </row>
    <row r="59" spans="1:14" ht="15.75" customHeight="1">
      <c r="A59" s="41">
        <v>11</v>
      </c>
      <c r="B59" s="93" t="s">
        <v>96</v>
      </c>
      <c r="C59" s="94" t="s">
        <v>25</v>
      </c>
      <c r="D59" s="93" t="s">
        <v>144</v>
      </c>
      <c r="E59" s="95">
        <v>256</v>
      </c>
      <c r="F59" s="97">
        <f>E59*12</f>
        <v>3072</v>
      </c>
      <c r="G59" s="13">
        <v>2.5958999999999999</v>
      </c>
      <c r="H59" s="101">
        <f>F59*G59/1000</f>
        <v>7.9746047999999989</v>
      </c>
      <c r="I59" s="13">
        <f>F59/12*G59</f>
        <v>664.55039999999997</v>
      </c>
      <c r="J59" s="25"/>
      <c r="L59" s="21"/>
      <c r="M59" s="22"/>
      <c r="N59" s="23"/>
    </row>
    <row r="60" spans="1:14" ht="15.75" hidden="1" customHeight="1">
      <c r="A60" s="41"/>
      <c r="B60" s="69" t="s">
        <v>145</v>
      </c>
      <c r="C60" s="40"/>
      <c r="D60" s="34"/>
      <c r="E60" s="19"/>
      <c r="F60" s="87"/>
      <c r="G60" s="71"/>
      <c r="H60" s="70"/>
      <c r="I60" s="20"/>
      <c r="J60" s="25"/>
      <c r="L60" s="21"/>
      <c r="M60" s="22"/>
      <c r="N60" s="23"/>
    </row>
    <row r="61" spans="1:14" ht="15.75" hidden="1" customHeight="1">
      <c r="A61" s="41"/>
      <c r="B61" s="93" t="s">
        <v>146</v>
      </c>
      <c r="C61" s="94" t="s">
        <v>95</v>
      </c>
      <c r="D61" s="93" t="s">
        <v>68</v>
      </c>
      <c r="E61" s="95">
        <v>2</v>
      </c>
      <c r="F61" s="96">
        <f>SUM(E61)</f>
        <v>2</v>
      </c>
      <c r="G61" s="102">
        <v>237.75</v>
      </c>
      <c r="H61" s="97">
        <f t="shared" ref="H61" si="10">SUM(F61*G61/1000)</f>
        <v>0.47549999999999998</v>
      </c>
      <c r="I61" s="13">
        <v>0</v>
      </c>
      <c r="J61" s="25"/>
      <c r="L61" s="21"/>
      <c r="M61" s="22"/>
      <c r="N61" s="23"/>
    </row>
    <row r="62" spans="1:14" ht="15.75" hidden="1" customHeight="1">
      <c r="A62" s="41"/>
      <c r="B62" s="83" t="s">
        <v>47</v>
      </c>
      <c r="C62" s="17"/>
      <c r="D62" s="16"/>
      <c r="E62" s="16"/>
      <c r="F62" s="88"/>
      <c r="G62" s="65"/>
      <c r="H62" s="70"/>
      <c r="I62" s="19"/>
      <c r="J62" s="25"/>
      <c r="L62" s="21"/>
      <c r="M62" s="22"/>
      <c r="N62" s="23"/>
    </row>
    <row r="63" spans="1:14" ht="15.75" hidden="1" customHeight="1">
      <c r="A63" s="41">
        <v>23</v>
      </c>
      <c r="B63" s="15" t="s">
        <v>48</v>
      </c>
      <c r="C63" s="17" t="s">
        <v>95</v>
      </c>
      <c r="D63" s="93" t="s">
        <v>68</v>
      </c>
      <c r="E63" s="19">
        <v>10</v>
      </c>
      <c r="F63" s="96">
        <v>10</v>
      </c>
      <c r="G63" s="13">
        <v>222.4</v>
      </c>
      <c r="H63" s="103">
        <f t="shared" ref="H63:H70" si="11">SUM(F63*G63/1000)</f>
        <v>2.2240000000000002</v>
      </c>
      <c r="I63" s="13">
        <v>0</v>
      </c>
      <c r="J63" s="25"/>
      <c r="L63" s="21"/>
      <c r="M63" s="22"/>
      <c r="N63" s="23"/>
    </row>
    <row r="64" spans="1:14" ht="15.75" hidden="1" customHeight="1">
      <c r="A64" s="31">
        <v>29</v>
      </c>
      <c r="B64" s="15" t="s">
        <v>49</v>
      </c>
      <c r="C64" s="17" t="s">
        <v>95</v>
      </c>
      <c r="D64" s="93" t="s">
        <v>68</v>
      </c>
      <c r="E64" s="19">
        <v>5</v>
      </c>
      <c r="F64" s="96">
        <v>5</v>
      </c>
      <c r="G64" s="13">
        <v>75.25</v>
      </c>
      <c r="H64" s="103">
        <f t="shared" si="11"/>
        <v>0.37624999999999997</v>
      </c>
      <c r="I64" s="13">
        <v>0</v>
      </c>
      <c r="J64" s="25"/>
      <c r="L64" s="21"/>
      <c r="M64" s="22"/>
      <c r="N64" s="23"/>
    </row>
    <row r="65" spans="1:14" ht="15.75" hidden="1" customHeight="1">
      <c r="A65" s="31">
        <v>25</v>
      </c>
      <c r="B65" s="15" t="s">
        <v>50</v>
      </c>
      <c r="C65" s="17" t="s">
        <v>126</v>
      </c>
      <c r="D65" s="15" t="s">
        <v>55</v>
      </c>
      <c r="E65" s="95">
        <v>13018</v>
      </c>
      <c r="F65" s="13">
        <f>SUM(E65/100)</f>
        <v>130.18</v>
      </c>
      <c r="G65" s="13">
        <v>212.15</v>
      </c>
      <c r="H65" s="103">
        <f t="shared" si="11"/>
        <v>27.617687</v>
      </c>
      <c r="I65" s="13">
        <f>F65*G65</f>
        <v>27617.687000000002</v>
      </c>
      <c r="J65" s="25"/>
      <c r="L65" s="21"/>
      <c r="M65" s="22"/>
      <c r="N65" s="23"/>
    </row>
    <row r="66" spans="1:14" ht="15.75" hidden="1" customHeight="1">
      <c r="A66" s="31">
        <v>26</v>
      </c>
      <c r="B66" s="15" t="s">
        <v>51</v>
      </c>
      <c r="C66" s="17" t="s">
        <v>127</v>
      </c>
      <c r="D66" s="15"/>
      <c r="E66" s="95">
        <v>13018</v>
      </c>
      <c r="F66" s="13">
        <f>SUM(E66/1000)</f>
        <v>13.018000000000001</v>
      </c>
      <c r="G66" s="13">
        <v>165.21</v>
      </c>
      <c r="H66" s="103">
        <f t="shared" si="11"/>
        <v>2.1507037800000002</v>
      </c>
      <c r="I66" s="13">
        <f t="shared" ref="I66:I70" si="12">F66*G66</f>
        <v>2150.7037800000003</v>
      </c>
      <c r="J66" s="25"/>
      <c r="L66" s="21"/>
      <c r="M66" s="22"/>
      <c r="N66" s="23"/>
    </row>
    <row r="67" spans="1:14" ht="15.75" hidden="1" customHeight="1">
      <c r="A67" s="31">
        <v>27</v>
      </c>
      <c r="B67" s="15" t="s">
        <v>52</v>
      </c>
      <c r="C67" s="17" t="s">
        <v>79</v>
      </c>
      <c r="D67" s="15" t="s">
        <v>55</v>
      </c>
      <c r="E67" s="95">
        <v>1279</v>
      </c>
      <c r="F67" s="13">
        <f>SUM(E67/100)</f>
        <v>12.79</v>
      </c>
      <c r="G67" s="13">
        <v>2074.63</v>
      </c>
      <c r="H67" s="103">
        <f t="shared" si="11"/>
        <v>26.534517700000002</v>
      </c>
      <c r="I67" s="13">
        <f t="shared" si="12"/>
        <v>26534.5177</v>
      </c>
      <c r="J67" s="25"/>
      <c r="L67" s="21"/>
      <c r="M67" s="22"/>
      <c r="N67" s="23"/>
    </row>
    <row r="68" spans="1:14" ht="15.75" hidden="1" customHeight="1">
      <c r="A68" s="31">
        <v>28</v>
      </c>
      <c r="B68" s="104" t="s">
        <v>128</v>
      </c>
      <c r="C68" s="17" t="s">
        <v>33</v>
      </c>
      <c r="D68" s="15"/>
      <c r="E68" s="95">
        <v>12</v>
      </c>
      <c r="F68" s="13">
        <f>SUM(E68)</f>
        <v>12</v>
      </c>
      <c r="G68" s="13">
        <v>45.32</v>
      </c>
      <c r="H68" s="103">
        <f t="shared" si="11"/>
        <v>0.54383999999999999</v>
      </c>
      <c r="I68" s="13">
        <f t="shared" si="12"/>
        <v>543.84</v>
      </c>
      <c r="J68" s="25"/>
      <c r="L68" s="21"/>
      <c r="M68" s="22"/>
      <c r="N68" s="23"/>
    </row>
    <row r="69" spans="1:14" ht="15.75" hidden="1" customHeight="1">
      <c r="A69" s="31">
        <v>29</v>
      </c>
      <c r="B69" s="104" t="s">
        <v>129</v>
      </c>
      <c r="C69" s="17" t="s">
        <v>33</v>
      </c>
      <c r="D69" s="15"/>
      <c r="E69" s="95">
        <v>12</v>
      </c>
      <c r="F69" s="13">
        <f>SUM(E69)</f>
        <v>12</v>
      </c>
      <c r="G69" s="13">
        <v>42.28</v>
      </c>
      <c r="H69" s="103">
        <f t="shared" si="11"/>
        <v>0.50736000000000003</v>
      </c>
      <c r="I69" s="13">
        <f t="shared" si="12"/>
        <v>507.36</v>
      </c>
      <c r="J69" s="25"/>
      <c r="L69" s="21"/>
      <c r="M69" s="22"/>
      <c r="N69" s="23"/>
    </row>
    <row r="70" spans="1:14" ht="15.75" hidden="1" customHeight="1">
      <c r="A70" s="31">
        <v>13</v>
      </c>
      <c r="B70" s="15" t="s">
        <v>59</v>
      </c>
      <c r="C70" s="17" t="s">
        <v>60</v>
      </c>
      <c r="D70" s="15" t="s">
        <v>55</v>
      </c>
      <c r="E70" s="19">
        <v>1</v>
      </c>
      <c r="F70" s="96">
        <f>SUM(E70)</f>
        <v>1</v>
      </c>
      <c r="G70" s="13">
        <v>49.88</v>
      </c>
      <c r="H70" s="103">
        <f t="shared" si="11"/>
        <v>4.9880000000000001E-2</v>
      </c>
      <c r="I70" s="13">
        <f t="shared" si="12"/>
        <v>49.88</v>
      </c>
      <c r="J70" s="25"/>
      <c r="L70" s="21"/>
      <c r="M70" s="22"/>
      <c r="N70" s="23"/>
    </row>
    <row r="71" spans="1:14" ht="15.75" hidden="1" customHeight="1">
      <c r="A71" s="92"/>
      <c r="B71" s="83" t="s">
        <v>130</v>
      </c>
      <c r="C71" s="83"/>
      <c r="D71" s="83"/>
      <c r="E71" s="83"/>
      <c r="F71" s="83"/>
      <c r="G71" s="83"/>
      <c r="H71" s="83"/>
      <c r="I71" s="19"/>
      <c r="J71" s="25"/>
      <c r="L71" s="21"/>
      <c r="M71" s="22"/>
      <c r="N71" s="23"/>
    </row>
    <row r="72" spans="1:14" ht="15.75" hidden="1" customHeight="1">
      <c r="A72" s="31">
        <v>16</v>
      </c>
      <c r="B72" s="93" t="s">
        <v>131</v>
      </c>
      <c r="C72" s="17"/>
      <c r="D72" s="15"/>
      <c r="E72" s="87"/>
      <c r="F72" s="13">
        <v>1</v>
      </c>
      <c r="G72" s="13">
        <v>10041.700000000001</v>
      </c>
      <c r="H72" s="103">
        <f>G72*F72/1000</f>
        <v>10.041700000000001</v>
      </c>
      <c r="I72" s="13">
        <f>G72</f>
        <v>10041.700000000001</v>
      </c>
      <c r="J72" s="25"/>
      <c r="L72" s="21"/>
      <c r="M72" s="22"/>
      <c r="N72" s="23"/>
    </row>
    <row r="73" spans="1:14" ht="15.75" hidden="1" customHeight="1">
      <c r="A73" s="31"/>
      <c r="B73" s="49" t="s">
        <v>75</v>
      </c>
      <c r="C73" s="49"/>
      <c r="D73" s="49"/>
      <c r="E73" s="19"/>
      <c r="F73" s="19"/>
      <c r="G73" s="31"/>
      <c r="H73" s="31"/>
      <c r="I73" s="19"/>
      <c r="J73" s="25"/>
      <c r="L73" s="21"/>
      <c r="M73" s="22"/>
      <c r="N73" s="23"/>
    </row>
    <row r="74" spans="1:14" ht="15.75" hidden="1" customHeight="1">
      <c r="A74" s="31">
        <v>12</v>
      </c>
      <c r="B74" s="15" t="s">
        <v>76</v>
      </c>
      <c r="C74" s="17" t="s">
        <v>77</v>
      </c>
      <c r="D74" s="15" t="s">
        <v>68</v>
      </c>
      <c r="E74" s="19">
        <v>5</v>
      </c>
      <c r="F74" s="13">
        <v>0.5</v>
      </c>
      <c r="G74" s="13">
        <v>501.62</v>
      </c>
      <c r="H74" s="103">
        <f t="shared" ref="H74:H76" si="13">SUM(F74*G74/1000)</f>
        <v>0.25080999999999998</v>
      </c>
      <c r="I74" s="13">
        <f>G74*0.1</f>
        <v>50.162000000000006</v>
      </c>
      <c r="J74" s="25"/>
      <c r="L74" s="21"/>
      <c r="M74" s="22"/>
      <c r="N74" s="23"/>
    </row>
    <row r="75" spans="1:14" ht="15.75" hidden="1" customHeight="1">
      <c r="A75" s="31"/>
      <c r="B75" s="15" t="s">
        <v>147</v>
      </c>
      <c r="C75" s="17" t="s">
        <v>95</v>
      </c>
      <c r="D75" s="15"/>
      <c r="E75" s="19">
        <v>1</v>
      </c>
      <c r="F75" s="86">
        <f>E75</f>
        <v>1</v>
      </c>
      <c r="G75" s="13">
        <v>852.99</v>
      </c>
      <c r="H75" s="103">
        <f t="shared" si="13"/>
        <v>0.85299000000000003</v>
      </c>
      <c r="I75" s="13">
        <v>0</v>
      </c>
      <c r="J75" s="25"/>
      <c r="L75" s="21"/>
      <c r="M75" s="22"/>
      <c r="N75" s="23"/>
    </row>
    <row r="76" spans="1:14" ht="15.75" hidden="1" customHeight="1">
      <c r="A76" s="31"/>
      <c r="B76" s="15" t="s">
        <v>148</v>
      </c>
      <c r="C76" s="17" t="s">
        <v>95</v>
      </c>
      <c r="D76" s="15"/>
      <c r="E76" s="19">
        <v>1</v>
      </c>
      <c r="F76" s="96">
        <f>SUM(E76)</f>
        <v>1</v>
      </c>
      <c r="G76" s="13">
        <v>358.51</v>
      </c>
      <c r="H76" s="103">
        <f t="shared" si="13"/>
        <v>0.35851</v>
      </c>
      <c r="I76" s="13">
        <v>0</v>
      </c>
      <c r="J76" s="25"/>
      <c r="L76" s="21"/>
      <c r="M76" s="22"/>
      <c r="N76" s="23"/>
    </row>
    <row r="77" spans="1:14" ht="15.75" hidden="1" customHeight="1">
      <c r="A77" s="31"/>
      <c r="B77" s="50" t="s">
        <v>78</v>
      </c>
      <c r="C77" s="38"/>
      <c r="D77" s="31"/>
      <c r="E77" s="19"/>
      <c r="F77" s="19"/>
      <c r="G77" s="37" t="s">
        <v>132</v>
      </c>
      <c r="H77" s="37"/>
      <c r="I77" s="19"/>
      <c r="J77" s="25"/>
      <c r="L77" s="21"/>
      <c r="M77" s="22"/>
      <c r="N77" s="23"/>
    </row>
    <row r="78" spans="1:14" ht="15.75" hidden="1" customHeight="1">
      <c r="A78" s="31">
        <v>12</v>
      </c>
      <c r="B78" s="52" t="s">
        <v>133</v>
      </c>
      <c r="C78" s="17" t="s">
        <v>79</v>
      </c>
      <c r="D78" s="15"/>
      <c r="E78" s="19"/>
      <c r="F78" s="13">
        <v>0.3</v>
      </c>
      <c r="G78" s="13">
        <v>2759.44</v>
      </c>
      <c r="H78" s="103">
        <f t="shared" ref="H78" si="14">SUM(F78*G78/1000)</f>
        <v>0.82783200000000001</v>
      </c>
      <c r="I78" s="13">
        <v>0</v>
      </c>
      <c r="J78" s="25"/>
      <c r="L78" s="21"/>
      <c r="M78" s="22"/>
      <c r="N78" s="23"/>
    </row>
    <row r="79" spans="1:14" ht="15.75" customHeight="1">
      <c r="A79" s="154" t="s">
        <v>172</v>
      </c>
      <c r="B79" s="155"/>
      <c r="C79" s="155"/>
      <c r="D79" s="155"/>
      <c r="E79" s="155"/>
      <c r="F79" s="155"/>
      <c r="G79" s="155"/>
      <c r="H79" s="155"/>
      <c r="I79" s="156"/>
      <c r="J79" s="25"/>
      <c r="L79" s="21"/>
      <c r="M79" s="22"/>
      <c r="N79" s="23"/>
    </row>
    <row r="80" spans="1:14" ht="15.75" customHeight="1">
      <c r="A80" s="31">
        <v>12</v>
      </c>
      <c r="B80" s="93" t="s">
        <v>134</v>
      </c>
      <c r="C80" s="17" t="s">
        <v>56</v>
      </c>
      <c r="D80" s="106" t="s">
        <v>57</v>
      </c>
      <c r="E80" s="13">
        <v>2581.1999999999998</v>
      </c>
      <c r="F80" s="13">
        <f>SUM(E80*12)</f>
        <v>30974.399999999998</v>
      </c>
      <c r="G80" s="13">
        <v>2.1</v>
      </c>
      <c r="H80" s="103">
        <f>SUM(F80*G80/1000)</f>
        <v>65.046239999999997</v>
      </c>
      <c r="I80" s="13">
        <f>F80/12*G80</f>
        <v>5420.5199999999995</v>
      </c>
      <c r="J80" s="25"/>
      <c r="L80" s="21"/>
    </row>
    <row r="81" spans="1:22" ht="31.5" customHeight="1">
      <c r="A81" s="31">
        <v>13</v>
      </c>
      <c r="B81" s="15" t="s">
        <v>80</v>
      </c>
      <c r="C81" s="17"/>
      <c r="D81" s="106" t="s">
        <v>57</v>
      </c>
      <c r="E81" s="95">
        <v>2581.1999999999998</v>
      </c>
      <c r="F81" s="13">
        <f>E81*12</f>
        <v>30974.399999999998</v>
      </c>
      <c r="G81" s="13">
        <v>1.63</v>
      </c>
      <c r="H81" s="103">
        <f>F81*G81/1000</f>
        <v>50.488271999999988</v>
      </c>
      <c r="I81" s="13">
        <f>F81/12*G81</f>
        <v>4207.3559999999998</v>
      </c>
    </row>
    <row r="82" spans="1:22" ht="15.75" customHeight="1">
      <c r="A82" s="92"/>
      <c r="B82" s="39" t="s">
        <v>83</v>
      </c>
      <c r="C82" s="41"/>
      <c r="D82" s="16"/>
      <c r="E82" s="16"/>
      <c r="F82" s="16"/>
      <c r="G82" s="19"/>
      <c r="H82" s="19"/>
      <c r="I82" s="33">
        <f>SUM(I16+I17+I18+I20+I21+I27+I28+I31+I32+I34+I59+I80+I81)</f>
        <v>33434.664483055552</v>
      </c>
    </row>
    <row r="83" spans="1:22" ht="15.75" customHeight="1">
      <c r="A83" s="157" t="s">
        <v>62</v>
      </c>
      <c r="B83" s="158"/>
      <c r="C83" s="158"/>
      <c r="D83" s="158"/>
      <c r="E83" s="158"/>
      <c r="F83" s="158"/>
      <c r="G83" s="158"/>
      <c r="H83" s="158"/>
      <c r="I83" s="159"/>
    </row>
    <row r="84" spans="1:22" ht="15.75" customHeight="1">
      <c r="A84" s="31">
        <v>14</v>
      </c>
      <c r="B84" s="67" t="s">
        <v>107</v>
      </c>
      <c r="C84" s="68" t="s">
        <v>95</v>
      </c>
      <c r="D84" s="52"/>
      <c r="E84" s="13"/>
      <c r="F84" s="13">
        <v>368</v>
      </c>
      <c r="G84" s="13">
        <v>53.42</v>
      </c>
      <c r="H84" s="103" t="e">
        <f>#REF!*#REF!/1000</f>
        <v>#REF!</v>
      </c>
      <c r="I84" s="13">
        <f>G84*46</f>
        <v>2457.3200000000002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9"/>
    </row>
    <row r="85" spans="1:22" ht="15.75" customHeight="1">
      <c r="A85" s="31">
        <v>15</v>
      </c>
      <c r="B85" s="67" t="s">
        <v>85</v>
      </c>
      <c r="C85" s="68" t="s">
        <v>95</v>
      </c>
      <c r="D85" s="66"/>
      <c r="E85" s="37"/>
      <c r="F85" s="37">
        <v>4</v>
      </c>
      <c r="G85" s="37">
        <v>189.88</v>
      </c>
      <c r="H85" s="105">
        <f>G85*F85/1000</f>
        <v>0.75951999999999997</v>
      </c>
      <c r="I85" s="13">
        <f>G85</f>
        <v>189.88</v>
      </c>
      <c r="J85" s="27"/>
      <c r="K85" s="27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2" ht="31.5" customHeight="1">
      <c r="A86" s="31">
        <v>16</v>
      </c>
      <c r="B86" s="67" t="s">
        <v>86</v>
      </c>
      <c r="C86" s="68" t="s">
        <v>39</v>
      </c>
      <c r="D86" s="66"/>
      <c r="E86" s="37"/>
      <c r="F86" s="37">
        <v>0.03</v>
      </c>
      <c r="G86" s="37">
        <v>3581.13</v>
      </c>
      <c r="H86" s="105">
        <f>G86*F86/1000</f>
        <v>0.1074339</v>
      </c>
      <c r="I86" s="13">
        <f>G86*0.01</f>
        <v>35.811300000000003</v>
      </c>
      <c r="J86" s="27"/>
      <c r="K86" s="27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2" ht="15.75" customHeight="1">
      <c r="A87" s="31"/>
      <c r="B87" s="46" t="s">
        <v>53</v>
      </c>
      <c r="C87" s="42"/>
      <c r="D87" s="54"/>
      <c r="E87" s="42">
        <v>1</v>
      </c>
      <c r="F87" s="42"/>
      <c r="G87" s="42"/>
      <c r="H87" s="42"/>
      <c r="I87" s="33">
        <f>SUM(I84:I86)</f>
        <v>2683.0113000000001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1:22" ht="15.75" customHeight="1">
      <c r="A88" s="31"/>
      <c r="B88" s="52" t="s">
        <v>81</v>
      </c>
      <c r="C88" s="16"/>
      <c r="D88" s="16"/>
      <c r="E88" s="43"/>
      <c r="F88" s="43"/>
      <c r="G88" s="44"/>
      <c r="H88" s="44"/>
      <c r="I88" s="18">
        <v>0</v>
      </c>
    </row>
    <row r="89" spans="1:22" ht="15.75" customHeight="1">
      <c r="A89" s="55"/>
      <c r="B89" s="47" t="s">
        <v>157</v>
      </c>
      <c r="C89" s="36"/>
      <c r="D89" s="36"/>
      <c r="E89" s="36"/>
      <c r="F89" s="36"/>
      <c r="G89" s="36"/>
      <c r="H89" s="36"/>
      <c r="I89" s="45">
        <f>I82+I87</f>
        <v>36117.675783055551</v>
      </c>
    </row>
    <row r="90" spans="1:22" ht="15.75" customHeight="1">
      <c r="A90" s="153" t="s">
        <v>192</v>
      </c>
      <c r="B90" s="153"/>
      <c r="C90" s="153"/>
      <c r="D90" s="153"/>
      <c r="E90" s="153"/>
      <c r="F90" s="153"/>
      <c r="G90" s="153"/>
      <c r="H90" s="153"/>
      <c r="I90" s="153"/>
    </row>
    <row r="91" spans="1:22" ht="15.75" customHeight="1">
      <c r="A91" s="79"/>
      <c r="B91" s="134" t="s">
        <v>193</v>
      </c>
      <c r="C91" s="134"/>
      <c r="D91" s="134"/>
      <c r="E91" s="134"/>
      <c r="F91" s="134"/>
      <c r="G91" s="134"/>
      <c r="H91" s="91"/>
      <c r="I91" s="3"/>
    </row>
    <row r="92" spans="1:22" ht="15.75" customHeight="1">
      <c r="A92" s="82"/>
      <c r="B92" s="135" t="s">
        <v>6</v>
      </c>
      <c r="C92" s="135"/>
      <c r="D92" s="135"/>
      <c r="E92" s="135"/>
      <c r="F92" s="135"/>
      <c r="G92" s="135"/>
      <c r="H92" s="26"/>
      <c r="I92" s="5"/>
    </row>
    <row r="93" spans="1:22" ht="15.75" customHeight="1">
      <c r="A93" s="10"/>
      <c r="B93" s="10"/>
      <c r="C93" s="10"/>
      <c r="D93" s="10"/>
      <c r="E93" s="10"/>
      <c r="F93" s="10"/>
      <c r="G93" s="10"/>
      <c r="H93" s="10"/>
      <c r="I93" s="10"/>
    </row>
    <row r="94" spans="1:22" ht="15.75" customHeight="1">
      <c r="A94" s="136" t="s">
        <v>7</v>
      </c>
      <c r="B94" s="136"/>
      <c r="C94" s="136"/>
      <c r="D94" s="136"/>
      <c r="E94" s="136"/>
      <c r="F94" s="136"/>
      <c r="G94" s="136"/>
      <c r="H94" s="136"/>
      <c r="I94" s="136"/>
    </row>
    <row r="95" spans="1:22" ht="15.75" customHeight="1">
      <c r="A95" s="136" t="s">
        <v>8</v>
      </c>
      <c r="B95" s="136"/>
      <c r="C95" s="136"/>
      <c r="D95" s="136"/>
      <c r="E95" s="136"/>
      <c r="F95" s="136"/>
      <c r="G95" s="136"/>
      <c r="H95" s="136"/>
      <c r="I95" s="136"/>
    </row>
    <row r="96" spans="1:22" ht="15.75" customHeight="1">
      <c r="A96" s="139" t="s">
        <v>63</v>
      </c>
      <c r="B96" s="139"/>
      <c r="C96" s="139"/>
      <c r="D96" s="139"/>
      <c r="E96" s="139"/>
      <c r="F96" s="139"/>
      <c r="G96" s="139"/>
      <c r="H96" s="139"/>
      <c r="I96" s="139"/>
    </row>
    <row r="97" spans="1:9" ht="15.75" customHeight="1">
      <c r="A97" s="11"/>
    </row>
    <row r="98" spans="1:9" ht="15.75" customHeight="1">
      <c r="A98" s="140" t="s">
        <v>9</v>
      </c>
      <c r="B98" s="140"/>
      <c r="C98" s="140"/>
      <c r="D98" s="140"/>
      <c r="E98" s="140"/>
      <c r="F98" s="140"/>
      <c r="G98" s="140"/>
      <c r="H98" s="140"/>
      <c r="I98" s="140"/>
    </row>
    <row r="99" spans="1:9" ht="15.75" customHeight="1">
      <c r="A99" s="4"/>
    </row>
    <row r="100" spans="1:9" ht="15.75" customHeight="1">
      <c r="B100" s="85" t="s">
        <v>10</v>
      </c>
      <c r="C100" s="141" t="s">
        <v>94</v>
      </c>
      <c r="D100" s="141"/>
      <c r="E100" s="141"/>
      <c r="F100" s="89"/>
      <c r="I100" s="81"/>
    </row>
    <row r="101" spans="1:9" ht="15.75" customHeight="1">
      <c r="A101" s="82"/>
      <c r="C101" s="135" t="s">
        <v>11</v>
      </c>
      <c r="D101" s="135"/>
      <c r="E101" s="135"/>
      <c r="F101" s="26"/>
      <c r="I101" s="80" t="s">
        <v>12</v>
      </c>
    </row>
    <row r="102" spans="1:9" ht="15.75" customHeight="1">
      <c r="A102" s="27"/>
      <c r="C102" s="12"/>
      <c r="D102" s="12"/>
      <c r="G102" s="12"/>
      <c r="H102" s="12"/>
    </row>
    <row r="103" spans="1:9" ht="15.75" customHeight="1">
      <c r="B103" s="85" t="s">
        <v>13</v>
      </c>
      <c r="C103" s="142"/>
      <c r="D103" s="142"/>
      <c r="E103" s="142"/>
      <c r="F103" s="90"/>
      <c r="I103" s="81"/>
    </row>
    <row r="104" spans="1:9" ht="15.75" customHeight="1">
      <c r="A104" s="82"/>
      <c r="C104" s="138" t="s">
        <v>11</v>
      </c>
      <c r="D104" s="138"/>
      <c r="E104" s="138"/>
      <c r="F104" s="82"/>
      <c r="I104" s="80" t="s">
        <v>12</v>
      </c>
    </row>
    <row r="105" spans="1:9" ht="15.75" customHeight="1">
      <c r="A105" s="4" t="s">
        <v>14</v>
      </c>
    </row>
    <row r="106" spans="1:9">
      <c r="A106" s="137" t="s">
        <v>15</v>
      </c>
      <c r="B106" s="137"/>
      <c r="C106" s="137"/>
      <c r="D106" s="137"/>
      <c r="E106" s="137"/>
      <c r="F106" s="137"/>
      <c r="G106" s="137"/>
      <c r="H106" s="137"/>
      <c r="I106" s="137"/>
    </row>
    <row r="107" spans="1:9" ht="45" customHeight="1">
      <c r="A107" s="133" t="s">
        <v>16</v>
      </c>
      <c r="B107" s="133"/>
      <c r="C107" s="133"/>
      <c r="D107" s="133"/>
      <c r="E107" s="133"/>
      <c r="F107" s="133"/>
      <c r="G107" s="133"/>
      <c r="H107" s="133"/>
      <c r="I107" s="133"/>
    </row>
    <row r="108" spans="1:9" ht="30" customHeight="1">
      <c r="A108" s="133" t="s">
        <v>17</v>
      </c>
      <c r="B108" s="133"/>
      <c r="C108" s="133"/>
      <c r="D108" s="133"/>
      <c r="E108" s="133"/>
      <c r="F108" s="133"/>
      <c r="G108" s="133"/>
      <c r="H108" s="133"/>
      <c r="I108" s="133"/>
    </row>
    <row r="109" spans="1:9" ht="30" customHeight="1">
      <c r="A109" s="133" t="s">
        <v>21</v>
      </c>
      <c r="B109" s="133"/>
      <c r="C109" s="133"/>
      <c r="D109" s="133"/>
      <c r="E109" s="133"/>
      <c r="F109" s="133"/>
      <c r="G109" s="133"/>
      <c r="H109" s="133"/>
      <c r="I109" s="133"/>
    </row>
    <row r="110" spans="1:9" ht="15" customHeight="1">
      <c r="A110" s="133" t="s">
        <v>20</v>
      </c>
      <c r="B110" s="133"/>
      <c r="C110" s="133"/>
      <c r="D110" s="133"/>
      <c r="E110" s="133"/>
      <c r="F110" s="133"/>
      <c r="G110" s="133"/>
      <c r="H110" s="133"/>
      <c r="I110" s="133"/>
    </row>
  </sheetData>
  <autoFilter ref="I12:I82"/>
  <mergeCells count="28"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  <mergeCell ref="A96:I96"/>
    <mergeCell ref="A15:I15"/>
    <mergeCell ref="A29:I29"/>
    <mergeCell ref="A43:I43"/>
    <mergeCell ref="A54:I54"/>
    <mergeCell ref="A79:I79"/>
    <mergeCell ref="A83:I83"/>
    <mergeCell ref="A90:I90"/>
    <mergeCell ref="B91:G91"/>
    <mergeCell ref="B92:G92"/>
    <mergeCell ref="A94:I94"/>
    <mergeCell ref="A95:I95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91</v>
      </c>
      <c r="I1" s="28"/>
      <c r="J1" s="1"/>
      <c r="K1" s="1"/>
      <c r="L1" s="1"/>
      <c r="M1" s="1"/>
    </row>
    <row r="2" spans="1:13" ht="15.75" customHeight="1">
      <c r="A2" s="30" t="s">
        <v>64</v>
      </c>
      <c r="J2" s="2"/>
      <c r="K2" s="2"/>
      <c r="L2" s="2"/>
      <c r="M2" s="2"/>
    </row>
    <row r="3" spans="1:13" ht="15.75" customHeight="1">
      <c r="A3" s="143" t="s">
        <v>194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135</v>
      </c>
      <c r="B4" s="144"/>
      <c r="C4" s="144"/>
      <c r="D4" s="144"/>
      <c r="E4" s="144"/>
      <c r="F4" s="144"/>
      <c r="G4" s="144"/>
      <c r="H4" s="144"/>
      <c r="I4" s="144"/>
    </row>
    <row r="5" spans="1:13" ht="15.75" customHeight="1">
      <c r="A5" s="143" t="s">
        <v>200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 customHeight="1">
      <c r="A6" s="2"/>
      <c r="B6" s="84"/>
      <c r="C6" s="84"/>
      <c r="D6" s="84"/>
      <c r="E6" s="84"/>
      <c r="F6" s="84"/>
      <c r="G6" s="84"/>
      <c r="H6" s="84"/>
      <c r="I6" s="32">
        <v>43008</v>
      </c>
      <c r="J6" s="2"/>
      <c r="K6" s="2"/>
      <c r="L6" s="2"/>
      <c r="M6" s="2"/>
    </row>
    <row r="7" spans="1:13" ht="15.75" customHeight="1">
      <c r="B7" s="85"/>
      <c r="C7" s="85"/>
      <c r="D7" s="85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145" t="s">
        <v>201</v>
      </c>
      <c r="B8" s="145"/>
      <c r="C8" s="145"/>
      <c r="D8" s="145"/>
      <c r="E8" s="145"/>
      <c r="F8" s="145"/>
      <c r="G8" s="145"/>
      <c r="H8" s="145"/>
      <c r="I8" s="145"/>
      <c r="J8" s="78"/>
      <c r="K8" s="78"/>
      <c r="L8" s="78"/>
      <c r="M8" s="78"/>
    </row>
    <row r="9" spans="1:13" ht="15.75">
      <c r="A9" s="4"/>
      <c r="J9" s="2"/>
      <c r="K9" s="2"/>
      <c r="L9" s="2"/>
      <c r="M9" s="2"/>
    </row>
    <row r="10" spans="1:13" ht="47.25" customHeight="1">
      <c r="A10" s="146" t="s">
        <v>202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8" t="s">
        <v>61</v>
      </c>
      <c r="B14" s="148"/>
      <c r="C14" s="148"/>
      <c r="D14" s="148"/>
      <c r="E14" s="148"/>
      <c r="F14" s="148"/>
      <c r="G14" s="148"/>
      <c r="H14" s="148"/>
      <c r="I14" s="148"/>
      <c r="J14" s="8"/>
      <c r="K14" s="8"/>
      <c r="L14" s="8"/>
      <c r="M14" s="8"/>
    </row>
    <row r="15" spans="1:13" ht="15.75" customHeight="1">
      <c r="A15" s="149" t="s">
        <v>4</v>
      </c>
      <c r="B15" s="149"/>
      <c r="C15" s="149"/>
      <c r="D15" s="149"/>
      <c r="E15" s="149"/>
      <c r="F15" s="149"/>
      <c r="G15" s="149"/>
      <c r="H15" s="149"/>
      <c r="I15" s="149"/>
      <c r="J15" s="8"/>
      <c r="K15" s="8"/>
      <c r="L15" s="8"/>
      <c r="M15" s="8"/>
    </row>
    <row r="16" spans="1:13" ht="15.75" customHeight="1">
      <c r="A16" s="31">
        <v>1</v>
      </c>
      <c r="B16" s="93" t="s">
        <v>92</v>
      </c>
      <c r="C16" s="94" t="s">
        <v>102</v>
      </c>
      <c r="D16" s="93" t="s">
        <v>140</v>
      </c>
      <c r="E16" s="95">
        <v>47.52</v>
      </c>
      <c r="F16" s="96">
        <f>SUM(E16*156/100)</f>
        <v>74.131200000000007</v>
      </c>
      <c r="G16" s="96">
        <v>175.38</v>
      </c>
      <c r="H16" s="97">
        <f t="shared" ref="H16:H28" si="0">SUM(F16*G16/1000)</f>
        <v>13.001129856000002</v>
      </c>
      <c r="I16" s="13">
        <f>F16/12*G16</f>
        <v>1083.427488</v>
      </c>
      <c r="J16" s="8"/>
      <c r="K16" s="8"/>
      <c r="L16" s="8"/>
      <c r="M16" s="8"/>
    </row>
    <row r="17" spans="1:13" ht="15.75" customHeight="1">
      <c r="A17" s="31">
        <v>2</v>
      </c>
      <c r="B17" s="93" t="s">
        <v>111</v>
      </c>
      <c r="C17" s="94" t="s">
        <v>102</v>
      </c>
      <c r="D17" s="93" t="s">
        <v>141</v>
      </c>
      <c r="E17" s="95">
        <v>190.08</v>
      </c>
      <c r="F17" s="96">
        <f>SUM(E17*104/100)</f>
        <v>197.6832</v>
      </c>
      <c r="G17" s="96">
        <v>175.38</v>
      </c>
      <c r="H17" s="97">
        <f t="shared" si="0"/>
        <v>34.669679616000003</v>
      </c>
      <c r="I17" s="13">
        <f>F17/12*G17</f>
        <v>2889.139968</v>
      </c>
      <c r="J17" s="8"/>
      <c r="K17" s="8"/>
      <c r="L17" s="8"/>
      <c r="M17" s="8"/>
    </row>
    <row r="18" spans="1:13" ht="15.75" customHeight="1">
      <c r="A18" s="31">
        <v>3</v>
      </c>
      <c r="B18" s="93" t="s">
        <v>112</v>
      </c>
      <c r="C18" s="94" t="s">
        <v>102</v>
      </c>
      <c r="D18" s="93" t="s">
        <v>142</v>
      </c>
      <c r="E18" s="95">
        <f>SUM(E16+E17)</f>
        <v>237.60000000000002</v>
      </c>
      <c r="F18" s="96">
        <f>SUM(E18*24/100)</f>
        <v>57.024000000000008</v>
      </c>
      <c r="G18" s="96">
        <v>504.5</v>
      </c>
      <c r="H18" s="97">
        <f t="shared" si="0"/>
        <v>28.768608000000004</v>
      </c>
      <c r="I18" s="13">
        <f>F18/12*G18</f>
        <v>2397.3840000000005</v>
      </c>
      <c r="J18" s="8"/>
      <c r="K18" s="8"/>
      <c r="L18" s="8"/>
      <c r="M18" s="8"/>
    </row>
    <row r="19" spans="1:13" ht="15.75" hidden="1" customHeight="1">
      <c r="A19" s="31">
        <v>4</v>
      </c>
      <c r="B19" s="93" t="s">
        <v>136</v>
      </c>
      <c r="C19" s="94" t="s">
        <v>137</v>
      </c>
      <c r="D19" s="93" t="s">
        <v>138</v>
      </c>
      <c r="E19" s="95">
        <v>18.48</v>
      </c>
      <c r="F19" s="96">
        <f>SUM(E19/10)</f>
        <v>1.8480000000000001</v>
      </c>
      <c r="G19" s="96">
        <v>170.16</v>
      </c>
      <c r="H19" s="97">
        <f t="shared" si="0"/>
        <v>0.31445568000000002</v>
      </c>
      <c r="I19" s="13">
        <f>F19/2*G19</f>
        <v>157.22784000000001</v>
      </c>
      <c r="J19" s="8"/>
      <c r="K19" s="8"/>
      <c r="L19" s="8"/>
      <c r="M19" s="8"/>
    </row>
    <row r="20" spans="1:13" ht="15.75" customHeight="1">
      <c r="A20" s="31">
        <v>4</v>
      </c>
      <c r="B20" s="93" t="s">
        <v>101</v>
      </c>
      <c r="C20" s="94" t="s">
        <v>102</v>
      </c>
      <c r="D20" s="93" t="s">
        <v>30</v>
      </c>
      <c r="E20" s="95">
        <v>10.5</v>
      </c>
      <c r="F20" s="96">
        <f>SUM(E20*12/100)</f>
        <v>1.26</v>
      </c>
      <c r="G20" s="96">
        <v>217.88</v>
      </c>
      <c r="H20" s="97">
        <f t="shared" si="0"/>
        <v>0.27452880000000002</v>
      </c>
      <c r="I20" s="13">
        <f>F20/12*G20</f>
        <v>22.877399999999998</v>
      </c>
      <c r="J20" s="8"/>
      <c r="K20" s="8"/>
      <c r="L20" s="8"/>
      <c r="M20" s="8"/>
    </row>
    <row r="21" spans="1:13" ht="15.75" customHeight="1">
      <c r="A21" s="31">
        <v>5</v>
      </c>
      <c r="B21" s="93" t="s">
        <v>109</v>
      </c>
      <c r="C21" s="94" t="s">
        <v>102</v>
      </c>
      <c r="D21" s="93" t="s">
        <v>30</v>
      </c>
      <c r="E21" s="95">
        <v>2.7</v>
      </c>
      <c r="F21" s="96">
        <f>SUM(E21*12/100)</f>
        <v>0.32400000000000007</v>
      </c>
      <c r="G21" s="96">
        <v>203.5</v>
      </c>
      <c r="H21" s="97">
        <f t="shared" si="0"/>
        <v>6.5934000000000006E-2</v>
      </c>
      <c r="I21" s="13">
        <f>F21/12*G21</f>
        <v>5.4945000000000013</v>
      </c>
      <c r="J21" s="8"/>
      <c r="K21" s="8"/>
      <c r="L21" s="8"/>
      <c r="M21" s="8"/>
    </row>
    <row r="22" spans="1:13" ht="15.75" hidden="1" customHeight="1">
      <c r="A22" s="31">
        <v>7</v>
      </c>
      <c r="B22" s="93" t="s">
        <v>103</v>
      </c>
      <c r="C22" s="94" t="s">
        <v>54</v>
      </c>
      <c r="D22" s="93" t="s">
        <v>138</v>
      </c>
      <c r="E22" s="95">
        <v>267.75</v>
      </c>
      <c r="F22" s="96">
        <f>SUM(E22/100)</f>
        <v>2.6775000000000002</v>
      </c>
      <c r="G22" s="96">
        <v>269.26</v>
      </c>
      <c r="H22" s="97">
        <f t="shared" si="0"/>
        <v>0.72094365000000005</v>
      </c>
      <c r="I22" s="13">
        <f>F22*G22</f>
        <v>720.94365000000005</v>
      </c>
      <c r="J22" s="8"/>
      <c r="K22" s="8"/>
      <c r="L22" s="8"/>
      <c r="M22" s="8"/>
    </row>
    <row r="23" spans="1:13" ht="15.75" hidden="1" customHeight="1">
      <c r="A23" s="31">
        <v>8</v>
      </c>
      <c r="B23" s="93" t="s">
        <v>104</v>
      </c>
      <c r="C23" s="94" t="s">
        <v>54</v>
      </c>
      <c r="D23" s="93" t="s">
        <v>138</v>
      </c>
      <c r="E23" s="98">
        <v>21.8</v>
      </c>
      <c r="F23" s="96">
        <f>SUM(E23/100)</f>
        <v>0.218</v>
      </c>
      <c r="G23" s="96">
        <v>44.29</v>
      </c>
      <c r="H23" s="97">
        <f t="shared" si="0"/>
        <v>9.6552199999999991E-3</v>
      </c>
      <c r="I23" s="13">
        <f t="shared" ref="I23:I26" si="1">F23*G23</f>
        <v>9.6552199999999999</v>
      </c>
      <c r="J23" s="8"/>
      <c r="K23" s="8"/>
      <c r="L23" s="8"/>
      <c r="M23" s="8"/>
    </row>
    <row r="24" spans="1:13" ht="15.75" hidden="1" customHeight="1">
      <c r="A24" s="31">
        <v>9</v>
      </c>
      <c r="B24" s="93" t="s">
        <v>105</v>
      </c>
      <c r="C24" s="94" t="s">
        <v>54</v>
      </c>
      <c r="D24" s="93" t="s">
        <v>139</v>
      </c>
      <c r="E24" s="95">
        <v>15</v>
      </c>
      <c r="F24" s="96">
        <f>E24/100</f>
        <v>0.15</v>
      </c>
      <c r="G24" s="96">
        <v>389.72</v>
      </c>
      <c r="H24" s="97">
        <f t="shared" si="0"/>
        <v>5.8457999999999996E-2</v>
      </c>
      <c r="I24" s="13">
        <f t="shared" si="1"/>
        <v>58.457999999999998</v>
      </c>
      <c r="J24" s="8"/>
      <c r="K24" s="8"/>
      <c r="L24" s="8"/>
      <c r="M24" s="8"/>
    </row>
    <row r="25" spans="1:13" ht="15.75" hidden="1" customHeight="1">
      <c r="A25" s="31">
        <v>10</v>
      </c>
      <c r="B25" s="93" t="s">
        <v>110</v>
      </c>
      <c r="C25" s="94" t="s">
        <v>102</v>
      </c>
      <c r="D25" s="93" t="s">
        <v>55</v>
      </c>
      <c r="E25" s="95">
        <v>14.25</v>
      </c>
      <c r="F25" s="96">
        <v>0.1</v>
      </c>
      <c r="G25" s="96">
        <v>216.12</v>
      </c>
      <c r="H25" s="97">
        <v>3.1E-2</v>
      </c>
      <c r="I25" s="13">
        <f t="shared" si="1"/>
        <v>21.612000000000002</v>
      </c>
      <c r="J25" s="8"/>
      <c r="K25" s="8"/>
      <c r="L25" s="8"/>
      <c r="M25" s="8"/>
    </row>
    <row r="26" spans="1:13" ht="15.75" hidden="1" customHeight="1">
      <c r="A26" s="31">
        <v>11</v>
      </c>
      <c r="B26" s="93" t="s">
        <v>106</v>
      </c>
      <c r="C26" s="94" t="s">
        <v>54</v>
      </c>
      <c r="D26" s="93" t="s">
        <v>138</v>
      </c>
      <c r="E26" s="95">
        <v>6.38</v>
      </c>
      <c r="F26" s="96">
        <f>SUM(E26/100)</f>
        <v>6.3799999999999996E-2</v>
      </c>
      <c r="G26" s="96">
        <v>520.79999999999995</v>
      </c>
      <c r="H26" s="97">
        <f t="shared" si="0"/>
        <v>3.3227039999999992E-2</v>
      </c>
      <c r="I26" s="13">
        <f t="shared" si="1"/>
        <v>33.227039999999995</v>
      </c>
      <c r="J26" s="8"/>
      <c r="K26" s="8"/>
      <c r="L26" s="8"/>
      <c r="M26" s="8"/>
    </row>
    <row r="27" spans="1:13" ht="15.75" customHeight="1">
      <c r="A27" s="31">
        <v>6</v>
      </c>
      <c r="B27" s="93" t="s">
        <v>66</v>
      </c>
      <c r="C27" s="94" t="s">
        <v>33</v>
      </c>
      <c r="D27" s="34" t="s">
        <v>90</v>
      </c>
      <c r="E27" s="95">
        <v>0.1</v>
      </c>
      <c r="F27" s="96">
        <f>SUM(E27*365)</f>
        <v>36.5</v>
      </c>
      <c r="G27" s="96">
        <v>147.03</v>
      </c>
      <c r="H27" s="97">
        <f t="shared" si="0"/>
        <v>5.3665950000000002</v>
      </c>
      <c r="I27" s="13">
        <f>F27/12*G27</f>
        <v>447.21625</v>
      </c>
      <c r="J27" s="8"/>
      <c r="K27" s="8"/>
      <c r="L27" s="8"/>
      <c r="M27" s="8"/>
    </row>
    <row r="28" spans="1:13" ht="15.75" customHeight="1">
      <c r="A28" s="31">
        <v>7</v>
      </c>
      <c r="B28" s="99" t="s">
        <v>23</v>
      </c>
      <c r="C28" s="94" t="s">
        <v>24</v>
      </c>
      <c r="D28" s="34" t="s">
        <v>90</v>
      </c>
      <c r="E28" s="95">
        <v>2581.1999999999998</v>
      </c>
      <c r="F28" s="96">
        <f>SUM(E28*12)</f>
        <v>30974.399999999998</v>
      </c>
      <c r="G28" s="96">
        <v>4.8099999999999996</v>
      </c>
      <c r="H28" s="97">
        <f t="shared" si="0"/>
        <v>148.98686399999997</v>
      </c>
      <c r="I28" s="13">
        <f>F28/12*G28</f>
        <v>12415.571999999998</v>
      </c>
      <c r="J28" s="24"/>
      <c r="K28" s="8"/>
      <c r="L28" s="8"/>
      <c r="M28" s="8"/>
    </row>
    <row r="29" spans="1:13" ht="15.75" customHeight="1">
      <c r="A29" s="149" t="s">
        <v>89</v>
      </c>
      <c r="B29" s="149"/>
      <c r="C29" s="149"/>
      <c r="D29" s="149"/>
      <c r="E29" s="149"/>
      <c r="F29" s="149"/>
      <c r="G29" s="149"/>
      <c r="H29" s="149"/>
      <c r="I29" s="149"/>
      <c r="J29" s="24"/>
      <c r="K29" s="8"/>
      <c r="L29" s="8"/>
      <c r="M29" s="8"/>
    </row>
    <row r="30" spans="1:13" ht="15.75" customHeight="1">
      <c r="A30" s="41"/>
      <c r="B30" s="51" t="s">
        <v>28</v>
      </c>
      <c r="C30" s="51"/>
      <c r="D30" s="51"/>
      <c r="E30" s="51"/>
      <c r="F30" s="51"/>
      <c r="G30" s="51"/>
      <c r="H30" s="51"/>
      <c r="I30" s="19"/>
      <c r="J30" s="24"/>
      <c r="K30" s="8"/>
      <c r="L30" s="8"/>
      <c r="M30" s="8"/>
    </row>
    <row r="31" spans="1:13" ht="15.75" customHeight="1">
      <c r="A31" s="41">
        <v>8</v>
      </c>
      <c r="B31" s="93" t="s">
        <v>114</v>
      </c>
      <c r="C31" s="94" t="s">
        <v>115</v>
      </c>
      <c r="D31" s="93" t="s">
        <v>116</v>
      </c>
      <c r="E31" s="96">
        <v>1167.4000000000001</v>
      </c>
      <c r="F31" s="96">
        <f>SUM(E31*52/1000)</f>
        <v>60.704800000000006</v>
      </c>
      <c r="G31" s="96">
        <v>155.88999999999999</v>
      </c>
      <c r="H31" s="97">
        <f t="shared" ref="H31:H33" si="2">SUM(F31*G31/1000)</f>
        <v>9.4632712720000001</v>
      </c>
      <c r="I31" s="13">
        <f>F31/6*G31</f>
        <v>1577.2118786666665</v>
      </c>
      <c r="J31" s="24"/>
      <c r="K31" s="8"/>
      <c r="L31" s="8"/>
      <c r="M31" s="8"/>
    </row>
    <row r="32" spans="1:13" ht="31.5" customHeight="1">
      <c r="A32" s="41">
        <v>9</v>
      </c>
      <c r="B32" s="93" t="s">
        <v>154</v>
      </c>
      <c r="C32" s="94" t="s">
        <v>115</v>
      </c>
      <c r="D32" s="93" t="s">
        <v>117</v>
      </c>
      <c r="E32" s="96">
        <v>540.04999999999995</v>
      </c>
      <c r="F32" s="96">
        <f>SUM(E32*78/1000)</f>
        <v>42.123899999999992</v>
      </c>
      <c r="G32" s="96">
        <v>258.63</v>
      </c>
      <c r="H32" s="97">
        <f t="shared" si="2"/>
        <v>10.894504256999998</v>
      </c>
      <c r="I32" s="13">
        <f t="shared" ref="I32:I34" si="3">F32/6*G32</f>
        <v>1815.7507094999996</v>
      </c>
      <c r="J32" s="24"/>
      <c r="K32" s="8"/>
      <c r="L32" s="8"/>
      <c r="M32" s="8"/>
    </row>
    <row r="33" spans="1:13" ht="15.75" hidden="1" customHeight="1">
      <c r="A33" s="41">
        <v>16</v>
      </c>
      <c r="B33" s="93" t="s">
        <v>27</v>
      </c>
      <c r="C33" s="94" t="s">
        <v>115</v>
      </c>
      <c r="D33" s="93" t="s">
        <v>55</v>
      </c>
      <c r="E33" s="96">
        <v>1167.4000000000001</v>
      </c>
      <c r="F33" s="96">
        <f>SUM(E33/1000)</f>
        <v>1.1674</v>
      </c>
      <c r="G33" s="96">
        <v>3020.33</v>
      </c>
      <c r="H33" s="97">
        <f t="shared" si="2"/>
        <v>3.5259332420000002</v>
      </c>
      <c r="I33" s="13">
        <f>F33*G33</f>
        <v>3525.9332420000001</v>
      </c>
      <c r="J33" s="24"/>
      <c r="K33" s="8"/>
      <c r="L33" s="8"/>
      <c r="M33" s="8"/>
    </row>
    <row r="34" spans="1:13" ht="15.75" customHeight="1">
      <c r="A34" s="41">
        <v>10</v>
      </c>
      <c r="B34" s="93" t="s">
        <v>118</v>
      </c>
      <c r="C34" s="94" t="s">
        <v>31</v>
      </c>
      <c r="D34" s="93" t="s">
        <v>65</v>
      </c>
      <c r="E34" s="100">
        <v>0.33333333333333331</v>
      </c>
      <c r="F34" s="96">
        <f>155/3</f>
        <v>51.666666666666664</v>
      </c>
      <c r="G34" s="96">
        <v>56.69</v>
      </c>
      <c r="H34" s="97">
        <f>SUM(G34*155/3/1000)</f>
        <v>2.9289833333333331</v>
      </c>
      <c r="I34" s="13">
        <f t="shared" si="3"/>
        <v>488.16388888888883</v>
      </c>
      <c r="J34" s="24"/>
      <c r="K34" s="8"/>
      <c r="L34" s="8"/>
      <c r="M34" s="8"/>
    </row>
    <row r="35" spans="1:13" ht="15.75" hidden="1" customHeight="1">
      <c r="A35" s="41">
        <v>4</v>
      </c>
      <c r="B35" s="93" t="s">
        <v>67</v>
      </c>
      <c r="C35" s="94" t="s">
        <v>33</v>
      </c>
      <c r="D35" s="93" t="s">
        <v>68</v>
      </c>
      <c r="E35" s="95"/>
      <c r="F35" s="96">
        <v>3</v>
      </c>
      <c r="G35" s="96">
        <v>191.32</v>
      </c>
      <c r="H35" s="97">
        <f t="shared" ref="H35" si="4">SUM(F35*G35/1000)</f>
        <v>0.57396000000000003</v>
      </c>
      <c r="I35" s="13">
        <v>0</v>
      </c>
      <c r="J35" s="24"/>
      <c r="K35" s="8"/>
      <c r="L35" s="8"/>
      <c r="M35" s="8"/>
    </row>
    <row r="36" spans="1:13" ht="15.75" hidden="1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9"/>
      <c r="J36" s="24"/>
      <c r="K36" s="8"/>
      <c r="L36" s="8"/>
      <c r="M36" s="8"/>
    </row>
    <row r="37" spans="1:13" ht="15.75" hidden="1" customHeight="1">
      <c r="A37" s="41">
        <v>8</v>
      </c>
      <c r="B37" s="93" t="s">
        <v>26</v>
      </c>
      <c r="C37" s="94" t="s">
        <v>32</v>
      </c>
      <c r="D37" s="93"/>
      <c r="E37" s="95"/>
      <c r="F37" s="96">
        <v>6</v>
      </c>
      <c r="G37" s="96">
        <v>1527.2</v>
      </c>
      <c r="H37" s="97">
        <f t="shared" ref="H37:H42" si="5">SUM(F37*G37/1000)</f>
        <v>9.1632000000000016</v>
      </c>
      <c r="I37" s="13">
        <f t="shared" ref="I37:I42" si="6">F37/6*G37</f>
        <v>1527.2</v>
      </c>
      <c r="J37" s="24"/>
      <c r="K37" s="8"/>
      <c r="L37" s="8"/>
      <c r="M37" s="8"/>
    </row>
    <row r="38" spans="1:13" ht="15.75" hidden="1" customHeight="1">
      <c r="A38" s="35">
        <v>9</v>
      </c>
      <c r="B38" s="93" t="s">
        <v>69</v>
      </c>
      <c r="C38" s="94" t="s">
        <v>29</v>
      </c>
      <c r="D38" s="93" t="s">
        <v>143</v>
      </c>
      <c r="E38" s="96">
        <v>1080.0999999999999</v>
      </c>
      <c r="F38" s="96">
        <f>SUM(E38*30/1000)</f>
        <v>32.402999999999999</v>
      </c>
      <c r="G38" s="96">
        <v>2102.6999999999998</v>
      </c>
      <c r="H38" s="97">
        <f t="shared" si="5"/>
        <v>68.13378809999999</v>
      </c>
      <c r="I38" s="13">
        <f t="shared" si="6"/>
        <v>11355.63135</v>
      </c>
      <c r="J38" s="24"/>
      <c r="K38" s="8"/>
      <c r="L38" s="8"/>
      <c r="M38" s="8"/>
    </row>
    <row r="39" spans="1:13" ht="15.75" hidden="1" customHeight="1">
      <c r="A39" s="35">
        <v>10</v>
      </c>
      <c r="B39" s="93" t="s">
        <v>70</v>
      </c>
      <c r="C39" s="94" t="s">
        <v>29</v>
      </c>
      <c r="D39" s="93" t="s">
        <v>119</v>
      </c>
      <c r="E39" s="96">
        <v>45</v>
      </c>
      <c r="F39" s="96">
        <f>SUM(E39*155/1000)</f>
        <v>6.9749999999999996</v>
      </c>
      <c r="G39" s="96">
        <v>350.75</v>
      </c>
      <c r="H39" s="97">
        <f t="shared" si="5"/>
        <v>2.4464812499999997</v>
      </c>
      <c r="I39" s="13">
        <f t="shared" si="6"/>
        <v>407.74687499999993</v>
      </c>
      <c r="J39" s="24"/>
      <c r="K39" s="8"/>
      <c r="L39" s="8"/>
      <c r="M39" s="8"/>
    </row>
    <row r="40" spans="1:13" ht="47.25" hidden="1" customHeight="1">
      <c r="A40" s="35">
        <v>11</v>
      </c>
      <c r="B40" s="93" t="s">
        <v>87</v>
      </c>
      <c r="C40" s="94" t="s">
        <v>115</v>
      </c>
      <c r="D40" s="93" t="s">
        <v>71</v>
      </c>
      <c r="E40" s="96">
        <v>45</v>
      </c>
      <c r="F40" s="96">
        <f>SUM(E40*70/1000)</f>
        <v>3.15</v>
      </c>
      <c r="G40" s="96">
        <v>5803.28</v>
      </c>
      <c r="H40" s="97">
        <f t="shared" si="5"/>
        <v>18.280331999999998</v>
      </c>
      <c r="I40" s="13">
        <f t="shared" si="6"/>
        <v>3046.7220000000002</v>
      </c>
      <c r="J40" s="24"/>
      <c r="K40" s="8"/>
      <c r="L40" s="8"/>
      <c r="M40" s="8"/>
    </row>
    <row r="41" spans="1:13" ht="15.75" hidden="1" customHeight="1">
      <c r="A41" s="35">
        <v>12</v>
      </c>
      <c r="B41" s="93" t="s">
        <v>120</v>
      </c>
      <c r="C41" s="94" t="s">
        <v>115</v>
      </c>
      <c r="D41" s="93" t="s">
        <v>72</v>
      </c>
      <c r="E41" s="96">
        <v>45</v>
      </c>
      <c r="F41" s="96">
        <f>SUM(E41*45/1000)</f>
        <v>2.0249999999999999</v>
      </c>
      <c r="G41" s="96">
        <v>428.7</v>
      </c>
      <c r="H41" s="97">
        <f t="shared" si="5"/>
        <v>0.86811749999999999</v>
      </c>
      <c r="I41" s="13">
        <f t="shared" si="6"/>
        <v>144.68624999999997</v>
      </c>
      <c r="J41" s="24"/>
      <c r="K41" s="8"/>
      <c r="L41" s="8"/>
      <c r="M41" s="8"/>
    </row>
    <row r="42" spans="1:13" ht="15.75" hidden="1" customHeight="1">
      <c r="A42" s="35">
        <v>13</v>
      </c>
      <c r="B42" s="93" t="s">
        <v>73</v>
      </c>
      <c r="C42" s="94" t="s">
        <v>33</v>
      </c>
      <c r="D42" s="93"/>
      <c r="E42" s="95"/>
      <c r="F42" s="96">
        <v>0.6</v>
      </c>
      <c r="G42" s="96">
        <v>798</v>
      </c>
      <c r="H42" s="97">
        <f t="shared" si="5"/>
        <v>0.47879999999999995</v>
      </c>
      <c r="I42" s="13">
        <f t="shared" si="6"/>
        <v>79.8</v>
      </c>
      <c r="J42" s="24"/>
      <c r="K42" s="8"/>
      <c r="L42" s="8"/>
      <c r="M42" s="8"/>
    </row>
    <row r="43" spans="1:13" ht="15.75" customHeight="1">
      <c r="A43" s="150" t="s">
        <v>151</v>
      </c>
      <c r="B43" s="151"/>
      <c r="C43" s="151"/>
      <c r="D43" s="151"/>
      <c r="E43" s="151"/>
      <c r="F43" s="151"/>
      <c r="G43" s="151"/>
      <c r="H43" s="151"/>
      <c r="I43" s="152"/>
      <c r="J43" s="24"/>
      <c r="K43" s="8"/>
      <c r="L43" s="8"/>
      <c r="M43" s="8"/>
    </row>
    <row r="44" spans="1:13" ht="15.75" customHeight="1">
      <c r="A44" s="41">
        <v>11</v>
      </c>
      <c r="B44" s="93" t="s">
        <v>121</v>
      </c>
      <c r="C44" s="94" t="s">
        <v>115</v>
      </c>
      <c r="D44" s="93" t="s">
        <v>43</v>
      </c>
      <c r="E44" s="95">
        <v>965.8</v>
      </c>
      <c r="F44" s="96">
        <f>SUM(E44*2/1000)</f>
        <v>1.9316</v>
      </c>
      <c r="G44" s="13">
        <v>849.49</v>
      </c>
      <c r="H44" s="97">
        <f t="shared" ref="H44:H53" si="7">SUM(F44*G44/1000)</f>
        <v>1.640874884</v>
      </c>
      <c r="I44" s="13">
        <f t="shared" ref="I44:I47" si="8">F44/2*G44</f>
        <v>820.43744200000003</v>
      </c>
      <c r="J44" s="24"/>
      <c r="K44" s="8"/>
    </row>
    <row r="45" spans="1:13" ht="15.75" customHeight="1">
      <c r="A45" s="41">
        <v>12</v>
      </c>
      <c r="B45" s="93" t="s">
        <v>36</v>
      </c>
      <c r="C45" s="94" t="s">
        <v>115</v>
      </c>
      <c r="D45" s="93" t="s">
        <v>43</v>
      </c>
      <c r="E45" s="95">
        <v>36</v>
      </c>
      <c r="F45" s="96">
        <f>SUM(E45*2/1000)</f>
        <v>7.1999999999999995E-2</v>
      </c>
      <c r="G45" s="13">
        <v>579.48</v>
      </c>
      <c r="H45" s="97">
        <f t="shared" si="7"/>
        <v>4.1722559999999999E-2</v>
      </c>
      <c r="I45" s="13">
        <f t="shared" si="8"/>
        <v>20.861280000000001</v>
      </c>
      <c r="J45" s="25"/>
    </row>
    <row r="46" spans="1:13" ht="15.75" customHeight="1">
      <c r="A46" s="41">
        <v>13</v>
      </c>
      <c r="B46" s="93" t="s">
        <v>37</v>
      </c>
      <c r="C46" s="94" t="s">
        <v>115</v>
      </c>
      <c r="D46" s="93" t="s">
        <v>43</v>
      </c>
      <c r="E46" s="95">
        <v>1197.7</v>
      </c>
      <c r="F46" s="96">
        <f>SUM(E46*2/1000)</f>
        <v>2.3954</v>
      </c>
      <c r="G46" s="13">
        <v>579.48</v>
      </c>
      <c r="H46" s="97">
        <f t="shared" si="7"/>
        <v>1.3880863919999999</v>
      </c>
      <c r="I46" s="13">
        <f t="shared" si="8"/>
        <v>694.04319599999997</v>
      </c>
      <c r="J46" s="25"/>
    </row>
    <row r="47" spans="1:13" ht="15.75" customHeight="1">
      <c r="A47" s="41">
        <v>14</v>
      </c>
      <c r="B47" s="93" t="s">
        <v>38</v>
      </c>
      <c r="C47" s="94" t="s">
        <v>115</v>
      </c>
      <c r="D47" s="93" t="s">
        <v>43</v>
      </c>
      <c r="E47" s="95">
        <v>2275.92</v>
      </c>
      <c r="F47" s="96">
        <f>SUM(E47*2/1000)</f>
        <v>4.5518400000000003</v>
      </c>
      <c r="G47" s="13">
        <v>606.77</v>
      </c>
      <c r="H47" s="97">
        <f t="shared" si="7"/>
        <v>2.7619199567999999</v>
      </c>
      <c r="I47" s="13">
        <f t="shared" si="8"/>
        <v>1380.9599784</v>
      </c>
      <c r="J47" s="25"/>
    </row>
    <row r="48" spans="1:13" ht="15.75" customHeight="1">
      <c r="A48" s="41">
        <v>15</v>
      </c>
      <c r="B48" s="93" t="s">
        <v>34</v>
      </c>
      <c r="C48" s="94" t="s">
        <v>35</v>
      </c>
      <c r="D48" s="93" t="s">
        <v>43</v>
      </c>
      <c r="E48" s="95">
        <v>81.709999999999994</v>
      </c>
      <c r="F48" s="96">
        <f>SUM(E48*2/100)</f>
        <v>1.6341999999999999</v>
      </c>
      <c r="G48" s="13">
        <v>68.56</v>
      </c>
      <c r="H48" s="97">
        <f t="shared" si="7"/>
        <v>0.11204075199999999</v>
      </c>
      <c r="I48" s="13">
        <f>F48/2*G48</f>
        <v>56.020375999999999</v>
      </c>
      <c r="J48" s="25"/>
    </row>
    <row r="49" spans="1:14" ht="15.75" customHeight="1">
      <c r="A49" s="41">
        <v>16</v>
      </c>
      <c r="B49" s="93" t="s">
        <v>58</v>
      </c>
      <c r="C49" s="94" t="s">
        <v>115</v>
      </c>
      <c r="D49" s="93" t="s">
        <v>155</v>
      </c>
      <c r="E49" s="95">
        <v>1711.8</v>
      </c>
      <c r="F49" s="96">
        <f>SUM(E49*5/1000)</f>
        <v>8.5589999999999993</v>
      </c>
      <c r="G49" s="13">
        <v>1213.55</v>
      </c>
      <c r="H49" s="97">
        <f t="shared" si="7"/>
        <v>10.386774449999999</v>
      </c>
      <c r="I49" s="13">
        <f>F49/5*G49</f>
        <v>2077.3548899999996</v>
      </c>
      <c r="J49" s="25"/>
    </row>
    <row r="50" spans="1:14" ht="31.5" customHeight="1">
      <c r="A50" s="41">
        <v>17</v>
      </c>
      <c r="B50" s="93" t="s">
        <v>122</v>
      </c>
      <c r="C50" s="94" t="s">
        <v>115</v>
      </c>
      <c r="D50" s="93" t="s">
        <v>43</v>
      </c>
      <c r="E50" s="95">
        <v>1711.8</v>
      </c>
      <c r="F50" s="96">
        <f>SUM(E50*2/1000)</f>
        <v>3.4236</v>
      </c>
      <c r="G50" s="13">
        <v>1213.55</v>
      </c>
      <c r="H50" s="97">
        <f t="shared" si="7"/>
        <v>4.1547097800000001</v>
      </c>
      <c r="I50" s="13">
        <f>F50/2*G50</f>
        <v>2077.3548900000001</v>
      </c>
      <c r="J50" s="25"/>
    </row>
    <row r="51" spans="1:14" ht="31.5" customHeight="1">
      <c r="A51" s="41">
        <v>18</v>
      </c>
      <c r="B51" s="93" t="s">
        <v>123</v>
      </c>
      <c r="C51" s="94" t="s">
        <v>39</v>
      </c>
      <c r="D51" s="93" t="s">
        <v>43</v>
      </c>
      <c r="E51" s="95">
        <v>15</v>
      </c>
      <c r="F51" s="96">
        <f>SUM(E51*2/100)</f>
        <v>0.3</v>
      </c>
      <c r="G51" s="13">
        <v>2730.49</v>
      </c>
      <c r="H51" s="97">
        <f t="shared" si="7"/>
        <v>0.81914699999999996</v>
      </c>
      <c r="I51" s="13">
        <f t="shared" ref="I51:I52" si="9">F51/2*G51</f>
        <v>409.57349999999997</v>
      </c>
      <c r="J51" s="25"/>
    </row>
    <row r="52" spans="1:14" ht="15.75" customHeight="1">
      <c r="A52" s="41">
        <v>19</v>
      </c>
      <c r="B52" s="93" t="s">
        <v>40</v>
      </c>
      <c r="C52" s="94" t="s">
        <v>41</v>
      </c>
      <c r="D52" s="93" t="s">
        <v>43</v>
      </c>
      <c r="E52" s="95">
        <v>1</v>
      </c>
      <c r="F52" s="96">
        <v>0.02</v>
      </c>
      <c r="G52" s="13">
        <v>5322.15</v>
      </c>
      <c r="H52" s="97">
        <f t="shared" si="7"/>
        <v>0.106443</v>
      </c>
      <c r="I52" s="13">
        <f t="shared" si="9"/>
        <v>53.221499999999999</v>
      </c>
      <c r="J52" s="25"/>
      <c r="L52" s="21"/>
      <c r="M52" s="22"/>
      <c r="N52" s="23"/>
    </row>
    <row r="53" spans="1:14" ht="15.75" hidden="1" customHeight="1">
      <c r="A53" s="41">
        <v>11</v>
      </c>
      <c r="B53" s="93" t="s">
        <v>42</v>
      </c>
      <c r="C53" s="94" t="s">
        <v>95</v>
      </c>
      <c r="D53" s="93" t="s">
        <v>74</v>
      </c>
      <c r="E53" s="95">
        <v>90</v>
      </c>
      <c r="F53" s="96">
        <f>SUM(E53)*3</f>
        <v>270</v>
      </c>
      <c r="G53" s="13">
        <v>65.67</v>
      </c>
      <c r="H53" s="97">
        <f t="shared" si="7"/>
        <v>17.730900000000002</v>
      </c>
      <c r="I53" s="13">
        <f>E53*G53</f>
        <v>5910.3</v>
      </c>
      <c r="J53" s="25"/>
      <c r="L53" s="21"/>
      <c r="M53" s="22"/>
      <c r="N53" s="23"/>
    </row>
    <row r="54" spans="1:14" ht="15.75" customHeight="1">
      <c r="A54" s="150" t="s">
        <v>152</v>
      </c>
      <c r="B54" s="151"/>
      <c r="C54" s="151"/>
      <c r="D54" s="151"/>
      <c r="E54" s="151"/>
      <c r="F54" s="151"/>
      <c r="G54" s="151"/>
      <c r="H54" s="151"/>
      <c r="I54" s="152"/>
      <c r="J54" s="25"/>
      <c r="L54" s="21"/>
      <c r="M54" s="22"/>
      <c r="N54" s="23"/>
    </row>
    <row r="55" spans="1:14" ht="15.75" hidden="1" customHeight="1">
      <c r="A55" s="92"/>
      <c r="B55" s="48" t="s">
        <v>44</v>
      </c>
      <c r="C55" s="17"/>
      <c r="D55" s="16"/>
      <c r="E55" s="16"/>
      <c r="F55" s="16"/>
      <c r="G55" s="31"/>
      <c r="H55" s="31"/>
      <c r="I55" s="19"/>
      <c r="J55" s="25"/>
      <c r="L55" s="21"/>
      <c r="M55" s="22"/>
      <c r="N55" s="23"/>
    </row>
    <row r="56" spans="1:14" ht="31.5" hidden="1" customHeight="1">
      <c r="A56" s="41">
        <v>14</v>
      </c>
      <c r="B56" s="93" t="s">
        <v>124</v>
      </c>
      <c r="C56" s="94" t="s">
        <v>102</v>
      </c>
      <c r="D56" s="93" t="s">
        <v>125</v>
      </c>
      <c r="E56" s="95">
        <v>96.58</v>
      </c>
      <c r="F56" s="96">
        <f>SUM(E56*6/100)</f>
        <v>5.7948000000000004</v>
      </c>
      <c r="G56" s="13">
        <v>1547.28</v>
      </c>
      <c r="H56" s="97">
        <f>SUM(F56*G56/1000)</f>
        <v>8.9661781440000006</v>
      </c>
      <c r="I56" s="13">
        <f>F56/6*G56</f>
        <v>1494.3630240000002</v>
      </c>
      <c r="J56" s="25"/>
      <c r="L56" s="21"/>
      <c r="M56" s="22"/>
      <c r="N56" s="23"/>
    </row>
    <row r="57" spans="1:14" ht="15.75" customHeight="1">
      <c r="A57" s="41"/>
      <c r="B57" s="69" t="s">
        <v>45</v>
      </c>
      <c r="C57" s="40"/>
      <c r="D57" s="34"/>
      <c r="E57" s="19"/>
      <c r="F57" s="87"/>
      <c r="G57" s="37"/>
      <c r="H57" s="70"/>
      <c r="I57" s="20"/>
      <c r="J57" s="25"/>
      <c r="L57" s="21"/>
      <c r="M57" s="22"/>
      <c r="N57" s="23"/>
    </row>
    <row r="58" spans="1:14" ht="15.75" hidden="1" customHeight="1">
      <c r="A58" s="41"/>
      <c r="B58" s="93" t="s">
        <v>46</v>
      </c>
      <c r="C58" s="94" t="s">
        <v>102</v>
      </c>
      <c r="D58" s="93" t="s">
        <v>55</v>
      </c>
      <c r="E58" s="95">
        <v>855.9</v>
      </c>
      <c r="F58" s="97">
        <v>8.6</v>
      </c>
      <c r="G58" s="13">
        <v>747.3</v>
      </c>
      <c r="H58" s="101">
        <v>6.4</v>
      </c>
      <c r="I58" s="13">
        <v>0</v>
      </c>
      <c r="J58" s="25"/>
      <c r="L58" s="21"/>
      <c r="M58" s="22"/>
      <c r="N58" s="23"/>
    </row>
    <row r="59" spans="1:14" ht="15.75" customHeight="1">
      <c r="A59" s="41">
        <v>20</v>
      </c>
      <c r="B59" s="93" t="s">
        <v>96</v>
      </c>
      <c r="C59" s="94" t="s">
        <v>25</v>
      </c>
      <c r="D59" s="93" t="s">
        <v>144</v>
      </c>
      <c r="E59" s="95">
        <v>256</v>
      </c>
      <c r="F59" s="97">
        <f>E59*12</f>
        <v>3072</v>
      </c>
      <c r="G59" s="13">
        <v>2.5958999999999999</v>
      </c>
      <c r="H59" s="101">
        <f>F59*G59/1000</f>
        <v>7.9746047999999989</v>
      </c>
      <c r="I59" s="13">
        <f>F59/12*G59</f>
        <v>664.55039999999997</v>
      </c>
      <c r="J59" s="25"/>
      <c r="L59" s="21"/>
      <c r="M59" s="22"/>
      <c r="N59" s="23"/>
    </row>
    <row r="60" spans="1:14" ht="15.75" hidden="1" customHeight="1">
      <c r="A60" s="41"/>
      <c r="B60" s="69" t="s">
        <v>145</v>
      </c>
      <c r="C60" s="40"/>
      <c r="D60" s="34"/>
      <c r="E60" s="19"/>
      <c r="F60" s="87"/>
      <c r="G60" s="71"/>
      <c r="H60" s="70"/>
      <c r="I60" s="20"/>
      <c r="J60" s="25"/>
      <c r="L60" s="21"/>
      <c r="M60" s="22"/>
      <c r="N60" s="23"/>
    </row>
    <row r="61" spans="1:14" ht="15.75" hidden="1" customHeight="1">
      <c r="A61" s="41"/>
      <c r="B61" s="93" t="s">
        <v>146</v>
      </c>
      <c r="C61" s="94" t="s">
        <v>95</v>
      </c>
      <c r="D61" s="93" t="s">
        <v>68</v>
      </c>
      <c r="E61" s="95">
        <v>2</v>
      </c>
      <c r="F61" s="96">
        <f>SUM(E61)</f>
        <v>2</v>
      </c>
      <c r="G61" s="102">
        <v>237.75</v>
      </c>
      <c r="H61" s="97">
        <f t="shared" ref="H61" si="10">SUM(F61*G61/1000)</f>
        <v>0.47549999999999998</v>
      </c>
      <c r="I61" s="13">
        <v>0</v>
      </c>
      <c r="J61" s="25"/>
      <c r="L61" s="21"/>
      <c r="M61" s="22"/>
      <c r="N61" s="23"/>
    </row>
    <row r="62" spans="1:14" ht="15.75" customHeight="1">
      <c r="A62" s="41"/>
      <c r="B62" s="83" t="s">
        <v>47</v>
      </c>
      <c r="C62" s="17"/>
      <c r="D62" s="16"/>
      <c r="E62" s="16"/>
      <c r="F62" s="88"/>
      <c r="G62" s="65"/>
      <c r="H62" s="70"/>
      <c r="I62" s="19"/>
      <c r="J62" s="25"/>
      <c r="L62" s="21"/>
      <c r="M62" s="22"/>
      <c r="N62" s="23"/>
    </row>
    <row r="63" spans="1:14" ht="15.75" customHeight="1">
      <c r="A63" s="41">
        <v>21</v>
      </c>
      <c r="B63" s="15" t="s">
        <v>48</v>
      </c>
      <c r="C63" s="17" t="s">
        <v>95</v>
      </c>
      <c r="D63" s="93" t="s">
        <v>68</v>
      </c>
      <c r="E63" s="19">
        <v>10</v>
      </c>
      <c r="F63" s="96">
        <v>10</v>
      </c>
      <c r="G63" s="13">
        <v>222.4</v>
      </c>
      <c r="H63" s="103">
        <f t="shared" ref="H63:H70" si="11">SUM(F63*G63/1000)</f>
        <v>2.2240000000000002</v>
      </c>
      <c r="I63" s="13">
        <f>G63</f>
        <v>222.4</v>
      </c>
      <c r="J63" s="25"/>
      <c r="L63" s="21"/>
      <c r="M63" s="22"/>
      <c r="N63" s="23"/>
    </row>
    <row r="64" spans="1:14" ht="15.75" hidden="1" customHeight="1">
      <c r="A64" s="31">
        <v>29</v>
      </c>
      <c r="B64" s="15" t="s">
        <v>49</v>
      </c>
      <c r="C64" s="17" t="s">
        <v>95</v>
      </c>
      <c r="D64" s="93" t="s">
        <v>68</v>
      </c>
      <c r="E64" s="19">
        <v>5</v>
      </c>
      <c r="F64" s="96">
        <v>5</v>
      </c>
      <c r="G64" s="13">
        <v>75.25</v>
      </c>
      <c r="H64" s="103">
        <f t="shared" si="11"/>
        <v>0.37624999999999997</v>
      </c>
      <c r="I64" s="13">
        <v>0</v>
      </c>
      <c r="J64" s="25"/>
      <c r="L64" s="21"/>
      <c r="M64" s="22"/>
      <c r="N64" s="23"/>
    </row>
    <row r="65" spans="1:14" ht="15.75" hidden="1" customHeight="1">
      <c r="A65" s="31">
        <v>25</v>
      </c>
      <c r="B65" s="15" t="s">
        <v>50</v>
      </c>
      <c r="C65" s="17" t="s">
        <v>126</v>
      </c>
      <c r="D65" s="15" t="s">
        <v>55</v>
      </c>
      <c r="E65" s="95">
        <v>13018</v>
      </c>
      <c r="F65" s="13">
        <f>SUM(E65/100)</f>
        <v>130.18</v>
      </c>
      <c r="G65" s="13">
        <v>212.15</v>
      </c>
      <c r="H65" s="103">
        <f t="shared" si="11"/>
        <v>27.617687</v>
      </c>
      <c r="I65" s="13">
        <f>F65*G65</f>
        <v>27617.687000000002</v>
      </c>
      <c r="J65" s="25"/>
      <c r="L65" s="21"/>
      <c r="M65" s="22"/>
      <c r="N65" s="23"/>
    </row>
    <row r="66" spans="1:14" ht="15.75" hidden="1" customHeight="1">
      <c r="A66" s="31">
        <v>26</v>
      </c>
      <c r="B66" s="15" t="s">
        <v>51</v>
      </c>
      <c r="C66" s="17" t="s">
        <v>127</v>
      </c>
      <c r="D66" s="15"/>
      <c r="E66" s="95">
        <v>13018</v>
      </c>
      <c r="F66" s="13">
        <f>SUM(E66/1000)</f>
        <v>13.018000000000001</v>
      </c>
      <c r="G66" s="13">
        <v>165.21</v>
      </c>
      <c r="H66" s="103">
        <f t="shared" si="11"/>
        <v>2.1507037800000002</v>
      </c>
      <c r="I66" s="13">
        <f t="shared" ref="I66:I70" si="12">F66*G66</f>
        <v>2150.7037800000003</v>
      </c>
      <c r="J66" s="25"/>
      <c r="L66" s="21"/>
      <c r="M66" s="22"/>
      <c r="N66" s="23"/>
    </row>
    <row r="67" spans="1:14" ht="15.75" hidden="1" customHeight="1">
      <c r="A67" s="31">
        <v>27</v>
      </c>
      <c r="B67" s="15" t="s">
        <v>52</v>
      </c>
      <c r="C67" s="17" t="s">
        <v>79</v>
      </c>
      <c r="D67" s="15" t="s">
        <v>55</v>
      </c>
      <c r="E67" s="95">
        <v>1279</v>
      </c>
      <c r="F67" s="13">
        <f>SUM(E67/100)</f>
        <v>12.79</v>
      </c>
      <c r="G67" s="13">
        <v>2074.63</v>
      </c>
      <c r="H67" s="103">
        <f t="shared" si="11"/>
        <v>26.534517700000002</v>
      </c>
      <c r="I67" s="13">
        <f t="shared" si="12"/>
        <v>26534.5177</v>
      </c>
      <c r="J67" s="25"/>
      <c r="L67" s="21"/>
      <c r="M67" s="22"/>
      <c r="N67" s="23"/>
    </row>
    <row r="68" spans="1:14" ht="15.75" hidden="1" customHeight="1">
      <c r="A68" s="31">
        <v>28</v>
      </c>
      <c r="B68" s="104" t="s">
        <v>128</v>
      </c>
      <c r="C68" s="17" t="s">
        <v>33</v>
      </c>
      <c r="D68" s="15"/>
      <c r="E68" s="95">
        <v>12</v>
      </c>
      <c r="F68" s="13">
        <f>SUM(E68)</f>
        <v>12</v>
      </c>
      <c r="G68" s="13">
        <v>45.32</v>
      </c>
      <c r="H68" s="103">
        <f t="shared" si="11"/>
        <v>0.54383999999999999</v>
      </c>
      <c r="I68" s="13">
        <f t="shared" si="12"/>
        <v>543.84</v>
      </c>
      <c r="J68" s="25"/>
      <c r="L68" s="21"/>
      <c r="M68" s="22"/>
      <c r="N68" s="23"/>
    </row>
    <row r="69" spans="1:14" ht="15.75" hidden="1" customHeight="1">
      <c r="A69" s="31">
        <v>29</v>
      </c>
      <c r="B69" s="104" t="s">
        <v>129</v>
      </c>
      <c r="C69" s="17" t="s">
        <v>33</v>
      </c>
      <c r="D69" s="15"/>
      <c r="E69" s="95">
        <v>12</v>
      </c>
      <c r="F69" s="13">
        <f>SUM(E69)</f>
        <v>12</v>
      </c>
      <c r="G69" s="13">
        <v>42.28</v>
      </c>
      <c r="H69" s="103">
        <f t="shared" si="11"/>
        <v>0.50736000000000003</v>
      </c>
      <c r="I69" s="13">
        <f t="shared" si="12"/>
        <v>507.36</v>
      </c>
      <c r="J69" s="25"/>
      <c r="L69" s="21"/>
      <c r="M69" s="22"/>
      <c r="N69" s="23"/>
    </row>
    <row r="70" spans="1:14" ht="15.75" customHeight="1">
      <c r="A70" s="31">
        <v>22</v>
      </c>
      <c r="B70" s="15" t="s">
        <v>59</v>
      </c>
      <c r="C70" s="17" t="s">
        <v>60</v>
      </c>
      <c r="D70" s="15" t="s">
        <v>55</v>
      </c>
      <c r="E70" s="19">
        <v>1</v>
      </c>
      <c r="F70" s="96">
        <f>SUM(E70)</f>
        <v>1</v>
      </c>
      <c r="G70" s="13">
        <v>49.88</v>
      </c>
      <c r="H70" s="103">
        <f t="shared" si="11"/>
        <v>4.9880000000000001E-2</v>
      </c>
      <c r="I70" s="13">
        <f t="shared" si="12"/>
        <v>49.88</v>
      </c>
      <c r="J70" s="25"/>
      <c r="L70" s="21"/>
      <c r="M70" s="22"/>
      <c r="N70" s="23"/>
    </row>
    <row r="71" spans="1:14" ht="15.75" hidden="1" customHeight="1">
      <c r="A71" s="92"/>
      <c r="B71" s="83" t="s">
        <v>130</v>
      </c>
      <c r="C71" s="83"/>
      <c r="D71" s="83"/>
      <c r="E71" s="83"/>
      <c r="F71" s="83"/>
      <c r="G71" s="83"/>
      <c r="H71" s="83"/>
      <c r="I71" s="19"/>
      <c r="J71" s="25"/>
      <c r="L71" s="21"/>
      <c r="M71" s="22"/>
      <c r="N71" s="23"/>
    </row>
    <row r="72" spans="1:14" ht="15.75" hidden="1" customHeight="1">
      <c r="A72" s="31">
        <v>16</v>
      </c>
      <c r="B72" s="93" t="s">
        <v>131</v>
      </c>
      <c r="C72" s="17"/>
      <c r="D72" s="15"/>
      <c r="E72" s="87"/>
      <c r="F72" s="13">
        <v>1</v>
      </c>
      <c r="G72" s="13">
        <v>10041.700000000001</v>
      </c>
      <c r="H72" s="103">
        <f>G72*F72/1000</f>
        <v>10.041700000000001</v>
      </c>
      <c r="I72" s="13">
        <f>G72</f>
        <v>10041.700000000001</v>
      </c>
      <c r="J72" s="25"/>
      <c r="L72" s="21"/>
      <c r="M72" s="22"/>
      <c r="N72" s="23"/>
    </row>
    <row r="73" spans="1:14" ht="15.75" customHeight="1">
      <c r="A73" s="31"/>
      <c r="B73" s="49" t="s">
        <v>75</v>
      </c>
      <c r="C73" s="49"/>
      <c r="D73" s="49"/>
      <c r="E73" s="19"/>
      <c r="F73" s="19"/>
      <c r="G73" s="31"/>
      <c r="H73" s="31"/>
      <c r="I73" s="19"/>
      <c r="J73" s="25"/>
      <c r="L73" s="21"/>
      <c r="M73" s="22"/>
      <c r="N73" s="23"/>
    </row>
    <row r="74" spans="1:14" ht="15.75" customHeight="1">
      <c r="A74" s="31">
        <v>23</v>
      </c>
      <c r="B74" s="15" t="s">
        <v>76</v>
      </c>
      <c r="C74" s="17" t="s">
        <v>77</v>
      </c>
      <c r="D74" s="15" t="s">
        <v>68</v>
      </c>
      <c r="E74" s="19">
        <v>5</v>
      </c>
      <c r="F74" s="13">
        <v>0.5</v>
      </c>
      <c r="G74" s="13">
        <v>501.62</v>
      </c>
      <c r="H74" s="103">
        <f t="shared" ref="H74:H76" si="13">SUM(F74*G74/1000)</f>
        <v>0.25080999999999998</v>
      </c>
      <c r="I74" s="13">
        <f>G74*0.2</f>
        <v>100.32400000000001</v>
      </c>
      <c r="J74" s="25"/>
      <c r="L74" s="21"/>
      <c r="M74" s="22"/>
      <c r="N74" s="23"/>
    </row>
    <row r="75" spans="1:14" ht="15.75" hidden="1" customHeight="1">
      <c r="A75" s="31"/>
      <c r="B75" s="15" t="s">
        <v>147</v>
      </c>
      <c r="C75" s="17" t="s">
        <v>95</v>
      </c>
      <c r="D75" s="15"/>
      <c r="E75" s="19">
        <v>1</v>
      </c>
      <c r="F75" s="86">
        <f>E75</f>
        <v>1</v>
      </c>
      <c r="G75" s="13">
        <v>852.99</v>
      </c>
      <c r="H75" s="103">
        <f t="shared" si="13"/>
        <v>0.85299000000000003</v>
      </c>
      <c r="I75" s="13">
        <v>0</v>
      </c>
      <c r="J75" s="25"/>
      <c r="L75" s="21"/>
      <c r="M75" s="22"/>
      <c r="N75" s="23"/>
    </row>
    <row r="76" spans="1:14" ht="15.75" hidden="1" customHeight="1">
      <c r="A76" s="31"/>
      <c r="B76" s="15" t="s">
        <v>148</v>
      </c>
      <c r="C76" s="17" t="s">
        <v>95</v>
      </c>
      <c r="D76" s="15"/>
      <c r="E76" s="19">
        <v>1</v>
      </c>
      <c r="F76" s="96">
        <f>SUM(E76)</f>
        <v>1</v>
      </c>
      <c r="G76" s="13">
        <v>358.51</v>
      </c>
      <c r="H76" s="103">
        <f t="shared" si="13"/>
        <v>0.35851</v>
      </c>
      <c r="I76" s="13">
        <v>0</v>
      </c>
      <c r="J76" s="25"/>
      <c r="L76" s="21"/>
      <c r="M76" s="22"/>
      <c r="N76" s="23"/>
    </row>
    <row r="77" spans="1:14" ht="15.75" hidden="1" customHeight="1">
      <c r="A77" s="31"/>
      <c r="B77" s="50" t="s">
        <v>78</v>
      </c>
      <c r="C77" s="38"/>
      <c r="D77" s="31"/>
      <c r="E77" s="19"/>
      <c r="F77" s="19"/>
      <c r="G77" s="37" t="s">
        <v>132</v>
      </c>
      <c r="H77" s="37"/>
      <c r="I77" s="19"/>
      <c r="J77" s="25"/>
      <c r="L77" s="21"/>
      <c r="M77" s="22"/>
      <c r="N77" s="23"/>
    </row>
    <row r="78" spans="1:14" ht="15.75" hidden="1" customHeight="1">
      <c r="A78" s="31">
        <v>12</v>
      </c>
      <c r="B78" s="52" t="s">
        <v>133</v>
      </c>
      <c r="C78" s="17" t="s">
        <v>79</v>
      </c>
      <c r="D78" s="15"/>
      <c r="E78" s="19"/>
      <c r="F78" s="13">
        <v>0.3</v>
      </c>
      <c r="G78" s="13">
        <v>2759.44</v>
      </c>
      <c r="H78" s="103">
        <f t="shared" ref="H78" si="14">SUM(F78*G78/1000)</f>
        <v>0.82783200000000001</v>
      </c>
      <c r="I78" s="13">
        <v>0</v>
      </c>
      <c r="J78" s="25"/>
      <c r="L78" s="21"/>
      <c r="M78" s="22"/>
      <c r="N78" s="23"/>
    </row>
    <row r="79" spans="1:14" ht="15.75" customHeight="1">
      <c r="A79" s="154" t="s">
        <v>153</v>
      </c>
      <c r="B79" s="155"/>
      <c r="C79" s="155"/>
      <c r="D79" s="155"/>
      <c r="E79" s="155"/>
      <c r="F79" s="155"/>
      <c r="G79" s="155"/>
      <c r="H79" s="155"/>
      <c r="I79" s="156"/>
      <c r="J79" s="25"/>
      <c r="L79" s="21"/>
      <c r="M79" s="22"/>
      <c r="N79" s="23"/>
    </row>
    <row r="80" spans="1:14" ht="15.75" customHeight="1">
      <c r="A80" s="31">
        <v>24</v>
      </c>
      <c r="B80" s="93" t="s">
        <v>134</v>
      </c>
      <c r="C80" s="17" t="s">
        <v>56</v>
      </c>
      <c r="D80" s="106" t="s">
        <v>57</v>
      </c>
      <c r="E80" s="13">
        <v>2581.1999999999998</v>
      </c>
      <c r="F80" s="13">
        <f>SUM(E80*12)</f>
        <v>30974.399999999998</v>
      </c>
      <c r="G80" s="13">
        <v>2.1</v>
      </c>
      <c r="H80" s="103">
        <f>SUM(F80*G80/1000)</f>
        <v>65.046239999999997</v>
      </c>
      <c r="I80" s="13">
        <f>F80/12*G80</f>
        <v>5420.5199999999995</v>
      </c>
      <c r="J80" s="25"/>
      <c r="L80" s="21"/>
    </row>
    <row r="81" spans="1:22" ht="31.5" customHeight="1">
      <c r="A81" s="31">
        <v>25</v>
      </c>
      <c r="B81" s="15" t="s">
        <v>80</v>
      </c>
      <c r="C81" s="17"/>
      <c r="D81" s="106" t="s">
        <v>57</v>
      </c>
      <c r="E81" s="95">
        <v>2581.1999999999998</v>
      </c>
      <c r="F81" s="13">
        <f>E81*12</f>
        <v>30974.399999999998</v>
      </c>
      <c r="G81" s="13">
        <v>1.63</v>
      </c>
      <c r="H81" s="103">
        <f>F81*G81/1000</f>
        <v>50.488271999999988</v>
      </c>
      <c r="I81" s="13">
        <f>F81/12*G81</f>
        <v>4207.3559999999998</v>
      </c>
    </row>
    <row r="82" spans="1:22" ht="15.75" customHeight="1">
      <c r="A82" s="92"/>
      <c r="B82" s="39" t="s">
        <v>83</v>
      </c>
      <c r="C82" s="41"/>
      <c r="D82" s="16"/>
      <c r="E82" s="16"/>
      <c r="F82" s="16"/>
      <c r="G82" s="19"/>
      <c r="H82" s="19"/>
      <c r="I82" s="33">
        <f>SUM(I16+I17+I18+I20+I21+I27+I28+I31+I32+I34+I44+I45+I46+I47+I48+I49+I50+I51+I52+I59+I63+I70+I74+I80+I81)</f>
        <v>41397.095535455548</v>
      </c>
    </row>
    <row r="83" spans="1:22" ht="15.75" customHeight="1">
      <c r="A83" s="157" t="s">
        <v>62</v>
      </c>
      <c r="B83" s="158"/>
      <c r="C83" s="158"/>
      <c r="D83" s="158"/>
      <c r="E83" s="158"/>
      <c r="F83" s="158"/>
      <c r="G83" s="158"/>
      <c r="H83" s="158"/>
      <c r="I83" s="159"/>
    </row>
    <row r="84" spans="1:22" ht="15.75" customHeight="1">
      <c r="A84" s="31">
        <v>26</v>
      </c>
      <c r="B84" s="67" t="s">
        <v>107</v>
      </c>
      <c r="C84" s="68" t="s">
        <v>95</v>
      </c>
      <c r="D84" s="52"/>
      <c r="E84" s="13"/>
      <c r="F84" s="13">
        <v>368</v>
      </c>
      <c r="G84" s="13">
        <v>53.42</v>
      </c>
      <c r="H84" s="103" t="e">
        <f>#REF!*#REF!/1000</f>
        <v>#REF!</v>
      </c>
      <c r="I84" s="13">
        <f>G84*46</f>
        <v>2457.3200000000002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9"/>
    </row>
    <row r="85" spans="1:22" ht="31.5" customHeight="1">
      <c r="A85" s="31">
        <v>27</v>
      </c>
      <c r="B85" s="67" t="s">
        <v>86</v>
      </c>
      <c r="C85" s="68" t="s">
        <v>39</v>
      </c>
      <c r="D85" s="66"/>
      <c r="E85" s="37"/>
      <c r="F85" s="37">
        <v>0.03</v>
      </c>
      <c r="G85" s="37">
        <v>3581.13</v>
      </c>
      <c r="H85" s="105">
        <f>G85*F85/1000</f>
        <v>0.1074339</v>
      </c>
      <c r="I85" s="13">
        <f>G85*0.01</f>
        <v>35.811300000000003</v>
      </c>
      <c r="J85" s="27"/>
      <c r="K85" s="27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2" ht="31.5" customHeight="1">
      <c r="A86" s="31">
        <v>28</v>
      </c>
      <c r="B86" s="67" t="s">
        <v>195</v>
      </c>
      <c r="C86" s="68" t="s">
        <v>29</v>
      </c>
      <c r="D86" s="52"/>
      <c r="E86" s="13"/>
      <c r="F86" s="13">
        <f>0.01</f>
        <v>0.01</v>
      </c>
      <c r="G86" s="13">
        <v>1591.6</v>
      </c>
      <c r="H86" s="103">
        <f t="shared" ref="H86" si="15">G86*F86/1000</f>
        <v>1.5916E-2</v>
      </c>
      <c r="I86" s="13">
        <f>G86*0.01</f>
        <v>15.915999999999999</v>
      </c>
      <c r="J86" s="27"/>
      <c r="K86" s="27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2" ht="15.75" customHeight="1">
      <c r="A87" s="31"/>
      <c r="B87" s="46" t="s">
        <v>53</v>
      </c>
      <c r="C87" s="42"/>
      <c r="D87" s="54"/>
      <c r="E87" s="42">
        <v>1</v>
      </c>
      <c r="F87" s="42"/>
      <c r="G87" s="42"/>
      <c r="H87" s="42"/>
      <c r="I87" s="33">
        <f>SUM(I84:I86)</f>
        <v>2509.0473000000002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1:22" ht="15.75" customHeight="1">
      <c r="A88" s="31"/>
      <c r="B88" s="52" t="s">
        <v>81</v>
      </c>
      <c r="C88" s="16"/>
      <c r="D88" s="16"/>
      <c r="E88" s="43"/>
      <c r="F88" s="43"/>
      <c r="G88" s="44"/>
      <c r="H88" s="44"/>
      <c r="I88" s="18">
        <v>0</v>
      </c>
    </row>
    <row r="89" spans="1:22" ht="15.75" customHeight="1">
      <c r="A89" s="55"/>
      <c r="B89" s="47" t="s">
        <v>157</v>
      </c>
      <c r="C89" s="36"/>
      <c r="D89" s="36"/>
      <c r="E89" s="36"/>
      <c r="F89" s="36"/>
      <c r="G89" s="36"/>
      <c r="H89" s="36"/>
      <c r="I89" s="45">
        <f>I82+I87</f>
        <v>43906.142835455546</v>
      </c>
    </row>
    <row r="90" spans="1:22" ht="15.75" customHeight="1">
      <c r="A90" s="153" t="s">
        <v>196</v>
      </c>
      <c r="B90" s="153"/>
      <c r="C90" s="153"/>
      <c r="D90" s="153"/>
      <c r="E90" s="153"/>
      <c r="F90" s="153"/>
      <c r="G90" s="153"/>
      <c r="H90" s="153"/>
      <c r="I90" s="153"/>
    </row>
    <row r="91" spans="1:22" ht="15.75" customHeight="1">
      <c r="A91" s="79"/>
      <c r="B91" s="134" t="s">
        <v>197</v>
      </c>
      <c r="C91" s="134"/>
      <c r="D91" s="134"/>
      <c r="E91" s="134"/>
      <c r="F91" s="134"/>
      <c r="G91" s="134"/>
      <c r="H91" s="91"/>
      <c r="I91" s="3"/>
    </row>
    <row r="92" spans="1:22" ht="15.75" customHeight="1">
      <c r="A92" s="82"/>
      <c r="B92" s="135" t="s">
        <v>6</v>
      </c>
      <c r="C92" s="135"/>
      <c r="D92" s="135"/>
      <c r="E92" s="135"/>
      <c r="F92" s="135"/>
      <c r="G92" s="135"/>
      <c r="H92" s="26"/>
      <c r="I92" s="5"/>
    </row>
    <row r="93" spans="1:22" ht="15.75" customHeight="1">
      <c r="A93" s="10"/>
      <c r="B93" s="10"/>
      <c r="C93" s="10"/>
      <c r="D93" s="10"/>
      <c r="E93" s="10"/>
      <c r="F93" s="10"/>
      <c r="G93" s="10"/>
      <c r="H93" s="10"/>
      <c r="I93" s="10"/>
    </row>
    <row r="94" spans="1:22" ht="15.75" customHeight="1">
      <c r="A94" s="136" t="s">
        <v>7</v>
      </c>
      <c r="B94" s="136"/>
      <c r="C94" s="136"/>
      <c r="D94" s="136"/>
      <c r="E94" s="136"/>
      <c r="F94" s="136"/>
      <c r="G94" s="136"/>
      <c r="H94" s="136"/>
      <c r="I94" s="136"/>
    </row>
    <row r="95" spans="1:22" ht="15.75" customHeight="1">
      <c r="A95" s="136" t="s">
        <v>8</v>
      </c>
      <c r="B95" s="136"/>
      <c r="C95" s="136"/>
      <c r="D95" s="136"/>
      <c r="E95" s="136"/>
      <c r="F95" s="136"/>
      <c r="G95" s="136"/>
      <c r="H95" s="136"/>
      <c r="I95" s="136"/>
    </row>
    <row r="96" spans="1:22" ht="15.75" customHeight="1">
      <c r="A96" s="139" t="s">
        <v>63</v>
      </c>
      <c r="B96" s="139"/>
      <c r="C96" s="139"/>
      <c r="D96" s="139"/>
      <c r="E96" s="139"/>
      <c r="F96" s="139"/>
      <c r="G96" s="139"/>
      <c r="H96" s="139"/>
      <c r="I96" s="139"/>
    </row>
    <row r="97" spans="1:9" ht="15.75" customHeight="1">
      <c r="A97" s="11"/>
    </row>
    <row r="98" spans="1:9" ht="15.75" customHeight="1">
      <c r="A98" s="140" t="s">
        <v>9</v>
      </c>
      <c r="B98" s="140"/>
      <c r="C98" s="140"/>
      <c r="D98" s="140"/>
      <c r="E98" s="140"/>
      <c r="F98" s="140"/>
      <c r="G98" s="140"/>
      <c r="H98" s="140"/>
      <c r="I98" s="140"/>
    </row>
    <row r="99" spans="1:9" ht="15.75" customHeight="1">
      <c r="A99" s="4"/>
    </row>
    <row r="100" spans="1:9" ht="15.75" customHeight="1">
      <c r="B100" s="85" t="s">
        <v>10</v>
      </c>
      <c r="C100" s="141" t="s">
        <v>94</v>
      </c>
      <c r="D100" s="141"/>
      <c r="E100" s="141"/>
      <c r="F100" s="89"/>
      <c r="I100" s="81"/>
    </row>
    <row r="101" spans="1:9" ht="15.75" customHeight="1">
      <c r="A101" s="82"/>
      <c r="C101" s="135" t="s">
        <v>11</v>
      </c>
      <c r="D101" s="135"/>
      <c r="E101" s="135"/>
      <c r="F101" s="26"/>
      <c r="I101" s="80" t="s">
        <v>12</v>
      </c>
    </row>
    <row r="102" spans="1:9" ht="15.75" customHeight="1">
      <c r="A102" s="27"/>
      <c r="C102" s="12"/>
      <c r="D102" s="12"/>
      <c r="G102" s="12"/>
      <c r="H102" s="12"/>
    </row>
    <row r="103" spans="1:9" ht="15.75" customHeight="1">
      <c r="B103" s="85" t="s">
        <v>13</v>
      </c>
      <c r="C103" s="142"/>
      <c r="D103" s="142"/>
      <c r="E103" s="142"/>
      <c r="F103" s="90"/>
      <c r="I103" s="81"/>
    </row>
    <row r="104" spans="1:9" ht="15.75" customHeight="1">
      <c r="A104" s="82"/>
      <c r="C104" s="138" t="s">
        <v>11</v>
      </c>
      <c r="D104" s="138"/>
      <c r="E104" s="138"/>
      <c r="F104" s="82"/>
      <c r="I104" s="80" t="s">
        <v>12</v>
      </c>
    </row>
    <row r="105" spans="1:9" ht="15.75" customHeight="1">
      <c r="A105" s="4" t="s">
        <v>14</v>
      </c>
    </row>
    <row r="106" spans="1:9">
      <c r="A106" s="137" t="s">
        <v>15</v>
      </c>
      <c r="B106" s="137"/>
      <c r="C106" s="137"/>
      <c r="D106" s="137"/>
      <c r="E106" s="137"/>
      <c r="F106" s="137"/>
      <c r="G106" s="137"/>
      <c r="H106" s="137"/>
      <c r="I106" s="137"/>
    </row>
    <row r="107" spans="1:9" ht="45" customHeight="1">
      <c r="A107" s="133" t="s">
        <v>16</v>
      </c>
      <c r="B107" s="133"/>
      <c r="C107" s="133"/>
      <c r="D107" s="133"/>
      <c r="E107" s="133"/>
      <c r="F107" s="133"/>
      <c r="G107" s="133"/>
      <c r="H107" s="133"/>
      <c r="I107" s="133"/>
    </row>
    <row r="108" spans="1:9" ht="30" customHeight="1">
      <c r="A108" s="133" t="s">
        <v>17</v>
      </c>
      <c r="B108" s="133"/>
      <c r="C108" s="133"/>
      <c r="D108" s="133"/>
      <c r="E108" s="133"/>
      <c r="F108" s="133"/>
      <c r="G108" s="133"/>
      <c r="H108" s="133"/>
      <c r="I108" s="133"/>
    </row>
    <row r="109" spans="1:9" ht="30" customHeight="1">
      <c r="A109" s="133" t="s">
        <v>21</v>
      </c>
      <c r="B109" s="133"/>
      <c r="C109" s="133"/>
      <c r="D109" s="133"/>
      <c r="E109" s="133"/>
      <c r="F109" s="133"/>
      <c r="G109" s="133"/>
      <c r="H109" s="133"/>
      <c r="I109" s="133"/>
    </row>
    <row r="110" spans="1:9" ht="15" customHeight="1">
      <c r="A110" s="133" t="s">
        <v>20</v>
      </c>
      <c r="B110" s="133"/>
      <c r="C110" s="133"/>
      <c r="D110" s="133"/>
      <c r="E110" s="133"/>
      <c r="F110" s="133"/>
      <c r="G110" s="133"/>
      <c r="H110" s="133"/>
      <c r="I110" s="133"/>
    </row>
  </sheetData>
  <autoFilter ref="I12:I82"/>
  <mergeCells count="28"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  <mergeCell ref="A96:I96"/>
    <mergeCell ref="A15:I15"/>
    <mergeCell ref="A29:I29"/>
    <mergeCell ref="A43:I43"/>
    <mergeCell ref="A54:I54"/>
    <mergeCell ref="A79:I79"/>
    <mergeCell ref="A83:I83"/>
    <mergeCell ref="A90:I90"/>
    <mergeCell ref="B91:G91"/>
    <mergeCell ref="B92:G92"/>
    <mergeCell ref="A94:I94"/>
    <mergeCell ref="A95:I95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2017-12-12T07:28:05Z</cp:lastPrinted>
  <dcterms:created xsi:type="dcterms:W3CDTF">2016-03-25T08:33:47Z</dcterms:created>
  <dcterms:modified xsi:type="dcterms:W3CDTF">2018-03-29T12:15:38Z</dcterms:modified>
</cp:coreProperties>
</file>