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40" windowWidth="15495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'01.17'!$I$12:$I$61</definedName>
    <definedName name="_xlnm._FilterDatabase" localSheetId="1" hidden="1">'02.17'!$I$12:$I$61</definedName>
    <definedName name="_xlnm._FilterDatabase" localSheetId="2" hidden="1">'03.17'!$I$12:$I$61</definedName>
    <definedName name="_xlnm._FilterDatabase" localSheetId="3" hidden="1">'04.17'!$I$12:$I$61</definedName>
    <definedName name="_xlnm._FilterDatabase" localSheetId="4" hidden="1">'05.17'!$I$12:$I$61</definedName>
    <definedName name="_xlnm._FilterDatabase" localSheetId="5" hidden="1">'06.17'!$I$12:$I$61</definedName>
    <definedName name="_xlnm._FilterDatabase" localSheetId="6" hidden="1">'07.17'!$I$12:$I$61</definedName>
    <definedName name="_xlnm._FilterDatabase" localSheetId="7" hidden="1">'08.17'!$I$12:$I$61</definedName>
    <definedName name="_xlnm._FilterDatabase" localSheetId="8" hidden="1">'09.17'!$I$12:$I$61</definedName>
    <definedName name="_xlnm._FilterDatabase" localSheetId="9" hidden="1">'10.17'!$I$12:$I$61</definedName>
    <definedName name="_xlnm._FilterDatabase" localSheetId="10" hidden="1">'11.17'!$I$12:$I$61</definedName>
    <definedName name="_xlnm._FilterDatabase" localSheetId="11" hidden="1">'12.17'!$I$12:$I$61</definedName>
    <definedName name="_xlnm.Print_Titles" localSheetId="4">'05.17'!$12:$13</definedName>
    <definedName name="_xlnm.Print_Area" localSheetId="0">'01.17'!$A$1:$I$115</definedName>
    <definedName name="_xlnm.Print_Area" localSheetId="1">'02.17'!$A$1:$I$113</definedName>
    <definedName name="_xlnm.Print_Area" localSheetId="2">'03.17'!$A$1:$I$111</definedName>
    <definedName name="_xlnm.Print_Area" localSheetId="3">'04.17'!$A$1:$I$134</definedName>
    <definedName name="_xlnm.Print_Area" localSheetId="4">'05.17'!$A$1:$I$111</definedName>
    <definedName name="_xlnm.Print_Area" localSheetId="5">'06.17'!$A$1:$I$118</definedName>
    <definedName name="_xlnm.Print_Area" localSheetId="6">'07.17'!$A$1:$I$113</definedName>
    <definedName name="_xlnm.Print_Area" localSheetId="7">'08.17'!$A$1:$I$116</definedName>
    <definedName name="_xlnm.Print_Area" localSheetId="8">'09.17'!$A$1:$I$119</definedName>
    <definedName name="_xlnm.Print_Area" localSheetId="9">'10.17'!$A$1:$I$121</definedName>
    <definedName name="_xlnm.Print_Area" localSheetId="10">'11.17'!$A$1:$I$111</definedName>
    <definedName name="_xlnm.Print_Area" localSheetId="11">'12.17'!$A$1:$I$114</definedName>
  </definedNames>
  <calcPr calcId="124519"/>
</workbook>
</file>

<file path=xl/calcChain.xml><?xml version="1.0" encoding="utf-8"?>
<calcChain xmlns="http://schemas.openxmlformats.org/spreadsheetml/2006/main">
  <c r="I84" i="28"/>
  <c r="I84" i="27"/>
  <c r="I94" i="22"/>
  <c r="F94"/>
  <c r="H94" s="1"/>
  <c r="I95"/>
  <c r="F43" i="20"/>
  <c r="H43" s="1"/>
  <c r="I43" i="19"/>
  <c r="F43"/>
  <c r="H43" s="1"/>
  <c r="I84" i="18"/>
  <c r="I84" i="17"/>
  <c r="I43" i="20" l="1"/>
  <c r="I74" i="28" l="1"/>
  <c r="I90"/>
  <c r="H90"/>
  <c r="I89"/>
  <c r="H89"/>
  <c r="I88"/>
  <c r="H88"/>
  <c r="I87"/>
  <c r="H87"/>
  <c r="I86"/>
  <c r="H86"/>
  <c r="F83"/>
  <c r="H83" s="1"/>
  <c r="H84" s="1"/>
  <c r="E83"/>
  <c r="F82"/>
  <c r="H82" s="1"/>
  <c r="H80"/>
  <c r="H78"/>
  <c r="H76"/>
  <c r="H75"/>
  <c r="H74"/>
  <c r="I72"/>
  <c r="H72"/>
  <c r="F71"/>
  <c r="I71" s="1"/>
  <c r="F70"/>
  <c r="H70" s="1"/>
  <c r="F69"/>
  <c r="I69" s="1"/>
  <c r="F68"/>
  <c r="H68" s="1"/>
  <c r="F67"/>
  <c r="I67" s="1"/>
  <c r="H66"/>
  <c r="I65"/>
  <c r="H65"/>
  <c r="F63"/>
  <c r="I63" s="1"/>
  <c r="H62"/>
  <c r="F62"/>
  <c r="H60"/>
  <c r="H59"/>
  <c r="F59"/>
  <c r="I59" s="1"/>
  <c r="H58"/>
  <c r="F58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H42"/>
  <c r="F42"/>
  <c r="I42" s="1"/>
  <c r="F41"/>
  <c r="H41" s="1"/>
  <c r="H40"/>
  <c r="F40"/>
  <c r="I40" s="1"/>
  <c r="H39"/>
  <c r="I38"/>
  <c r="H38"/>
  <c r="H36"/>
  <c r="H35"/>
  <c r="H34"/>
  <c r="F34"/>
  <c r="I34" s="1"/>
  <c r="F33"/>
  <c r="H33" s="1"/>
  <c r="H32"/>
  <c r="F32"/>
  <c r="I32" s="1"/>
  <c r="F31"/>
  <c r="H31" s="1"/>
  <c r="H28"/>
  <c r="F28"/>
  <c r="I28" s="1"/>
  <c r="F27"/>
  <c r="H27" s="1"/>
  <c r="H26"/>
  <c r="H25"/>
  <c r="F25"/>
  <c r="H24"/>
  <c r="F24"/>
  <c r="H23"/>
  <c r="F23"/>
  <c r="H22"/>
  <c r="F22"/>
  <c r="F21"/>
  <c r="H21" s="1"/>
  <c r="H20"/>
  <c r="F20"/>
  <c r="I20" s="1"/>
  <c r="H19"/>
  <c r="F19"/>
  <c r="F18"/>
  <c r="H18" s="1"/>
  <c r="H17"/>
  <c r="F17"/>
  <c r="I17" s="1"/>
  <c r="F16"/>
  <c r="H16" s="1"/>
  <c r="I88" i="27"/>
  <c r="H63" i="28" l="1"/>
  <c r="H69"/>
  <c r="H67"/>
  <c r="H71"/>
  <c r="I91"/>
  <c r="H50"/>
  <c r="I16"/>
  <c r="I18"/>
  <c r="I27"/>
  <c r="I31"/>
  <c r="I33"/>
  <c r="I41"/>
  <c r="I43"/>
  <c r="I57"/>
  <c r="I68"/>
  <c r="I70"/>
  <c r="I82"/>
  <c r="I83"/>
  <c r="I21"/>
  <c r="H79" l="1"/>
  <c r="I93"/>
  <c r="I87" i="27" l="1"/>
  <c r="H87"/>
  <c r="I86"/>
  <c r="H86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I65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97" i="26"/>
  <c r="I95"/>
  <c r="I96"/>
  <c r="I94"/>
  <c r="H97"/>
  <c r="H96"/>
  <c r="H95"/>
  <c r="H94"/>
  <c r="I93"/>
  <c r="H93"/>
  <c r="I91"/>
  <c r="I92"/>
  <c r="H92"/>
  <c r="H91"/>
  <c r="I90"/>
  <c r="H90"/>
  <c r="I89"/>
  <c r="H89"/>
  <c r="I88"/>
  <c r="H88"/>
  <c r="I87"/>
  <c r="H87"/>
  <c r="I86"/>
  <c r="F86"/>
  <c r="H86" s="1"/>
  <c r="I65"/>
  <c r="I88" i="18"/>
  <c r="H88"/>
  <c r="H82" i="27" l="1"/>
  <c r="H17"/>
  <c r="H34"/>
  <c r="H63"/>
  <c r="H28"/>
  <c r="H40"/>
  <c r="H59"/>
  <c r="H32"/>
  <c r="H20"/>
  <c r="H50"/>
  <c r="H42"/>
  <c r="I83"/>
  <c r="H83"/>
  <c r="H84" s="1"/>
  <c r="I16"/>
  <c r="I18"/>
  <c r="I21"/>
  <c r="I27"/>
  <c r="I31"/>
  <c r="I33"/>
  <c r="I41"/>
  <c r="I43"/>
  <c r="I57"/>
  <c r="I67"/>
  <c r="H68"/>
  <c r="I69"/>
  <c r="H70"/>
  <c r="I71"/>
  <c r="H79" l="1"/>
  <c r="I90"/>
  <c r="I94" i="25" l="1"/>
  <c r="I95"/>
  <c r="I93"/>
  <c r="I92"/>
  <c r="I91"/>
  <c r="I90"/>
  <c r="H95"/>
  <c r="H94"/>
  <c r="H93"/>
  <c r="H92"/>
  <c r="H91"/>
  <c r="H90"/>
  <c r="I88"/>
  <c r="I89"/>
  <c r="H89"/>
  <c r="H88"/>
  <c r="I87"/>
  <c r="H87"/>
  <c r="I86"/>
  <c r="F86"/>
  <c r="H86" s="1"/>
  <c r="I65"/>
  <c r="I93" i="24"/>
  <c r="I92"/>
  <c r="I90"/>
  <c r="I89"/>
  <c r="I88"/>
  <c r="I87"/>
  <c r="I86"/>
  <c r="F92"/>
  <c r="H92" s="1"/>
  <c r="H91"/>
  <c r="H90"/>
  <c r="H89"/>
  <c r="H88"/>
  <c r="H87"/>
  <c r="H86"/>
  <c r="I91"/>
  <c r="I84"/>
  <c r="I89" i="23"/>
  <c r="H89"/>
  <c r="I88"/>
  <c r="H88"/>
  <c r="I87"/>
  <c r="H87"/>
  <c r="I86"/>
  <c r="F86"/>
  <c r="H86" s="1"/>
  <c r="I93" i="22"/>
  <c r="I92"/>
  <c r="I91"/>
  <c r="I90"/>
  <c r="I89"/>
  <c r="I88"/>
  <c r="H93"/>
  <c r="F92"/>
  <c r="H92" s="1"/>
  <c r="F91"/>
  <c r="H91" s="1"/>
  <c r="H90"/>
  <c r="H89"/>
  <c r="H88"/>
  <c r="I87"/>
  <c r="H87"/>
  <c r="I86"/>
  <c r="F86"/>
  <c r="H86" s="1"/>
  <c r="I65"/>
  <c r="I87" i="21"/>
  <c r="H87"/>
  <c r="I86"/>
  <c r="F86"/>
  <c r="H86" s="1"/>
  <c r="I65"/>
  <c r="I53"/>
  <c r="I87" i="19"/>
  <c r="I86"/>
  <c r="H87"/>
  <c r="H86"/>
  <c r="I90" i="18"/>
  <c r="I89"/>
  <c r="H89"/>
  <c r="I87"/>
  <c r="H87"/>
  <c r="I86"/>
  <c r="F86"/>
  <c r="H86" s="1"/>
  <c r="F22"/>
  <c r="H22" s="1"/>
  <c r="F23"/>
  <c r="H23" s="1"/>
  <c r="F24"/>
  <c r="H24" s="1"/>
  <c r="F25"/>
  <c r="H25" s="1"/>
  <c r="H26"/>
  <c r="I92" i="17"/>
  <c r="F91"/>
  <c r="H91" s="1"/>
  <c r="I90"/>
  <c r="H90"/>
  <c r="F90"/>
  <c r="I89"/>
  <c r="H89"/>
  <c r="I88"/>
  <c r="H88"/>
  <c r="I87"/>
  <c r="F87"/>
  <c r="H87" s="1"/>
  <c r="I86"/>
  <c r="H86"/>
  <c r="I65"/>
  <c r="I91" l="1"/>
  <c r="I98" i="26" l="1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80" i="25"/>
  <c r="I53"/>
  <c r="I96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74" i="24"/>
  <c r="I65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74" i="23"/>
  <c r="I65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E83" i="22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52" i="23" l="1"/>
  <c r="I52"/>
  <c r="H51"/>
  <c r="I51"/>
  <c r="H82" i="22"/>
  <c r="I83" i="26"/>
  <c r="H83"/>
  <c r="H84" s="1"/>
  <c r="I16"/>
  <c r="H17"/>
  <c r="I18"/>
  <c r="H20"/>
  <c r="I21"/>
  <c r="I27"/>
  <c r="H28"/>
  <c r="I31"/>
  <c r="H32"/>
  <c r="I33"/>
  <c r="H34"/>
  <c r="H40"/>
  <c r="I41"/>
  <c r="H42"/>
  <c r="I43"/>
  <c r="H50"/>
  <c r="I57"/>
  <c r="H59"/>
  <c r="H63"/>
  <c r="I67"/>
  <c r="H68"/>
  <c r="I69"/>
  <c r="H70"/>
  <c r="I71"/>
  <c r="H82"/>
  <c r="H20" i="25"/>
  <c r="I48"/>
  <c r="I46"/>
  <c r="I49"/>
  <c r="I47"/>
  <c r="I51"/>
  <c r="I52"/>
  <c r="I83"/>
  <c r="H83"/>
  <c r="H84" s="1"/>
  <c r="I16"/>
  <c r="H17"/>
  <c r="I18"/>
  <c r="I21"/>
  <c r="I27"/>
  <c r="H28"/>
  <c r="I31"/>
  <c r="H32"/>
  <c r="I33"/>
  <c r="H34"/>
  <c r="H40"/>
  <c r="I41"/>
  <c r="H42"/>
  <c r="I43"/>
  <c r="H50"/>
  <c r="I57"/>
  <c r="H59"/>
  <c r="H63"/>
  <c r="I67"/>
  <c r="H68"/>
  <c r="I69"/>
  <c r="H70"/>
  <c r="I71"/>
  <c r="H82"/>
  <c r="I83" i="24"/>
  <c r="H83"/>
  <c r="H84" s="1"/>
  <c r="I16"/>
  <c r="H17"/>
  <c r="I18"/>
  <c r="H20"/>
  <c r="I21"/>
  <c r="I27"/>
  <c r="H28"/>
  <c r="I31"/>
  <c r="H32"/>
  <c r="I33"/>
  <c r="H34"/>
  <c r="H40"/>
  <c r="I41"/>
  <c r="H42"/>
  <c r="I43"/>
  <c r="H50"/>
  <c r="I57"/>
  <c r="H59"/>
  <c r="H63"/>
  <c r="I67"/>
  <c r="H68"/>
  <c r="I69"/>
  <c r="H70"/>
  <c r="I71"/>
  <c r="H82"/>
  <c r="I90" i="23"/>
  <c r="H17"/>
  <c r="I83"/>
  <c r="H83"/>
  <c r="H84" s="1"/>
  <c r="I16"/>
  <c r="I18"/>
  <c r="H20"/>
  <c r="I21"/>
  <c r="I27"/>
  <c r="H28"/>
  <c r="I31"/>
  <c r="H32"/>
  <c r="I33"/>
  <c r="H34"/>
  <c r="H40"/>
  <c r="I41"/>
  <c r="H42"/>
  <c r="I43"/>
  <c r="H50"/>
  <c r="I57"/>
  <c r="H59"/>
  <c r="H63"/>
  <c r="I67"/>
  <c r="H68"/>
  <c r="I69"/>
  <c r="H70"/>
  <c r="I71"/>
  <c r="H82"/>
  <c r="H63" i="22"/>
  <c r="H70"/>
  <c r="H34"/>
  <c r="H68"/>
  <c r="H59"/>
  <c r="H50"/>
  <c r="H40"/>
  <c r="H42"/>
  <c r="I83"/>
  <c r="H83"/>
  <c r="H84" s="1"/>
  <c r="I16"/>
  <c r="H17"/>
  <c r="I18"/>
  <c r="H20"/>
  <c r="I21"/>
  <c r="I27"/>
  <c r="H28"/>
  <c r="I31"/>
  <c r="H32"/>
  <c r="I33"/>
  <c r="I41"/>
  <c r="I43"/>
  <c r="I57"/>
  <c r="I67"/>
  <c r="I69"/>
  <c r="I71"/>
  <c r="I88" i="21"/>
  <c r="I75"/>
  <c r="I74"/>
  <c r="I26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65" i="20"/>
  <c r="H110"/>
  <c r="H109"/>
  <c r="H108"/>
  <c r="H107"/>
  <c r="H106"/>
  <c r="H105"/>
  <c r="H104"/>
  <c r="F103"/>
  <c r="H103" s="1"/>
  <c r="H102"/>
  <c r="H101"/>
  <c r="H100"/>
  <c r="H99"/>
  <c r="H98"/>
  <c r="H97"/>
  <c r="H96"/>
  <c r="H95"/>
  <c r="H94"/>
  <c r="H93"/>
  <c r="H92"/>
  <c r="H91"/>
  <c r="H90"/>
  <c r="H89"/>
  <c r="H88"/>
  <c r="H87"/>
  <c r="H86"/>
  <c r="I111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65" i="19"/>
  <c r="I88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I74" i="18"/>
  <c r="I65"/>
  <c r="I53"/>
  <c r="E83"/>
  <c r="F83" s="1"/>
  <c r="I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F63"/>
  <c r="I63" s="1"/>
  <c r="F62"/>
  <c r="H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H39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1"/>
  <c r="H21" s="1"/>
  <c r="F20"/>
  <c r="I20" s="1"/>
  <c r="F19"/>
  <c r="H19" s="1"/>
  <c r="F18"/>
  <c r="H18" s="1"/>
  <c r="F17"/>
  <c r="I17" s="1"/>
  <c r="F16"/>
  <c r="H16" s="1"/>
  <c r="I72" i="17"/>
  <c r="I84" i="26" l="1"/>
  <c r="I100" s="1"/>
  <c r="I84" i="25"/>
  <c r="I95" i="24"/>
  <c r="I84" i="23"/>
  <c r="I84" i="22"/>
  <c r="H79"/>
  <c r="H79" i="26"/>
  <c r="I98" i="25"/>
  <c r="H79"/>
  <c r="H79" i="24"/>
  <c r="H79" i="23"/>
  <c r="I92"/>
  <c r="I97" i="22"/>
  <c r="I19" i="21"/>
  <c r="I24"/>
  <c r="I46"/>
  <c r="I48"/>
  <c r="I22"/>
  <c r="I25"/>
  <c r="I23"/>
  <c r="I49"/>
  <c r="I47"/>
  <c r="I83"/>
  <c r="H83"/>
  <c r="H84" s="1"/>
  <c r="I16"/>
  <c r="H17"/>
  <c r="I18"/>
  <c r="H20"/>
  <c r="I21"/>
  <c r="I27"/>
  <c r="H28"/>
  <c r="I31"/>
  <c r="H32"/>
  <c r="I33"/>
  <c r="H34"/>
  <c r="H40"/>
  <c r="I41"/>
  <c r="H42"/>
  <c r="I43"/>
  <c r="H50"/>
  <c r="I57"/>
  <c r="H59"/>
  <c r="H63"/>
  <c r="I67"/>
  <c r="H68"/>
  <c r="I69"/>
  <c r="H70"/>
  <c r="I71"/>
  <c r="H82"/>
  <c r="I52" i="20"/>
  <c r="I51"/>
  <c r="I83"/>
  <c r="H83"/>
  <c r="H84" s="1"/>
  <c r="I16"/>
  <c r="H17"/>
  <c r="I18"/>
  <c r="H20"/>
  <c r="I21"/>
  <c r="I27"/>
  <c r="H28"/>
  <c r="I31"/>
  <c r="H32"/>
  <c r="I33"/>
  <c r="H34"/>
  <c r="H40"/>
  <c r="I41"/>
  <c r="H42"/>
  <c r="H50"/>
  <c r="I57"/>
  <c r="H59"/>
  <c r="H63"/>
  <c r="I67"/>
  <c r="H68"/>
  <c r="I69"/>
  <c r="H70"/>
  <c r="I71"/>
  <c r="H82"/>
  <c r="I83" i="19"/>
  <c r="H83"/>
  <c r="H84" s="1"/>
  <c r="I16"/>
  <c r="H17"/>
  <c r="I18"/>
  <c r="H20"/>
  <c r="I21"/>
  <c r="I27"/>
  <c r="H28"/>
  <c r="I31"/>
  <c r="H32"/>
  <c r="I33"/>
  <c r="H34"/>
  <c r="H40"/>
  <c r="I41"/>
  <c r="H42"/>
  <c r="H50"/>
  <c r="I57"/>
  <c r="H59"/>
  <c r="H63"/>
  <c r="I67"/>
  <c r="H68"/>
  <c r="I69"/>
  <c r="H70"/>
  <c r="I71"/>
  <c r="H82"/>
  <c r="H17" i="18"/>
  <c r="H20"/>
  <c r="I16"/>
  <c r="I18"/>
  <c r="I21"/>
  <c r="I27"/>
  <c r="H28"/>
  <c r="I31"/>
  <c r="H32"/>
  <c r="I33"/>
  <c r="H34"/>
  <c r="H40"/>
  <c r="I41"/>
  <c r="H42"/>
  <c r="I43"/>
  <c r="H50"/>
  <c r="I57"/>
  <c r="H59"/>
  <c r="H63"/>
  <c r="I67"/>
  <c r="H68"/>
  <c r="I69"/>
  <c r="H70"/>
  <c r="I71"/>
  <c r="H82"/>
  <c r="H83"/>
  <c r="H84" s="1"/>
  <c r="I84" i="21" l="1"/>
  <c r="I84" i="20"/>
  <c r="I113" s="1"/>
  <c r="I84" i="19"/>
  <c r="I92" i="18"/>
  <c r="I90" i="21"/>
  <c r="H79"/>
  <c r="H79" i="20"/>
  <c r="I90" i="19"/>
  <c r="H79"/>
  <c r="H79" i="18"/>
  <c r="E83" i="17" l="1"/>
  <c r="F83" s="1"/>
  <c r="F82"/>
  <c r="I82" s="1"/>
  <c r="H80"/>
  <c r="H78"/>
  <c r="H76"/>
  <c r="H75"/>
  <c r="H74"/>
  <c r="H72"/>
  <c r="F71"/>
  <c r="F70"/>
  <c r="F69"/>
  <c r="F68"/>
  <c r="F67"/>
  <c r="H66"/>
  <c r="H65"/>
  <c r="F63"/>
  <c r="H63" s="1"/>
  <c r="F62"/>
  <c r="H62" s="1"/>
  <c r="H60"/>
  <c r="F59"/>
  <c r="H59" s="1"/>
  <c r="F58"/>
  <c r="H58" s="1"/>
  <c r="F57"/>
  <c r="I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H39"/>
  <c r="I38"/>
  <c r="H38"/>
  <c r="F28"/>
  <c r="I28" s="1"/>
  <c r="H36"/>
  <c r="H35"/>
  <c r="F27"/>
  <c r="H27" s="1"/>
  <c r="F34"/>
  <c r="F33"/>
  <c r="F32"/>
  <c r="F3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68" l="1"/>
  <c r="I68"/>
  <c r="H70"/>
  <c r="I70"/>
  <c r="H67"/>
  <c r="I67"/>
  <c r="H69"/>
  <c r="I69"/>
  <c r="H71"/>
  <c r="I71"/>
  <c r="H34"/>
  <c r="I34"/>
  <c r="H31"/>
  <c r="I31"/>
  <c r="H33"/>
  <c r="I33"/>
  <c r="H32"/>
  <c r="I32"/>
  <c r="H82"/>
  <c r="I83"/>
  <c r="H83"/>
  <c r="H84" s="1"/>
  <c r="H16"/>
  <c r="I17"/>
  <c r="H18"/>
  <c r="I20"/>
  <c r="H21"/>
  <c r="I27"/>
  <c r="H28"/>
  <c r="I40"/>
  <c r="H41"/>
  <c r="I42"/>
  <c r="H43"/>
  <c r="H50"/>
  <c r="H57"/>
  <c r="H79" s="1"/>
  <c r="I59"/>
  <c r="I63"/>
  <c r="I94" l="1"/>
</calcChain>
</file>

<file path=xl/sharedStrings.xml><?xml version="1.0" encoding="utf-8"?>
<sst xmlns="http://schemas.openxmlformats.org/spreadsheetml/2006/main" count="2744" uniqueCount="272">
  <si>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</si>
  <si>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</si>
  <si>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</si>
  <si>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</si>
  <si>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</si>
  <si>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</si>
  <si>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</si>
  <si>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</si>
  <si>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</si>
  <si>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</si>
  <si>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</si>
  <si>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</si>
  <si>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</si>
  <si>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</si>
  <si>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</si>
  <si>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</si>
  <si>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</si>
  <si>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</si>
  <si>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</si>
  <si>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</si>
  <si>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</si>
  <si>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</si>
  <si>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</si>
  <si>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</si>
  <si>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</si>
  <si>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</si>
  <si>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</si>
  <si>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</si>
  <si>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</si>
  <si>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</si>
  <si>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</si>
  <si>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</si>
  <si>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</si>
  <si>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</si>
  <si>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</si>
  <si>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</si>
  <si>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</si>
  <si>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</si>
  <si>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</si>
  <si>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</si>
  <si>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</si>
  <si>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</si>
  <si>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</si>
  <si>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</si>
  <si>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</si>
  <si>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</si>
  <si>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</si>
  <si>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</si>
  <si>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</si>
  <si>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</si>
  <si>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</si>
  <si>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</si>
  <si>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</si>
  <si>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</si>
  <si>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</si>
  <si>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</si>
  <si>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</si>
  <si>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</si>
  <si>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</si>
  <si>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</si>
  <si>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</si>
  <si>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</si>
  <si>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</si>
  <si>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</si>
  <si>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</si>
  <si>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</si>
  <si>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</si>
  <si>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</si>
  <si>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</si>
  <si>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</si>
  <si>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</si>
  <si>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</si>
  <si>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</si>
  <si>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</si>
  <si>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</si>
  <si>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</si>
  <si>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</si>
  <si>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</si>
  <si>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</si>
  <si>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</si>
  <si>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за период с 01.02.2016 г. по 29.02.2016 г.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</si>
  <si>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</si>
  <si>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</si>
  <si>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</si>
  <si>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</si>
  <si>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</si>
  <si>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</si>
  <si>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</si>
  <si>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</si>
  <si>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</si>
  <si>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</si>
  <si>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</si>
  <si>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</si>
  <si>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</si>
  <si>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</si>
  <si>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</si>
  <si>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</si>
  <si>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</si>
  <si>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</si>
  <si>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</si>
  <si>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</si>
  <si>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</si>
  <si>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</si>
  <si>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</si>
  <si>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</si>
  <si>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</si>
  <si>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</si>
  <si>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</si>
  <si>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</si>
  <si>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</si>
  <si>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</si>
  <si>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</si>
  <si>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</si>
  <si>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</si>
  <si>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</si>
  <si>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</si>
  <si>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</si>
  <si>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</si>
  <si>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</si>
  <si>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</si>
  <si>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</si>
  <si>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</si>
  <si>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Подметание территории с усовершенствованным покрытием асф.: крыльца, контейнерн пл., проезд, тротуар</t>
  </si>
  <si>
    <t>Очистка  от мусора</t>
  </si>
  <si>
    <t>Дератизация</t>
  </si>
  <si>
    <t>Влажная протирка шкафов для щитов и слаботочн.ус.</t>
  </si>
  <si>
    <t>Прочистка каналов</t>
  </si>
  <si>
    <t>1 шт</t>
  </si>
  <si>
    <t>1 раз в 2  месяца</t>
  </si>
  <si>
    <t>Вывоз снега с придомовой территории</t>
  </si>
  <si>
    <t>1м3</t>
  </si>
  <si>
    <t>по мере необходимости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</si>
  <si>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</si>
  <si>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</si>
  <si>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</si>
  <si>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</si>
  <si>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</si>
  <si>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</si>
  <si>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</si>
  <si>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</si>
  <si>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Смена арматуры - вентилей и клапанов обратных муфтовых диаметром до 20 мм</t>
  </si>
  <si>
    <t>Внеплановый осмотр электросетей, армазуры и электрооборудования на лестничных клетках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</si>
  <si>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ул.Советская пгт.Ярега
</t>
  </si>
  <si>
    <t>Устройство хомута диаметром до 50 мм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</si>
  <si>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</si>
  <si>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</si>
  <si>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</si>
  <si>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</si>
  <si>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III. Содержание общего имущества МКД</t>
  </si>
  <si>
    <t>IV. Прочие услуги</t>
  </si>
  <si>
    <t>АКТ №1</t>
  </si>
  <si>
    <t xml:space="preserve">Смена сгонов у трубопроводов диаметром до 20 мм </t>
  </si>
  <si>
    <t>1 сгон</t>
  </si>
  <si>
    <t>м</t>
  </si>
  <si>
    <t>Мелкий ремонт электропроводки</t>
  </si>
  <si>
    <t>Смена отдельных участков внутренней проводки</t>
  </si>
  <si>
    <t>Смена выключателей</t>
  </si>
  <si>
    <t>Смена частей водосточных труб - отливы</t>
  </si>
  <si>
    <t>Установка железной двери (вход на крышу 2п.)</t>
  </si>
  <si>
    <t>тыс.руб.</t>
  </si>
  <si>
    <t>Ремонт квартиры после затопления ГВС (кв.36)</t>
  </si>
  <si>
    <t>Смена вентилей диаметром до 32 мм (без материалов)</t>
  </si>
  <si>
    <t xml:space="preserve">Смена полиэтиленовых канализационных труб 110×1000 мм </t>
  </si>
  <si>
    <t xml:space="preserve">Смена полиэтиленовых канализационных труб 110×2000 мм </t>
  </si>
  <si>
    <t>Манжета 100</t>
  </si>
  <si>
    <t>Переход чугун-пластик 100</t>
  </si>
  <si>
    <t>Муфта 100</t>
  </si>
  <si>
    <t>Патрубок компенсационный 100</t>
  </si>
  <si>
    <t>Смена трубопроводов на полиропиленовые трубы PN25 диаметром 25 мм</t>
  </si>
  <si>
    <t>Смена трубопроводов на полиропиленовые трубы PN20 диаметром 25 мм</t>
  </si>
  <si>
    <t>Смена трубопроводов на полиропиленовые трубы PN25 диаметром 20 мм</t>
  </si>
  <si>
    <t>Настройка таймера освещения ТО-2</t>
  </si>
  <si>
    <t>100шт</t>
  </si>
  <si>
    <t>Ремонт силового предохранительного шкафа (без стоимости материалов)</t>
  </si>
  <si>
    <t>Ремонт ограждений контейнерной площадки</t>
  </si>
  <si>
    <t xml:space="preserve">Герметизация стыков трубопроводов    </t>
  </si>
  <si>
    <t>1 место</t>
  </si>
  <si>
    <t>Смена отдельных участков наружной проводки</t>
  </si>
  <si>
    <t>Смена патронов</t>
  </si>
  <si>
    <t>Ремонт лотка ливневки</t>
  </si>
  <si>
    <t>Отвод 100×90°</t>
  </si>
  <si>
    <t>Отвод 100×45°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</si>
  <si>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</si>
  <si>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</si>
  <si>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</si>
  <si>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</si>
  <si>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</si>
  <si>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</si>
  <si>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</si>
  <si>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</si>
  <si>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</si>
  <si>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</si>
  <si>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за период с 01.01.2017 г. по 31.01.2017 г.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</si>
  <si>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</t>
    </r>
  </si>
  <si>
    <r>
      <t xml:space="preserve">    Собственники помещений в многоквартирном доме, расположенном по адресу:  пгт.Ярега,  ул.Строительная,  д.9,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</si>
  <si>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 xml:space="preserve">24 раза в год </t>
  </si>
  <si>
    <t>104 раза в год</t>
  </si>
  <si>
    <t>156 раз в год</t>
  </si>
  <si>
    <t xml:space="preserve">ежедневно </t>
  </si>
  <si>
    <t>Смена внутренних трубопроводов диаметром до 25 мм (без стоимости материалов)</t>
  </si>
  <si>
    <t>Прочистка засоров канализации, XВC</t>
  </si>
  <si>
    <t>3м</t>
  </si>
  <si>
    <t>Перенос домофона</t>
  </si>
  <si>
    <t>Осмотр элекгросетей, арматуры и электрооборудования на чердаках и подвалах</t>
  </si>
  <si>
    <t>Очистка фановой трубы от наледи</t>
  </si>
  <si>
    <t>Итого затраты за месяц</t>
  </si>
  <si>
    <t>Смена вентилей диаметром до 32 мм (без стоимости материалов)</t>
  </si>
  <si>
    <t>за период с 01.03.2017 г. по 31.03.2017 г.</t>
  </si>
  <si>
    <t xml:space="preserve">Ремонт дверных полотен </t>
  </si>
  <si>
    <t>Внеплановый осмотр вводных электрических щитков</t>
  </si>
  <si>
    <t>2. Всего за период с 01.03.2017 по 31.03.2017 выполнено работ (оказано услуг) на общую сумму: 42768,86 руб.</t>
  </si>
  <si>
    <t>(сорок две тысячи семьсот шестьдесят восемь рублей 86 копеек)</t>
  </si>
  <si>
    <t>за период с 01.04.2017 г. по 30.04.2017 г.</t>
  </si>
  <si>
    <t>2. Всего за период с 01.04.2017 по 30.04.2017 выполнено работ (оказано услуг) на общую сумму: 47065,94 руб.</t>
  </si>
  <si>
    <t>(сорок семь тысяч шестьдесят пять рублей 94 копейки)</t>
  </si>
  <si>
    <t>за период с 01.05.2017 г. по 31.05.2017 г.</t>
  </si>
  <si>
    <t>52 раза в сезон</t>
  </si>
  <si>
    <t>78 раз за сезон</t>
  </si>
  <si>
    <t>2. Всего за период с 01.05.2017 по 31.05.2017 выполнено работ (оказано услуг) на общую сумму: 93545,82 руб.</t>
  </si>
  <si>
    <t>(девяносто три тысячи пятьсот сорок пять рублей 82 копейки)</t>
  </si>
  <si>
    <t>за период с 01.06.2017 г. по 30.06.2017 г.</t>
  </si>
  <si>
    <t>Смена дверных приборов - петли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</si>
  <si>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</si>
  <si>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10 м2</t>
  </si>
  <si>
    <t>Работа автовышки</t>
  </si>
  <si>
    <t>маш/час</t>
  </si>
  <si>
    <t>за период с 01.07.2017 г. по 31.07.2017 г.</t>
  </si>
  <si>
    <t>Смена плавкой вставки</t>
  </si>
  <si>
    <t>2. Всего за период с 01.07.2017 по 31.07.2017 выполнено работ (оказано услуг) на общую сумму: 47818,86 руб.</t>
  </si>
  <si>
    <t>(сорок семь тысяч восемьсот восемнадцать рублей 86 копеек)</t>
  </si>
  <si>
    <t>за период с 01.08.2017 г. по 31.08.2017 г.</t>
  </si>
  <si>
    <t>Отвод 110*45°</t>
  </si>
  <si>
    <t>Отвод 110*90°</t>
  </si>
  <si>
    <t xml:space="preserve">Переход чугун-пластик Ду 110 </t>
  </si>
  <si>
    <t>Манжета 110 мм</t>
  </si>
  <si>
    <t>Простая масляная окраска ранее окрашенных входных металлических дверей (I, II под.)</t>
  </si>
  <si>
    <t>Патрубок компенсационный ПП Ду 100</t>
  </si>
  <si>
    <t>2. Всего за период с 01.08.2017 по 31.08.2017 выполнено работ (оказано услуг) на общую сумму: 49214,82 руб.</t>
  </si>
  <si>
    <t>(сорок девять тысяч двести четырнадцать рублей 82 копейки)</t>
  </si>
  <si>
    <t>за период с 01.09.2017 г. по 30.09.2017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</si>
  <si>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</si>
  <si>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</si>
  <si>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Установка заглушек диаметром трубопроводов до 100 мм</t>
  </si>
  <si>
    <t>заглушка</t>
  </si>
  <si>
    <t>2. Всего за период с 01.09.2017 по 30.09.2017 выполнено работ (оказано услуг) на общую сумму: 57238,53 руб.</t>
  </si>
  <si>
    <t>(пятьдесят тсемь тысяч двести тридцать восемь рублей 53 копейки)</t>
  </si>
  <si>
    <t>за период с 01.10.2017 г. по 31.10.2017 г.</t>
  </si>
  <si>
    <t>Смена внутренних трубопроводов из стальных труб диаметром до 25 мм (без стоимости материалов)</t>
  </si>
  <si>
    <t>Смена арматуры - вентилей и клапанов обратных муфтовых диаметром до 32 мм</t>
  </si>
  <si>
    <t>Смена сгонов у трубопроводов диаметром до  32 мм</t>
  </si>
  <si>
    <t>Тройник 100-90°</t>
  </si>
  <si>
    <t>2. Всего за период с 01.10.2017 по 31.10.2017 выполнено работ (оказано услуг) на общую сумму: 58576,44 руб.</t>
  </si>
  <si>
    <t>(пятьдесят восемь тысяч пятьсот семьдесят шесть рублей 44 копейки)</t>
  </si>
  <si>
    <t>АКТ №11</t>
  </si>
  <si>
    <t>за период с 01.11.2017 г. по 30.11.2017 г.</t>
  </si>
  <si>
    <t>1 раз в 2 месяца</t>
  </si>
  <si>
    <t>АКТ №12</t>
  </si>
  <si>
    <t>за период с 01.12.2017 г. по 31.12.2017 г.</t>
  </si>
  <si>
    <t>Смена трубопроводов на полипропиленовые трубы PN25 диаметром до 32 мм</t>
  </si>
  <si>
    <t>1м</t>
  </si>
  <si>
    <t>2. Всего за период с 01.01.2017 по 31.01.2017 выполнено работ (оказано услуг) на общую сумму: 53244,53 руб.</t>
  </si>
  <si>
    <t>(пятьдесят три тысячи двести сорок четыре рубля 53 копейки)</t>
  </si>
  <si>
    <t>2. Всего за период с 01.02.2017 по 28.02.2017 выполнено работ (оказано услуг) на общую сумму: 47567,29 руб.</t>
  </si>
  <si>
    <t>(сорок семь тысяч пятьсот шестьдесят семь рублей 29 копеек)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</si>
  <si>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</si>
  <si>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</si>
  <si>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64205,73 руб.</t>
  </si>
  <si>
    <t>(шестьдесят четыре тысячи двести пять рублей 73 копейки)</t>
  </si>
  <si>
    <t>2. Всего за период с 01.11.2017 по 30.11.2017 выполнено работ (оказано услуг) на общую сумму: 41438,87 руб.</t>
  </si>
  <si>
    <t>(сорок одна тысяча четыреста тридцать восемь рублей 87 копеек)</t>
  </si>
  <si>
    <t>2. Всего за период с 01.12.2017 по 31.12.2017 выполнено работ (оказано услуг) на общую сумму: 60673,18 руб.</t>
  </si>
  <si>
    <t>(шестьдесят тысяч шестьсот семьдесят три рубля 18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</si>
</sst>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150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192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42766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hidden="1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8" t="s">
        <v>108</v>
      </c>
      <c r="C31" s="69" t="s">
        <v>91</v>
      </c>
      <c r="D31" s="68" t="s">
        <v>105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hidden="1" customHeight="1">
      <c r="A32" s="33">
        <v>9</v>
      </c>
      <c r="B32" s="68" t="s">
        <v>122</v>
      </c>
      <c r="C32" s="69" t="s">
        <v>91</v>
      </c>
      <c r="D32" s="68" t="s">
        <v>106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hidden="1" customHeight="1">
      <c r="A34" s="33">
        <v>10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customHeight="1">
      <c r="A44" s="33">
        <v>12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customHeight="1">
      <c r="A50" s="33">
        <v>13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customHeight="1">
      <c r="A57" s="33">
        <v>14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customHeight="1">
      <c r="A59" s="33">
        <v>15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16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17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G65*4</f>
        <v>950.96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18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19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I16+I17+I18+I20+I21+I27+I28+I38+I40+I41+I42+I44+I50+I57+I59+I63+I65+I82+I83</f>
        <v>43897.566409999999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31.5" customHeight="1">
      <c r="A86" s="33">
        <v>20</v>
      </c>
      <c r="B86" s="49" t="s">
        <v>199</v>
      </c>
      <c r="C86" s="53" t="s">
        <v>81</v>
      </c>
      <c r="D86" s="46"/>
      <c r="E86" s="13"/>
      <c r="F86" s="13">
        <v>6</v>
      </c>
      <c r="G86" s="13">
        <v>897.94</v>
      </c>
      <c r="H86" s="66">
        <f>G86*F86/1000</f>
        <v>5.3876400000000002</v>
      </c>
      <c r="I86" s="13">
        <f>G86*6</f>
        <v>5387.64</v>
      </c>
    </row>
    <row r="87" spans="1:9" ht="15.75" customHeight="1">
      <c r="A87" s="33">
        <v>21</v>
      </c>
      <c r="B87" s="100" t="s">
        <v>200</v>
      </c>
      <c r="C87" s="101" t="s">
        <v>201</v>
      </c>
      <c r="D87" s="46"/>
      <c r="E87" s="13"/>
      <c r="F87" s="13">
        <f>(3+3+3+3+10+20+13)/3</f>
        <v>18.333333333333332</v>
      </c>
      <c r="G87" s="13">
        <v>1120.8900000000001</v>
      </c>
      <c r="H87" s="66">
        <f>G87*F87/1000</f>
        <v>20.54965</v>
      </c>
      <c r="I87" s="13">
        <f>G87</f>
        <v>1120.8900000000001</v>
      </c>
    </row>
    <row r="88" spans="1:9" ht="15.75" customHeight="1">
      <c r="A88" s="33">
        <v>22</v>
      </c>
      <c r="B88" s="49" t="s">
        <v>202</v>
      </c>
      <c r="C88" s="53" t="s">
        <v>153</v>
      </c>
      <c r="D88" s="46"/>
      <c r="E88" s="13"/>
      <c r="F88" s="13">
        <v>20</v>
      </c>
      <c r="G88" s="13">
        <v>136.01</v>
      </c>
      <c r="H88" s="66">
        <f>G88*F88/1000</f>
        <v>2.7201999999999997</v>
      </c>
      <c r="I88" s="13">
        <f>G88*20</f>
        <v>2720.2</v>
      </c>
    </row>
    <row r="89" spans="1:9" ht="15.75" customHeight="1">
      <c r="A89" s="33">
        <v>23</v>
      </c>
      <c r="B89" s="49" t="s">
        <v>154</v>
      </c>
      <c r="C89" s="87" t="s">
        <v>81</v>
      </c>
      <c r="D89" s="46"/>
      <c r="E89" s="13"/>
      <c r="F89" s="13">
        <v>2</v>
      </c>
      <c r="G89" s="13">
        <v>18.97</v>
      </c>
      <c r="H89" s="66">
        <f>G89*F89/1000</f>
        <v>3.7939999999999995E-2</v>
      </c>
      <c r="I89" s="13">
        <f>G89*2</f>
        <v>37.94</v>
      </c>
    </row>
    <row r="90" spans="1:9" ht="31.5" customHeight="1">
      <c r="A90" s="33">
        <v>24</v>
      </c>
      <c r="B90" s="49" t="s">
        <v>203</v>
      </c>
      <c r="C90" s="53" t="s">
        <v>29</v>
      </c>
      <c r="D90" s="46"/>
      <c r="E90" s="13"/>
      <c r="F90" s="17">
        <f>2/1000</f>
        <v>2E-3</v>
      </c>
      <c r="G90" s="13">
        <v>1591.6</v>
      </c>
      <c r="H90" s="102">
        <f t="shared" ref="H90:H91" si="7">G90*F90/1000</f>
        <v>3.1831999999999997E-3</v>
      </c>
      <c r="I90" s="13">
        <f>G90*0.002</f>
        <v>3.1831999999999998</v>
      </c>
    </row>
    <row r="91" spans="1:9" ht="15.75" customHeight="1">
      <c r="A91" s="33">
        <v>25</v>
      </c>
      <c r="B91" s="68" t="s">
        <v>204</v>
      </c>
      <c r="C91" s="69" t="s">
        <v>89</v>
      </c>
      <c r="D91" s="68"/>
      <c r="E91" s="70"/>
      <c r="F91" s="71">
        <f>SUM(3.8/100)</f>
        <v>3.7999999999999999E-2</v>
      </c>
      <c r="G91" s="13">
        <v>2029.3</v>
      </c>
      <c r="H91" s="66">
        <f t="shared" si="7"/>
        <v>7.7113399999999999E-2</v>
      </c>
      <c r="I91" s="13">
        <f>F91*G91</f>
        <v>77.113399999999999</v>
      </c>
    </row>
    <row r="92" spans="1:9" ht="15.75" customHeight="1">
      <c r="A92" s="33"/>
      <c r="B92" s="44" t="s">
        <v>50</v>
      </c>
      <c r="C92" s="40"/>
      <c r="D92" s="47"/>
      <c r="E92" s="40">
        <v>1</v>
      </c>
      <c r="F92" s="40"/>
      <c r="G92" s="40"/>
      <c r="H92" s="40"/>
      <c r="I92" s="35">
        <f>SUM(I86:I91)</f>
        <v>9346.9665999999997</v>
      </c>
    </row>
    <row r="93" spans="1:9" ht="15.75" customHeight="1">
      <c r="A93" s="33"/>
      <c r="B93" s="46" t="s">
        <v>78</v>
      </c>
      <c r="C93" s="15"/>
      <c r="D93" s="15"/>
      <c r="E93" s="41"/>
      <c r="F93" s="41"/>
      <c r="G93" s="42"/>
      <c r="H93" s="42"/>
      <c r="I93" s="18">
        <v>0</v>
      </c>
    </row>
    <row r="94" spans="1:9" ht="15.75" customHeight="1">
      <c r="A94" s="48"/>
      <c r="B94" s="45" t="s">
        <v>205</v>
      </c>
      <c r="C94" s="36"/>
      <c r="D94" s="36"/>
      <c r="E94" s="36"/>
      <c r="F94" s="36"/>
      <c r="G94" s="36"/>
      <c r="H94" s="36"/>
      <c r="I94" s="43">
        <f>I84+I92</f>
        <v>53244.533009999999</v>
      </c>
    </row>
    <row r="95" spans="1:9" ht="15.75" customHeight="1">
      <c r="A95" s="124" t="s">
        <v>260</v>
      </c>
      <c r="B95" s="124"/>
      <c r="C95" s="124"/>
      <c r="D95" s="124"/>
      <c r="E95" s="124"/>
      <c r="F95" s="124"/>
      <c r="G95" s="124"/>
      <c r="H95" s="124"/>
      <c r="I95" s="124"/>
    </row>
    <row r="96" spans="1:9" ht="15.75" customHeight="1">
      <c r="A96" s="60"/>
      <c r="B96" s="125" t="s">
        <v>261</v>
      </c>
      <c r="C96" s="125"/>
      <c r="D96" s="125"/>
      <c r="E96" s="125"/>
      <c r="F96" s="125"/>
      <c r="G96" s="125"/>
      <c r="H96" s="65"/>
      <c r="I96" s="3"/>
    </row>
    <row r="97" spans="1:9" ht="15.75" customHeight="1">
      <c r="A97" s="56"/>
      <c r="B97" s="126" t="s">
        <v>6</v>
      </c>
      <c r="C97" s="126"/>
      <c r="D97" s="126"/>
      <c r="E97" s="126"/>
      <c r="F97" s="126"/>
      <c r="G97" s="126"/>
      <c r="H97" s="28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27" t="s">
        <v>7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 customHeight="1">
      <c r="A100" s="127" t="s">
        <v>8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5.75">
      <c r="A101" s="131" t="s">
        <v>60</v>
      </c>
      <c r="B101" s="131"/>
      <c r="C101" s="131"/>
      <c r="D101" s="131"/>
      <c r="E101" s="131"/>
      <c r="F101" s="131"/>
      <c r="G101" s="131"/>
      <c r="H101" s="131"/>
      <c r="I101" s="131"/>
    </row>
    <row r="102" spans="1:9" ht="15.75" customHeight="1">
      <c r="A102" s="11"/>
    </row>
    <row r="103" spans="1:9" ht="15.75" customHeight="1">
      <c r="A103" s="132" t="s">
        <v>9</v>
      </c>
      <c r="B103" s="132"/>
      <c r="C103" s="132"/>
      <c r="D103" s="132"/>
      <c r="E103" s="132"/>
      <c r="F103" s="132"/>
      <c r="G103" s="132"/>
      <c r="H103" s="132"/>
      <c r="I103" s="132"/>
    </row>
    <row r="104" spans="1:9" ht="15.75" customHeight="1">
      <c r="A104" s="4"/>
    </row>
    <row r="105" spans="1:9" ht="15.75" customHeight="1">
      <c r="B105" s="57" t="s">
        <v>10</v>
      </c>
      <c r="C105" s="133" t="s">
        <v>147</v>
      </c>
      <c r="D105" s="133"/>
      <c r="E105" s="133"/>
      <c r="F105" s="63"/>
      <c r="I105" s="55"/>
    </row>
    <row r="106" spans="1:9" ht="15.75" customHeight="1">
      <c r="A106" s="56"/>
      <c r="C106" s="126" t="s">
        <v>11</v>
      </c>
      <c r="D106" s="126"/>
      <c r="E106" s="126"/>
      <c r="F106" s="28"/>
      <c r="I106" s="54" t="s">
        <v>12</v>
      </c>
    </row>
    <row r="107" spans="1:9" ht="15.75" customHeight="1">
      <c r="A107" s="29"/>
      <c r="C107" s="12"/>
      <c r="D107" s="12"/>
      <c r="G107" s="12"/>
      <c r="H107" s="12"/>
    </row>
    <row r="108" spans="1:9" ht="15.75" customHeight="1">
      <c r="B108" s="57" t="s">
        <v>13</v>
      </c>
      <c r="C108" s="120"/>
      <c r="D108" s="120"/>
      <c r="E108" s="120"/>
      <c r="F108" s="64"/>
      <c r="I108" s="55"/>
    </row>
    <row r="109" spans="1:9">
      <c r="A109" s="56"/>
      <c r="C109" s="113" t="s">
        <v>11</v>
      </c>
      <c r="D109" s="113"/>
      <c r="E109" s="113"/>
      <c r="F109" s="56"/>
      <c r="I109" s="54" t="s">
        <v>12</v>
      </c>
    </row>
    <row r="110" spans="1:9" ht="15.75" customHeight="1">
      <c r="A110" s="4" t="s">
        <v>14</v>
      </c>
    </row>
    <row r="111" spans="1:9" ht="15.75" customHeight="1">
      <c r="A111" s="134" t="s">
        <v>15</v>
      </c>
      <c r="B111" s="134"/>
      <c r="C111" s="134"/>
      <c r="D111" s="134"/>
      <c r="E111" s="134"/>
      <c r="F111" s="134"/>
      <c r="G111" s="134"/>
      <c r="H111" s="134"/>
      <c r="I111" s="134"/>
    </row>
    <row r="112" spans="1:9" ht="45" customHeight="1">
      <c r="A112" s="135" t="s">
        <v>16</v>
      </c>
      <c r="B112" s="135"/>
      <c r="C112" s="135"/>
      <c r="D112" s="135"/>
      <c r="E112" s="135"/>
      <c r="F112" s="135"/>
      <c r="G112" s="135"/>
      <c r="H112" s="135"/>
      <c r="I112" s="135"/>
    </row>
    <row r="113" spans="1:9" ht="30" customHeight="1">
      <c r="A113" s="135" t="s">
        <v>17</v>
      </c>
      <c r="B113" s="135"/>
      <c r="C113" s="135"/>
      <c r="D113" s="135"/>
      <c r="E113" s="135"/>
      <c r="F113" s="135"/>
      <c r="G113" s="135"/>
      <c r="H113" s="135"/>
      <c r="I113" s="135"/>
    </row>
    <row r="114" spans="1:9" ht="30" customHeight="1">
      <c r="A114" s="135" t="s">
        <v>21</v>
      </c>
      <c r="B114" s="135"/>
      <c r="C114" s="135"/>
      <c r="D114" s="135"/>
      <c r="E114" s="135"/>
      <c r="F114" s="135"/>
      <c r="G114" s="135"/>
      <c r="H114" s="135"/>
      <c r="I114" s="135"/>
    </row>
    <row r="115" spans="1:9" ht="15" customHeight="1">
      <c r="A115" s="135" t="s">
        <v>20</v>
      </c>
      <c r="B115" s="135"/>
      <c r="C115" s="135"/>
      <c r="D115" s="135"/>
      <c r="E115" s="135"/>
      <c r="F115" s="135"/>
      <c r="G115" s="135"/>
      <c r="H115" s="135"/>
      <c r="I115" s="135"/>
    </row>
  </sheetData>
  <autoFilter ref="I12:I61"/>
  <mergeCells count="29">
    <mergeCell ref="A111:I111"/>
    <mergeCell ref="A112:I112"/>
    <mergeCell ref="A113:I113"/>
    <mergeCell ref="A114:I114"/>
    <mergeCell ref="A115:I115"/>
    <mergeCell ref="C108:E108"/>
    <mergeCell ref="C109:E109"/>
    <mergeCell ref="A81:I81"/>
    <mergeCell ref="A95:I95"/>
    <mergeCell ref="B96:G96"/>
    <mergeCell ref="B97:G97"/>
    <mergeCell ref="A99:I99"/>
    <mergeCell ref="A100:I100"/>
    <mergeCell ref="A85:I85"/>
    <mergeCell ref="A101:I101"/>
    <mergeCell ref="A103:I103"/>
    <mergeCell ref="C105:E105"/>
    <mergeCell ref="C106:E106"/>
    <mergeCell ref="A15:I15"/>
    <mergeCell ref="A45:I45"/>
    <mergeCell ref="A55:I55"/>
    <mergeCell ref="R66:U66"/>
    <mergeCell ref="A3:I3"/>
    <mergeCell ref="A4:I4"/>
    <mergeCell ref="A5:I5"/>
    <mergeCell ref="A8:I8"/>
    <mergeCell ref="A10:I10"/>
    <mergeCell ref="A14:I14"/>
    <mergeCell ref="A29:I2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191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246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43039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customHeight="1">
      <c r="A31" s="33">
        <v>7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customHeight="1">
      <c r="A32" s="33">
        <v>8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customHeight="1">
      <c r="A34" s="33">
        <v>9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hidden="1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hidden="1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hidden="1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hidden="1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hidden="1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hidden="1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hidden="1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148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hidden="1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hidden="1" customHeight="1">
      <c r="A59" s="33">
        <v>17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10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11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customHeight="1">
      <c r="A80" s="33">
        <v>12</v>
      </c>
      <c r="B80" s="90" t="s">
        <v>116</v>
      </c>
      <c r="C80" s="24"/>
      <c r="D80" s="23"/>
      <c r="E80" s="62"/>
      <c r="F80" s="91">
        <v>1</v>
      </c>
      <c r="G80" s="13">
        <v>7812.7</v>
      </c>
      <c r="H80" s="66">
        <f>G80*F80/1000</f>
        <v>7.8126999999999995</v>
      </c>
      <c r="I80" s="13">
        <v>2116.6999999999998</v>
      </c>
    </row>
    <row r="81" spans="1:9" ht="15" customHeight="1">
      <c r="A81" s="121" t="s">
        <v>149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13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14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I16+I17+I18+I20+I27+I28+I31+I32+I34+I63+I65+I80+I82+I83</f>
        <v>39463.81822666667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15</v>
      </c>
      <c r="B86" s="100" t="s">
        <v>200</v>
      </c>
      <c r="C86" s="101" t="s">
        <v>201</v>
      </c>
      <c r="D86" s="46"/>
      <c r="E86" s="13"/>
      <c r="F86" s="13">
        <f>(3+3+3+3+10+20+13+15)/3</f>
        <v>23.333333333333332</v>
      </c>
      <c r="G86" s="13">
        <v>1120.8900000000001</v>
      </c>
      <c r="H86" s="66">
        <f>G86*F86/1000</f>
        <v>26.154100000000003</v>
      </c>
      <c r="I86" s="13">
        <f>G86*(15/3)</f>
        <v>5604.4500000000007</v>
      </c>
    </row>
    <row r="87" spans="1:9" ht="15.75" customHeight="1">
      <c r="A87" s="33">
        <v>16</v>
      </c>
      <c r="B87" s="49" t="s">
        <v>143</v>
      </c>
      <c r="C87" s="53" t="s">
        <v>84</v>
      </c>
      <c r="D87" s="38"/>
      <c r="E87" s="18"/>
      <c r="F87" s="37">
        <v>9</v>
      </c>
      <c r="G87" s="37">
        <v>195.85</v>
      </c>
      <c r="H87" s="99">
        <f>G87*F87/1000</f>
        <v>1.7626499999999998</v>
      </c>
      <c r="I87" s="13">
        <f>G87</f>
        <v>195.85</v>
      </c>
    </row>
    <row r="88" spans="1:9" ht="31.5" customHeight="1">
      <c r="A88" s="33">
        <v>17</v>
      </c>
      <c r="B88" s="49" t="s">
        <v>140</v>
      </c>
      <c r="C88" s="53" t="s">
        <v>127</v>
      </c>
      <c r="D88" s="38"/>
      <c r="E88" s="18"/>
      <c r="F88" s="37">
        <v>15</v>
      </c>
      <c r="G88" s="37">
        <v>589.84</v>
      </c>
      <c r="H88" s="99">
        <f t="shared" ref="H88" si="7">G88*F88/1000</f>
        <v>8.8475999999999999</v>
      </c>
      <c r="I88" s="13">
        <f>G88*(2+1)</f>
        <v>1769.52</v>
      </c>
    </row>
    <row r="89" spans="1:9" ht="31.5" customHeight="1">
      <c r="A89" s="33">
        <v>18</v>
      </c>
      <c r="B89" s="49" t="s">
        <v>163</v>
      </c>
      <c r="C89" s="53" t="s">
        <v>81</v>
      </c>
      <c r="D89" s="98"/>
      <c r="E89" s="37"/>
      <c r="F89" s="37">
        <v>10</v>
      </c>
      <c r="G89" s="37">
        <v>1046.06</v>
      </c>
      <c r="H89" s="99">
        <f t="shared" ref="H89:H97" si="8">G89*F89/1000</f>
        <v>10.460599999999998</v>
      </c>
      <c r="I89" s="13">
        <f>G89*6</f>
        <v>6276.36</v>
      </c>
    </row>
    <row r="90" spans="1:9" ht="15.75" customHeight="1">
      <c r="A90" s="33">
        <v>19</v>
      </c>
      <c r="B90" s="49" t="s">
        <v>231</v>
      </c>
      <c r="C90" s="53" t="s">
        <v>110</v>
      </c>
      <c r="D90" s="98"/>
      <c r="E90" s="37"/>
      <c r="F90" s="37">
        <v>4</v>
      </c>
      <c r="G90" s="37">
        <v>61</v>
      </c>
      <c r="H90" s="99">
        <f t="shared" si="8"/>
        <v>0.24399999999999999</v>
      </c>
      <c r="I90" s="13">
        <f>G90*2</f>
        <v>122</v>
      </c>
    </row>
    <row r="91" spans="1:9" ht="15.75" customHeight="1">
      <c r="A91" s="33">
        <v>20</v>
      </c>
      <c r="B91" s="49" t="s">
        <v>233</v>
      </c>
      <c r="C91" s="53" t="s">
        <v>110</v>
      </c>
      <c r="D91" s="38"/>
      <c r="E91" s="18"/>
      <c r="F91" s="37">
        <v>4</v>
      </c>
      <c r="G91" s="37">
        <v>140</v>
      </c>
      <c r="H91" s="99">
        <f t="shared" si="8"/>
        <v>0.56000000000000005</v>
      </c>
      <c r="I91" s="13">
        <f t="shared" ref="I91:I92" si="9">G91*2</f>
        <v>280</v>
      </c>
    </row>
    <row r="92" spans="1:9" ht="15.75" customHeight="1">
      <c r="A92" s="33">
        <v>21</v>
      </c>
      <c r="B92" s="49" t="s">
        <v>234</v>
      </c>
      <c r="C92" s="53" t="s">
        <v>110</v>
      </c>
      <c r="D92" s="98"/>
      <c r="E92" s="37"/>
      <c r="F92" s="37">
        <v>4</v>
      </c>
      <c r="G92" s="37">
        <v>40</v>
      </c>
      <c r="H92" s="99">
        <f t="shared" si="8"/>
        <v>0.16</v>
      </c>
      <c r="I92" s="13">
        <f t="shared" si="9"/>
        <v>80</v>
      </c>
    </row>
    <row r="93" spans="1:9" ht="15.75" customHeight="1">
      <c r="A93" s="33">
        <v>22</v>
      </c>
      <c r="B93" s="49" t="s">
        <v>151</v>
      </c>
      <c r="C93" s="53" t="s">
        <v>152</v>
      </c>
      <c r="D93" s="38"/>
      <c r="E93" s="18"/>
      <c r="F93" s="37">
        <v>3</v>
      </c>
      <c r="G93" s="37">
        <v>206.54</v>
      </c>
      <c r="H93" s="99">
        <f>G93*F93/1000</f>
        <v>0.61962000000000006</v>
      </c>
      <c r="I93" s="13">
        <f>G93</f>
        <v>206.54</v>
      </c>
    </row>
    <row r="94" spans="1:9" ht="31.5" customHeight="1">
      <c r="A94" s="33">
        <v>23</v>
      </c>
      <c r="B94" s="49" t="s">
        <v>247</v>
      </c>
      <c r="C94" s="53" t="s">
        <v>81</v>
      </c>
      <c r="D94" s="46"/>
      <c r="E94" s="37"/>
      <c r="F94" s="37">
        <v>2</v>
      </c>
      <c r="G94" s="37">
        <v>609.27</v>
      </c>
      <c r="H94" s="99">
        <f t="shared" si="8"/>
        <v>1.21854</v>
      </c>
      <c r="I94" s="13">
        <f>G94*2</f>
        <v>1218.54</v>
      </c>
    </row>
    <row r="95" spans="1:9" ht="31.5" customHeight="1">
      <c r="A95" s="33">
        <v>24</v>
      </c>
      <c r="B95" s="49" t="s">
        <v>248</v>
      </c>
      <c r="C95" s="53" t="s">
        <v>127</v>
      </c>
      <c r="D95" s="38"/>
      <c r="E95" s="18"/>
      <c r="F95" s="37">
        <v>4</v>
      </c>
      <c r="G95" s="13">
        <v>803.54</v>
      </c>
      <c r="H95" s="99">
        <f t="shared" si="8"/>
        <v>3.2141599999999997</v>
      </c>
      <c r="I95" s="13">
        <f>G95*3</f>
        <v>2410.62</v>
      </c>
    </row>
    <row r="96" spans="1:9" ht="15.75" customHeight="1">
      <c r="A96" s="33">
        <v>25</v>
      </c>
      <c r="B96" s="49" t="s">
        <v>249</v>
      </c>
      <c r="C96" s="53" t="s">
        <v>152</v>
      </c>
      <c r="D96" s="38"/>
      <c r="E96" s="18"/>
      <c r="F96" s="37">
        <v>2</v>
      </c>
      <c r="G96" s="37">
        <v>306.37</v>
      </c>
      <c r="H96" s="99">
        <f t="shared" si="8"/>
        <v>0.61274000000000006</v>
      </c>
      <c r="I96" s="13">
        <f t="shared" ref="I96" si="10">G96*2</f>
        <v>612.74</v>
      </c>
    </row>
    <row r="97" spans="1:9" ht="15.75" customHeight="1">
      <c r="A97" s="33">
        <v>26</v>
      </c>
      <c r="B97" s="51" t="s">
        <v>250</v>
      </c>
      <c r="C97" s="52" t="s">
        <v>110</v>
      </c>
      <c r="D97" s="98"/>
      <c r="E97" s="37"/>
      <c r="F97" s="37">
        <v>3</v>
      </c>
      <c r="G97" s="37">
        <v>112</v>
      </c>
      <c r="H97" s="99">
        <f t="shared" si="8"/>
        <v>0.33600000000000002</v>
      </c>
      <c r="I97" s="13">
        <f>G97*3</f>
        <v>336</v>
      </c>
    </row>
    <row r="98" spans="1:9" ht="15.75" customHeight="1">
      <c r="A98" s="33"/>
      <c r="B98" s="44" t="s">
        <v>50</v>
      </c>
      <c r="C98" s="40"/>
      <c r="D98" s="47"/>
      <c r="E98" s="40">
        <v>1</v>
      </c>
      <c r="F98" s="40"/>
      <c r="G98" s="40"/>
      <c r="H98" s="40"/>
      <c r="I98" s="35">
        <f>SUM(I86:I97)</f>
        <v>19112.620000000003</v>
      </c>
    </row>
    <row r="99" spans="1:9" ht="15.75" customHeight="1">
      <c r="A99" s="33"/>
      <c r="B99" s="46" t="s">
        <v>78</v>
      </c>
      <c r="C99" s="15"/>
      <c r="D99" s="15"/>
      <c r="E99" s="41"/>
      <c r="F99" s="41"/>
      <c r="G99" s="42"/>
      <c r="H99" s="42"/>
      <c r="I99" s="18">
        <v>0</v>
      </c>
    </row>
    <row r="100" spans="1:9" ht="15.75" customHeight="1">
      <c r="A100" s="48"/>
      <c r="B100" s="45" t="s">
        <v>205</v>
      </c>
      <c r="C100" s="36"/>
      <c r="D100" s="36"/>
      <c r="E100" s="36"/>
      <c r="F100" s="36"/>
      <c r="G100" s="36"/>
      <c r="H100" s="36"/>
      <c r="I100" s="43">
        <f>I84+I98</f>
        <v>58576.438226666673</v>
      </c>
    </row>
    <row r="101" spans="1:9" ht="15.75" customHeight="1">
      <c r="A101" s="124" t="s">
        <v>251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ht="15.75" customHeight="1">
      <c r="A102" s="60"/>
      <c r="B102" s="125" t="s">
        <v>252</v>
      </c>
      <c r="C102" s="125"/>
      <c r="D102" s="125"/>
      <c r="E102" s="125"/>
      <c r="F102" s="125"/>
      <c r="G102" s="125"/>
      <c r="H102" s="65"/>
      <c r="I102" s="3"/>
    </row>
    <row r="103" spans="1:9" ht="15.75" customHeight="1">
      <c r="A103" s="56"/>
      <c r="B103" s="126" t="s">
        <v>6</v>
      </c>
      <c r="C103" s="126"/>
      <c r="D103" s="126"/>
      <c r="E103" s="126"/>
      <c r="F103" s="126"/>
      <c r="G103" s="126"/>
      <c r="H103" s="28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27" t="s">
        <v>7</v>
      </c>
      <c r="B105" s="127"/>
      <c r="C105" s="127"/>
      <c r="D105" s="127"/>
      <c r="E105" s="127"/>
      <c r="F105" s="127"/>
      <c r="G105" s="127"/>
      <c r="H105" s="127"/>
      <c r="I105" s="127"/>
    </row>
    <row r="106" spans="1:9" ht="15.75" customHeight="1">
      <c r="A106" s="127" t="s">
        <v>8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15.75">
      <c r="A107" s="131" t="s">
        <v>60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15.75" customHeight="1">
      <c r="A108" s="11"/>
    </row>
    <row r="109" spans="1:9" ht="15.75" customHeight="1">
      <c r="A109" s="132" t="s">
        <v>9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15.75" customHeight="1">
      <c r="A110" s="4"/>
    </row>
    <row r="111" spans="1:9" ht="15.75" customHeight="1">
      <c r="B111" s="57" t="s">
        <v>10</v>
      </c>
      <c r="C111" s="133" t="s">
        <v>147</v>
      </c>
      <c r="D111" s="133"/>
      <c r="E111" s="133"/>
      <c r="F111" s="63"/>
      <c r="I111" s="55"/>
    </row>
    <row r="112" spans="1:9" ht="15.75" customHeight="1">
      <c r="A112" s="56"/>
      <c r="C112" s="126" t="s">
        <v>11</v>
      </c>
      <c r="D112" s="126"/>
      <c r="E112" s="126"/>
      <c r="F112" s="28"/>
      <c r="I112" s="54" t="s">
        <v>12</v>
      </c>
    </row>
    <row r="113" spans="1:9" ht="15.75" customHeight="1">
      <c r="A113" s="29"/>
      <c r="C113" s="12"/>
      <c r="D113" s="12"/>
      <c r="G113" s="12"/>
      <c r="H113" s="12"/>
    </row>
    <row r="114" spans="1:9" ht="15.75" customHeight="1">
      <c r="B114" s="57" t="s">
        <v>13</v>
      </c>
      <c r="C114" s="120"/>
      <c r="D114" s="120"/>
      <c r="E114" s="120"/>
      <c r="F114" s="64"/>
      <c r="I114" s="55"/>
    </row>
    <row r="115" spans="1:9">
      <c r="A115" s="56"/>
      <c r="C115" s="113" t="s">
        <v>11</v>
      </c>
      <c r="D115" s="113"/>
      <c r="E115" s="113"/>
      <c r="F115" s="56"/>
      <c r="I115" s="54" t="s">
        <v>12</v>
      </c>
    </row>
    <row r="116" spans="1:9" ht="15.75" customHeight="1">
      <c r="A116" s="4" t="s">
        <v>14</v>
      </c>
    </row>
    <row r="117" spans="1:9" ht="15.75" customHeight="1">
      <c r="A117" s="134" t="s">
        <v>15</v>
      </c>
      <c r="B117" s="134"/>
      <c r="C117" s="134"/>
      <c r="D117" s="134"/>
      <c r="E117" s="134"/>
      <c r="F117" s="134"/>
      <c r="G117" s="134"/>
      <c r="H117" s="134"/>
      <c r="I117" s="134"/>
    </row>
    <row r="118" spans="1:9" ht="45" customHeight="1">
      <c r="A118" s="135" t="s">
        <v>16</v>
      </c>
      <c r="B118" s="135"/>
      <c r="C118" s="135"/>
      <c r="D118" s="135"/>
      <c r="E118" s="135"/>
      <c r="F118" s="135"/>
      <c r="G118" s="135"/>
      <c r="H118" s="135"/>
      <c r="I118" s="135"/>
    </row>
    <row r="119" spans="1:9" ht="30" customHeight="1">
      <c r="A119" s="135" t="s">
        <v>17</v>
      </c>
      <c r="B119" s="135"/>
      <c r="C119" s="135"/>
      <c r="D119" s="135"/>
      <c r="E119" s="135"/>
      <c r="F119" s="135"/>
      <c r="G119" s="135"/>
      <c r="H119" s="135"/>
      <c r="I119" s="135"/>
    </row>
    <row r="120" spans="1:9" ht="30" customHeight="1">
      <c r="A120" s="135" t="s">
        <v>21</v>
      </c>
      <c r="B120" s="135"/>
      <c r="C120" s="135"/>
      <c r="D120" s="135"/>
      <c r="E120" s="135"/>
      <c r="F120" s="135"/>
      <c r="G120" s="135"/>
      <c r="H120" s="135"/>
      <c r="I120" s="135"/>
    </row>
    <row r="121" spans="1:9" ht="15" customHeight="1">
      <c r="A121" s="135" t="s">
        <v>20</v>
      </c>
      <c r="B121" s="135"/>
      <c r="C121" s="135"/>
      <c r="D121" s="135"/>
      <c r="E121" s="135"/>
      <c r="F121" s="135"/>
      <c r="G121" s="135"/>
      <c r="H121" s="135"/>
      <c r="I121" s="135"/>
    </row>
  </sheetData>
  <autoFilter ref="I12:I61"/>
  <mergeCells count="29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9:I29"/>
    <mergeCell ref="A45:I45"/>
    <mergeCell ref="A55:I55"/>
    <mergeCell ref="A101:I101"/>
    <mergeCell ref="B102:G102"/>
    <mergeCell ref="B103:G103"/>
    <mergeCell ref="A105:I105"/>
    <mergeCell ref="A106:I106"/>
    <mergeCell ref="A85:I85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253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254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96"/>
      <c r="C6" s="96"/>
      <c r="D6" s="96"/>
      <c r="E6" s="96"/>
      <c r="F6" s="96"/>
      <c r="G6" s="96"/>
      <c r="H6" s="96"/>
      <c r="I6" s="34">
        <v>43069</v>
      </c>
      <c r="J6" s="2"/>
      <c r="K6" s="2"/>
      <c r="L6" s="2"/>
      <c r="M6" s="2"/>
    </row>
    <row r="7" spans="1:13" ht="15.75">
      <c r="B7" s="92"/>
      <c r="C7" s="92"/>
      <c r="D7" s="9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customHeight="1">
      <c r="A21" s="33">
        <v>5</v>
      </c>
      <c r="B21" s="68" t="s">
        <v>100</v>
      </c>
      <c r="C21" s="69" t="s">
        <v>89</v>
      </c>
      <c r="D21" s="68" t="s">
        <v>255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hidden="1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hidden="1" customHeight="1">
      <c r="A31" s="33">
        <v>7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hidden="1" customHeight="1">
      <c r="A32" s="33">
        <v>8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hidden="1" customHeight="1">
      <c r="A34" s="33">
        <v>9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customHeight="1">
      <c r="A44" s="33">
        <v>12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hidden="1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148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customHeight="1">
      <c r="A57" s="33">
        <v>13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customHeight="1">
      <c r="A59" s="33">
        <v>14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15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>
        <v>11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97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97" t="s">
        <v>95</v>
      </c>
      <c r="C79" s="97"/>
      <c r="D79" s="97"/>
      <c r="E79" s="97"/>
      <c r="F79" s="97"/>
      <c r="G79" s="74"/>
      <c r="H79" s="86">
        <f>SUM(H57:H78)</f>
        <v>77.259265635999995</v>
      </c>
      <c r="I79" s="74"/>
    </row>
    <row r="80" spans="1:21" ht="15.75" hidden="1" customHeight="1">
      <c r="A80" s="33">
        <v>12</v>
      </c>
      <c r="B80" s="90" t="s">
        <v>116</v>
      </c>
      <c r="C80" s="24"/>
      <c r="D80" s="23"/>
      <c r="E80" s="62"/>
      <c r="F80" s="91">
        <v>1</v>
      </c>
      <c r="G80" s="13">
        <v>7812.7</v>
      </c>
      <c r="H80" s="66">
        <f>G80*F80/1000</f>
        <v>7.8126999999999995</v>
      </c>
      <c r="I80" s="13">
        <v>2116.6999999999998</v>
      </c>
    </row>
    <row r="81" spans="1:9" ht="15" customHeight="1">
      <c r="A81" s="121" t="s">
        <v>149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16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17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I16+I17+I18+I20+I21+I27+I28+I38+I40+I41+I42+I44+I57+I59+I63+I82+I83</f>
        <v>41207.213385999996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18</v>
      </c>
      <c r="B86" s="49" t="s">
        <v>143</v>
      </c>
      <c r="C86" s="53" t="s">
        <v>84</v>
      </c>
      <c r="D86" s="38"/>
      <c r="E86" s="18"/>
      <c r="F86" s="37">
        <v>9</v>
      </c>
      <c r="G86" s="37">
        <v>195.85</v>
      </c>
      <c r="H86" s="99">
        <f>G86*F86/1000</f>
        <v>1.7626499999999998</v>
      </c>
      <c r="I86" s="13">
        <f>G86</f>
        <v>195.85</v>
      </c>
    </row>
    <row r="87" spans="1:9" ht="31.5" customHeight="1">
      <c r="A87" s="33">
        <v>19</v>
      </c>
      <c r="B87" s="49" t="s">
        <v>141</v>
      </c>
      <c r="C87" s="53" t="s">
        <v>37</v>
      </c>
      <c r="D87" s="98"/>
      <c r="E87" s="37"/>
      <c r="F87" s="37">
        <v>0.03</v>
      </c>
      <c r="G87" s="37">
        <v>3581.13</v>
      </c>
      <c r="H87" s="99">
        <f>G87*F87/1000</f>
        <v>0.1074339</v>
      </c>
      <c r="I87" s="13">
        <f>G87*0.01</f>
        <v>35.811300000000003</v>
      </c>
    </row>
    <row r="88" spans="1:9" ht="15.75" customHeight="1">
      <c r="A88" s="33"/>
      <c r="B88" s="44" t="s">
        <v>50</v>
      </c>
      <c r="C88" s="40"/>
      <c r="D88" s="47"/>
      <c r="E88" s="40">
        <v>1</v>
      </c>
      <c r="F88" s="40"/>
      <c r="G88" s="40"/>
      <c r="H88" s="40"/>
      <c r="I88" s="35">
        <f>SUM(I86:I87)</f>
        <v>231.66129999999998</v>
      </c>
    </row>
    <row r="89" spans="1:9" ht="15.75" customHeight="1">
      <c r="A89" s="33"/>
      <c r="B89" s="46" t="s">
        <v>78</v>
      </c>
      <c r="C89" s="15"/>
      <c r="D89" s="15"/>
      <c r="E89" s="41"/>
      <c r="F89" s="41"/>
      <c r="G89" s="42"/>
      <c r="H89" s="42"/>
      <c r="I89" s="18">
        <v>0</v>
      </c>
    </row>
    <row r="90" spans="1:9" ht="15.75" customHeight="1">
      <c r="A90" s="48"/>
      <c r="B90" s="45" t="s">
        <v>205</v>
      </c>
      <c r="C90" s="36"/>
      <c r="D90" s="36"/>
      <c r="E90" s="36"/>
      <c r="F90" s="36"/>
      <c r="G90" s="36"/>
      <c r="H90" s="36"/>
      <c r="I90" s="43">
        <f>I84+I88</f>
        <v>41438.874685999996</v>
      </c>
    </row>
    <row r="91" spans="1:9" ht="15.75" customHeight="1">
      <c r="A91" s="124" t="s">
        <v>268</v>
      </c>
      <c r="B91" s="124"/>
      <c r="C91" s="124"/>
      <c r="D91" s="124"/>
      <c r="E91" s="124"/>
      <c r="F91" s="124"/>
      <c r="G91" s="124"/>
      <c r="H91" s="124"/>
      <c r="I91" s="124"/>
    </row>
    <row r="92" spans="1:9" ht="15.75" customHeight="1">
      <c r="A92" s="60"/>
      <c r="B92" s="125" t="s">
        <v>269</v>
      </c>
      <c r="C92" s="125"/>
      <c r="D92" s="125"/>
      <c r="E92" s="125"/>
      <c r="F92" s="125"/>
      <c r="G92" s="125"/>
      <c r="H92" s="65"/>
      <c r="I92" s="3"/>
    </row>
    <row r="93" spans="1:9" ht="15.75" customHeight="1">
      <c r="A93" s="95"/>
      <c r="B93" s="126" t="s">
        <v>6</v>
      </c>
      <c r="C93" s="126"/>
      <c r="D93" s="126"/>
      <c r="E93" s="126"/>
      <c r="F93" s="126"/>
      <c r="G93" s="126"/>
      <c r="H93" s="28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27" t="s">
        <v>7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 customHeight="1">
      <c r="A96" s="127" t="s">
        <v>8</v>
      </c>
      <c r="B96" s="127"/>
      <c r="C96" s="127"/>
      <c r="D96" s="127"/>
      <c r="E96" s="127"/>
      <c r="F96" s="127"/>
      <c r="G96" s="127"/>
      <c r="H96" s="127"/>
      <c r="I96" s="127"/>
    </row>
    <row r="97" spans="1:9" ht="15.75">
      <c r="A97" s="131" t="s">
        <v>60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 customHeight="1">
      <c r="A98" s="11"/>
    </row>
    <row r="99" spans="1:9" ht="15.75" customHeight="1">
      <c r="A99" s="132" t="s">
        <v>9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 customHeight="1">
      <c r="A100" s="4"/>
    </row>
    <row r="101" spans="1:9" ht="15.75" customHeight="1">
      <c r="B101" s="92" t="s">
        <v>10</v>
      </c>
      <c r="C101" s="133" t="s">
        <v>147</v>
      </c>
      <c r="D101" s="133"/>
      <c r="E101" s="133"/>
      <c r="F101" s="63"/>
      <c r="I101" s="94"/>
    </row>
    <row r="102" spans="1:9" ht="15.75" customHeight="1">
      <c r="A102" s="95"/>
      <c r="C102" s="126" t="s">
        <v>11</v>
      </c>
      <c r="D102" s="126"/>
      <c r="E102" s="126"/>
      <c r="F102" s="28"/>
      <c r="I102" s="93" t="s">
        <v>12</v>
      </c>
    </row>
    <row r="103" spans="1:9" ht="15.75" customHeight="1">
      <c r="A103" s="29"/>
      <c r="C103" s="12"/>
      <c r="D103" s="12"/>
      <c r="G103" s="12"/>
      <c r="H103" s="12"/>
    </row>
    <row r="104" spans="1:9" ht="15.75" customHeight="1">
      <c r="B104" s="92" t="s">
        <v>13</v>
      </c>
      <c r="C104" s="120"/>
      <c r="D104" s="120"/>
      <c r="E104" s="120"/>
      <c r="F104" s="64"/>
      <c r="I104" s="94"/>
    </row>
    <row r="105" spans="1:9">
      <c r="A105" s="95"/>
      <c r="C105" s="113" t="s">
        <v>11</v>
      </c>
      <c r="D105" s="113"/>
      <c r="E105" s="113"/>
      <c r="F105" s="95"/>
      <c r="I105" s="93" t="s">
        <v>12</v>
      </c>
    </row>
    <row r="106" spans="1:9" ht="15.75" customHeight="1">
      <c r="A106" s="4" t="s">
        <v>14</v>
      </c>
    </row>
    <row r="107" spans="1:9" ht="15.75" customHeight="1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5" t="s">
        <v>16</v>
      </c>
      <c r="B108" s="135"/>
      <c r="C108" s="135"/>
      <c r="D108" s="135"/>
      <c r="E108" s="135"/>
      <c r="F108" s="135"/>
      <c r="G108" s="135"/>
      <c r="H108" s="135"/>
      <c r="I108" s="135"/>
    </row>
    <row r="109" spans="1:9" ht="30" customHeight="1">
      <c r="A109" s="135" t="s">
        <v>17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30" customHeight="1">
      <c r="A110" s="135" t="s">
        <v>21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15" customHeight="1">
      <c r="A111" s="135" t="s">
        <v>20</v>
      </c>
      <c r="B111" s="135"/>
      <c r="C111" s="135"/>
      <c r="D111" s="135"/>
      <c r="E111" s="135"/>
      <c r="F111" s="135"/>
      <c r="G111" s="135"/>
      <c r="H111" s="135"/>
      <c r="I111" s="135"/>
    </row>
  </sheetData>
  <autoFilter ref="I12:I61"/>
  <mergeCells count="29">
    <mergeCell ref="A107:I107"/>
    <mergeCell ref="A108:I108"/>
    <mergeCell ref="A109:I109"/>
    <mergeCell ref="A110:I110"/>
    <mergeCell ref="A111:I111"/>
    <mergeCell ref="R66:U66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256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257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104"/>
      <c r="C6" s="104"/>
      <c r="D6" s="104"/>
      <c r="E6" s="104"/>
      <c r="F6" s="104"/>
      <c r="G6" s="104"/>
      <c r="H6" s="104"/>
      <c r="I6" s="34">
        <v>43100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8" t="s">
        <v>100</v>
      </c>
      <c r="C21" s="69" t="s">
        <v>89</v>
      </c>
      <c r="D21" s="68" t="s">
        <v>255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hidden="1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hidden="1" customHeight="1">
      <c r="A31" s="33">
        <v>7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hidden="1" customHeight="1">
      <c r="A32" s="33">
        <v>8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hidden="1" customHeight="1">
      <c r="A34" s="33">
        <v>9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customHeight="1">
      <c r="A38" s="33">
        <v>7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customHeight="1">
      <c r="A40" s="33">
        <v>8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customHeight="1">
      <c r="A41" s="33">
        <v>9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customHeight="1">
      <c r="A42" s="33">
        <v>10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11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customHeight="1">
      <c r="A44" s="33">
        <v>11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customHeight="1">
      <c r="A50" s="33">
        <v>12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customHeight="1">
      <c r="A54" s="33">
        <v>13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customHeight="1">
      <c r="A57" s="33">
        <v>14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customHeight="1">
      <c r="A59" s="33">
        <v>15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16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17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customHeight="1">
      <c r="A73" s="33"/>
      <c r="B73" s="105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customHeight="1">
      <c r="A74" s="33">
        <v>18</v>
      </c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f>G74*0.1</f>
        <v>53.623000000000005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105" t="s">
        <v>95</v>
      </c>
      <c r="C79" s="105"/>
      <c r="D79" s="105"/>
      <c r="E79" s="105"/>
      <c r="F79" s="105"/>
      <c r="G79" s="74"/>
      <c r="H79" s="86">
        <f>SUM(H57:H78)</f>
        <v>77.259265635999995</v>
      </c>
      <c r="I79" s="74"/>
    </row>
    <row r="80" spans="1:21" ht="15.75" hidden="1" customHeight="1">
      <c r="A80" s="33">
        <v>12</v>
      </c>
      <c r="B80" s="90" t="s">
        <v>116</v>
      </c>
      <c r="C80" s="24"/>
      <c r="D80" s="23"/>
      <c r="E80" s="62"/>
      <c r="F80" s="91">
        <v>1</v>
      </c>
      <c r="G80" s="13">
        <v>7812.7</v>
      </c>
      <c r="H80" s="66">
        <f>G80*F80/1000</f>
        <v>7.8126999999999995</v>
      </c>
      <c r="I80" s="13">
        <v>2116.6999999999998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19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20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I16+I17+I18+I20+I27+I28+I38+I40+I41+I42+I44+I50+I54+I57+I59+I63+I65+I74+I82+I83</f>
        <v>48849.224689999995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21</v>
      </c>
      <c r="B86" s="49" t="s">
        <v>143</v>
      </c>
      <c r="C86" s="53" t="s">
        <v>84</v>
      </c>
      <c r="D86" s="38"/>
      <c r="E86" s="18"/>
      <c r="F86" s="37">
        <v>9</v>
      </c>
      <c r="G86" s="37">
        <v>195.85</v>
      </c>
      <c r="H86" s="99">
        <f>G86*F86/1000</f>
        <v>1.7626499999999998</v>
      </c>
      <c r="I86" s="13">
        <f>G86*2</f>
        <v>391.7</v>
      </c>
    </row>
    <row r="87" spans="1:9" ht="31.5" customHeight="1">
      <c r="A87" s="33">
        <v>22</v>
      </c>
      <c r="B87" s="49" t="s">
        <v>140</v>
      </c>
      <c r="C87" s="53" t="s">
        <v>127</v>
      </c>
      <c r="D87" s="38"/>
      <c r="E87" s="18"/>
      <c r="F87" s="37">
        <v>15</v>
      </c>
      <c r="G87" s="37">
        <v>589.84</v>
      </c>
      <c r="H87" s="99">
        <f t="shared" ref="H87:H90" si="7">G87*F87/1000</f>
        <v>8.8475999999999999</v>
      </c>
      <c r="I87" s="13">
        <f>G87*(1+4+3)</f>
        <v>4718.72</v>
      </c>
    </row>
    <row r="88" spans="1:9" ht="31.5" customHeight="1">
      <c r="A88" s="33">
        <v>23</v>
      </c>
      <c r="B88" s="49" t="s">
        <v>168</v>
      </c>
      <c r="C88" s="53" t="s">
        <v>153</v>
      </c>
      <c r="D88" s="46"/>
      <c r="E88" s="13"/>
      <c r="F88" s="13">
        <v>6.5</v>
      </c>
      <c r="G88" s="13">
        <v>1272</v>
      </c>
      <c r="H88" s="66">
        <f t="shared" si="7"/>
        <v>8.2680000000000007</v>
      </c>
      <c r="I88" s="13">
        <f>G88*(0.5+2)</f>
        <v>3180</v>
      </c>
    </row>
    <row r="89" spans="1:9" ht="31.5" customHeight="1">
      <c r="A89" s="33">
        <v>24</v>
      </c>
      <c r="B89" s="49" t="s">
        <v>248</v>
      </c>
      <c r="C89" s="53" t="s">
        <v>127</v>
      </c>
      <c r="D89" s="38"/>
      <c r="E89" s="18"/>
      <c r="F89" s="37">
        <v>4</v>
      </c>
      <c r="G89" s="13">
        <v>803.54</v>
      </c>
      <c r="H89" s="99">
        <f t="shared" si="7"/>
        <v>3.2141599999999997</v>
      </c>
      <c r="I89" s="13">
        <f>G89</f>
        <v>803.54</v>
      </c>
    </row>
    <row r="90" spans="1:9" ht="31.5" customHeight="1">
      <c r="A90" s="33">
        <v>25</v>
      </c>
      <c r="B90" s="49" t="s">
        <v>258</v>
      </c>
      <c r="C90" s="53" t="s">
        <v>259</v>
      </c>
      <c r="D90" s="98"/>
      <c r="E90" s="37"/>
      <c r="F90" s="37">
        <v>2</v>
      </c>
      <c r="G90" s="37">
        <v>1365</v>
      </c>
      <c r="H90" s="37">
        <f t="shared" si="7"/>
        <v>2.73</v>
      </c>
      <c r="I90" s="13">
        <f>G90*2</f>
        <v>2730</v>
      </c>
    </row>
    <row r="91" spans="1:9" ht="15.75" customHeight="1">
      <c r="A91" s="33"/>
      <c r="B91" s="44" t="s">
        <v>50</v>
      </c>
      <c r="C91" s="40"/>
      <c r="D91" s="47"/>
      <c r="E91" s="40">
        <v>1</v>
      </c>
      <c r="F91" s="40"/>
      <c r="G91" s="40"/>
      <c r="H91" s="40"/>
      <c r="I91" s="35">
        <f>SUM(I86:I90)</f>
        <v>11823.96</v>
      </c>
    </row>
    <row r="92" spans="1:9" ht="15.75" customHeight="1">
      <c r="A92" s="33"/>
      <c r="B92" s="46" t="s">
        <v>78</v>
      </c>
      <c r="C92" s="15"/>
      <c r="D92" s="15"/>
      <c r="E92" s="41"/>
      <c r="F92" s="41"/>
      <c r="G92" s="42"/>
      <c r="H92" s="42"/>
      <c r="I92" s="18">
        <v>0</v>
      </c>
    </row>
    <row r="93" spans="1:9" ht="15.75" customHeight="1">
      <c r="A93" s="48"/>
      <c r="B93" s="45" t="s">
        <v>205</v>
      </c>
      <c r="C93" s="36"/>
      <c r="D93" s="36"/>
      <c r="E93" s="36"/>
      <c r="F93" s="36"/>
      <c r="G93" s="36"/>
      <c r="H93" s="36"/>
      <c r="I93" s="43">
        <f>I84+I91</f>
        <v>60673.184689999995</v>
      </c>
    </row>
    <row r="94" spans="1:9" ht="15.75" customHeight="1">
      <c r="A94" s="124" t="s">
        <v>270</v>
      </c>
      <c r="B94" s="124"/>
      <c r="C94" s="124"/>
      <c r="D94" s="124"/>
      <c r="E94" s="124"/>
      <c r="F94" s="124"/>
      <c r="G94" s="124"/>
      <c r="H94" s="124"/>
      <c r="I94" s="124"/>
    </row>
    <row r="95" spans="1:9" ht="15.75" customHeight="1">
      <c r="A95" s="60"/>
      <c r="B95" s="125" t="s">
        <v>271</v>
      </c>
      <c r="C95" s="125"/>
      <c r="D95" s="125"/>
      <c r="E95" s="125"/>
      <c r="F95" s="125"/>
      <c r="G95" s="125"/>
      <c r="H95" s="65"/>
      <c r="I95" s="3"/>
    </row>
    <row r="96" spans="1:9" ht="15.75" customHeight="1">
      <c r="A96" s="103"/>
      <c r="B96" s="126" t="s">
        <v>6</v>
      </c>
      <c r="C96" s="126"/>
      <c r="D96" s="126"/>
      <c r="E96" s="126"/>
      <c r="F96" s="126"/>
      <c r="G96" s="126"/>
      <c r="H96" s="28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27" t="s">
        <v>7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 customHeight="1">
      <c r="A99" s="127" t="s">
        <v>8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>
      <c r="A100" s="131" t="s">
        <v>60</v>
      </c>
      <c r="B100" s="131"/>
      <c r="C100" s="131"/>
      <c r="D100" s="131"/>
      <c r="E100" s="131"/>
      <c r="F100" s="131"/>
      <c r="G100" s="131"/>
      <c r="H100" s="131"/>
      <c r="I100" s="131"/>
    </row>
    <row r="101" spans="1:9" ht="15.75" customHeight="1">
      <c r="A101" s="11"/>
    </row>
    <row r="102" spans="1:9" ht="15.75" customHeight="1">
      <c r="A102" s="132" t="s">
        <v>9</v>
      </c>
      <c r="B102" s="132"/>
      <c r="C102" s="132"/>
      <c r="D102" s="132"/>
      <c r="E102" s="132"/>
      <c r="F102" s="132"/>
      <c r="G102" s="132"/>
      <c r="H102" s="132"/>
      <c r="I102" s="132"/>
    </row>
    <row r="103" spans="1:9" ht="15.75" customHeight="1">
      <c r="A103" s="4"/>
    </row>
    <row r="104" spans="1:9" ht="15.75" customHeight="1">
      <c r="B104" s="108" t="s">
        <v>10</v>
      </c>
      <c r="C104" s="133" t="s">
        <v>147</v>
      </c>
      <c r="D104" s="133"/>
      <c r="E104" s="133"/>
      <c r="F104" s="63"/>
      <c r="I104" s="106"/>
    </row>
    <row r="105" spans="1:9" ht="15.75" customHeight="1">
      <c r="A105" s="103"/>
      <c r="C105" s="126" t="s">
        <v>11</v>
      </c>
      <c r="D105" s="126"/>
      <c r="E105" s="126"/>
      <c r="F105" s="28"/>
      <c r="I105" s="107" t="s">
        <v>12</v>
      </c>
    </row>
    <row r="106" spans="1:9" ht="15.75" customHeight="1">
      <c r="A106" s="29"/>
      <c r="C106" s="12"/>
      <c r="D106" s="12"/>
      <c r="G106" s="12"/>
      <c r="H106" s="12"/>
    </row>
    <row r="107" spans="1:9" ht="15.75" customHeight="1">
      <c r="B107" s="108" t="s">
        <v>13</v>
      </c>
      <c r="C107" s="120"/>
      <c r="D107" s="120"/>
      <c r="E107" s="120"/>
      <c r="F107" s="64"/>
      <c r="I107" s="106"/>
    </row>
    <row r="108" spans="1:9">
      <c r="A108" s="103"/>
      <c r="C108" s="113" t="s">
        <v>11</v>
      </c>
      <c r="D108" s="113"/>
      <c r="E108" s="113"/>
      <c r="F108" s="103"/>
      <c r="I108" s="107" t="s">
        <v>12</v>
      </c>
    </row>
    <row r="109" spans="1:9" ht="15.75" customHeight="1">
      <c r="A109" s="4" t="s">
        <v>14</v>
      </c>
    </row>
    <row r="110" spans="1:9" ht="15.75" customHeight="1">
      <c r="A110" s="134" t="s">
        <v>15</v>
      </c>
      <c r="B110" s="134"/>
      <c r="C110" s="134"/>
      <c r="D110" s="134"/>
      <c r="E110" s="134"/>
      <c r="F110" s="134"/>
      <c r="G110" s="134"/>
      <c r="H110" s="134"/>
      <c r="I110" s="134"/>
    </row>
    <row r="111" spans="1:9" ht="45" customHeight="1">
      <c r="A111" s="135" t="s">
        <v>16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30" customHeight="1">
      <c r="A112" s="135" t="s">
        <v>17</v>
      </c>
      <c r="B112" s="135"/>
      <c r="C112" s="135"/>
      <c r="D112" s="135"/>
      <c r="E112" s="135"/>
      <c r="F112" s="135"/>
      <c r="G112" s="135"/>
      <c r="H112" s="135"/>
      <c r="I112" s="135"/>
    </row>
    <row r="113" spans="1:9" ht="30" customHeight="1">
      <c r="A113" s="135" t="s">
        <v>21</v>
      </c>
      <c r="B113" s="135"/>
      <c r="C113" s="135"/>
      <c r="D113" s="135"/>
      <c r="E113" s="135"/>
      <c r="F113" s="135"/>
      <c r="G113" s="135"/>
      <c r="H113" s="135"/>
      <c r="I113" s="135"/>
    </row>
    <row r="114" spans="1:9" ht="15" customHeight="1">
      <c r="A114" s="135" t="s">
        <v>20</v>
      </c>
      <c r="B114" s="135"/>
      <c r="C114" s="135"/>
      <c r="D114" s="135"/>
      <c r="E114" s="135"/>
      <c r="F114" s="135"/>
      <c r="G114" s="135"/>
      <c r="H114" s="135"/>
      <c r="I114" s="135"/>
    </row>
  </sheetData>
  <autoFilter ref="I12:I61"/>
  <mergeCells count="29"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  <mergeCell ref="R66:U66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110:I110"/>
    <mergeCell ref="A111:I111"/>
    <mergeCell ref="A112:I112"/>
    <mergeCell ref="A113:I113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183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80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42429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hidden="1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8" t="s">
        <v>108</v>
      </c>
      <c r="C31" s="69" t="s">
        <v>91</v>
      </c>
      <c r="D31" s="68" t="s">
        <v>105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hidden="1" customHeight="1">
      <c r="A32" s="33">
        <v>9</v>
      </c>
      <c r="B32" s="68" t="s">
        <v>122</v>
      </c>
      <c r="C32" s="69" t="s">
        <v>91</v>
      </c>
      <c r="D32" s="68" t="s">
        <v>106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hidden="1" customHeight="1">
      <c r="A34" s="33">
        <v>10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customHeight="1">
      <c r="A38" s="33">
        <v>7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customHeight="1">
      <c r="A40" s="33">
        <v>8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customHeight="1">
      <c r="A41" s="33">
        <v>9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customHeight="1">
      <c r="A42" s="33">
        <v>10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11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customHeight="1">
      <c r="A44" s="33">
        <v>11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customHeight="1">
      <c r="A50" s="33">
        <v>12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>
        <v>14</v>
      </c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f>F53/2*G53</f>
        <v>60.421199999999999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customHeight="1">
      <c r="A57" s="33">
        <v>13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customHeight="1">
      <c r="A59" s="33">
        <v>14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15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>
        <v>17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G65*3</f>
        <v>713.22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>
        <v>19</v>
      </c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f>G74*0.5</f>
        <v>268.11500000000001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16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17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I16+I17+I18+I20+I27+I28+I38+I40+I41+I42+I44+I50+I57+I59+I63+I82+I83</f>
        <v>42941.061689999995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18</v>
      </c>
      <c r="B86" s="100" t="s">
        <v>200</v>
      </c>
      <c r="C86" s="101" t="s">
        <v>201</v>
      </c>
      <c r="D86" s="98"/>
      <c r="E86" s="37"/>
      <c r="F86" s="37">
        <f>(3+3+3+3+10+20+13)/3</f>
        <v>18.333333333333332</v>
      </c>
      <c r="G86" s="37">
        <v>1120.8900000000001</v>
      </c>
      <c r="H86" s="99">
        <f>G86*F86/1000</f>
        <v>20.54965</v>
      </c>
      <c r="I86" s="13">
        <f>G86*2</f>
        <v>2241.7800000000002</v>
      </c>
    </row>
    <row r="87" spans="1:9" ht="31.5" customHeight="1">
      <c r="A87" s="33">
        <v>19</v>
      </c>
      <c r="B87" s="49" t="s">
        <v>206</v>
      </c>
      <c r="C87" s="53" t="s">
        <v>127</v>
      </c>
      <c r="D87" s="38"/>
      <c r="E87" s="18"/>
      <c r="F87" s="37">
        <v>3</v>
      </c>
      <c r="G87" s="37">
        <v>666.24</v>
      </c>
      <c r="H87" s="99">
        <f t="shared" ref="H87" si="7">G87*F87/1000</f>
        <v>1.9987200000000001</v>
      </c>
      <c r="I87" s="13">
        <f>G87*3</f>
        <v>1998.72</v>
      </c>
    </row>
    <row r="88" spans="1:9" ht="15.75" customHeight="1">
      <c r="A88" s="33">
        <v>20</v>
      </c>
      <c r="B88" s="49" t="s">
        <v>143</v>
      </c>
      <c r="C88" s="53" t="s">
        <v>84</v>
      </c>
      <c r="D88" s="38"/>
      <c r="E88" s="18"/>
      <c r="F88" s="37">
        <v>9</v>
      </c>
      <c r="G88" s="37">
        <v>195.85</v>
      </c>
      <c r="H88" s="99">
        <f>G88*F88/1000</f>
        <v>1.7626499999999998</v>
      </c>
      <c r="I88" s="13">
        <f>G88</f>
        <v>195.85</v>
      </c>
    </row>
    <row r="89" spans="1:9" ht="15.75" customHeight="1">
      <c r="A89" s="33">
        <v>21</v>
      </c>
      <c r="B89" s="49" t="s">
        <v>82</v>
      </c>
      <c r="C89" s="53" t="s">
        <v>110</v>
      </c>
      <c r="D89" s="98"/>
      <c r="E89" s="37"/>
      <c r="F89" s="37">
        <v>5</v>
      </c>
      <c r="G89" s="37">
        <v>189.88</v>
      </c>
      <c r="H89" s="99">
        <f>G89*F89/1000</f>
        <v>0.94940000000000002</v>
      </c>
      <c r="I89" s="13">
        <f>G89</f>
        <v>189.88</v>
      </c>
    </row>
    <row r="90" spans="1:9" ht="15.75" customHeight="1">
      <c r="A90" s="33"/>
      <c r="B90" s="44" t="s">
        <v>50</v>
      </c>
      <c r="C90" s="40"/>
      <c r="D90" s="47"/>
      <c r="E90" s="40">
        <v>1</v>
      </c>
      <c r="F90" s="40"/>
      <c r="G90" s="40"/>
      <c r="H90" s="40"/>
      <c r="I90" s="35">
        <f>SUM(I86:I89)</f>
        <v>4626.2300000000005</v>
      </c>
    </row>
    <row r="91" spans="1:9" ht="15.75" customHeight="1">
      <c r="A91" s="33"/>
      <c r="B91" s="46" t="s">
        <v>78</v>
      </c>
      <c r="C91" s="15"/>
      <c r="D91" s="15"/>
      <c r="E91" s="41"/>
      <c r="F91" s="41"/>
      <c r="G91" s="42"/>
      <c r="H91" s="42"/>
      <c r="I91" s="18">
        <v>0</v>
      </c>
    </row>
    <row r="92" spans="1:9" ht="15.75" customHeight="1">
      <c r="A92" s="48"/>
      <c r="B92" s="45" t="s">
        <v>205</v>
      </c>
      <c r="C92" s="36"/>
      <c r="D92" s="36"/>
      <c r="E92" s="36"/>
      <c r="F92" s="36"/>
      <c r="G92" s="36"/>
      <c r="H92" s="36"/>
      <c r="I92" s="43">
        <f>I84+I90</f>
        <v>47567.291689999998</v>
      </c>
    </row>
    <row r="93" spans="1:9" ht="15.75" customHeight="1">
      <c r="A93" s="124" t="s">
        <v>262</v>
      </c>
      <c r="B93" s="124"/>
      <c r="C93" s="124"/>
      <c r="D93" s="124"/>
      <c r="E93" s="124"/>
      <c r="F93" s="124"/>
      <c r="G93" s="124"/>
      <c r="H93" s="124"/>
      <c r="I93" s="124"/>
    </row>
    <row r="94" spans="1:9" ht="15.75" customHeight="1">
      <c r="A94" s="60"/>
      <c r="B94" s="125" t="s">
        <v>263</v>
      </c>
      <c r="C94" s="125"/>
      <c r="D94" s="125"/>
      <c r="E94" s="125"/>
      <c r="F94" s="125"/>
      <c r="G94" s="125"/>
      <c r="H94" s="65"/>
      <c r="I94" s="3"/>
    </row>
    <row r="95" spans="1:9" ht="15.75" customHeight="1">
      <c r="A95" s="56"/>
      <c r="B95" s="126" t="s">
        <v>6</v>
      </c>
      <c r="C95" s="126"/>
      <c r="D95" s="126"/>
      <c r="E95" s="126"/>
      <c r="F95" s="126"/>
      <c r="G95" s="126"/>
      <c r="H95" s="28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27" t="s">
        <v>7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customHeight="1">
      <c r="A98" s="127" t="s">
        <v>8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>
      <c r="A99" s="131" t="s">
        <v>60</v>
      </c>
      <c r="B99" s="131"/>
      <c r="C99" s="131"/>
      <c r="D99" s="131"/>
      <c r="E99" s="131"/>
      <c r="F99" s="131"/>
      <c r="G99" s="131"/>
      <c r="H99" s="131"/>
      <c r="I99" s="131"/>
    </row>
    <row r="100" spans="1:9" ht="23.25" customHeight="1">
      <c r="A100" s="11"/>
    </row>
    <row r="101" spans="1:9" ht="15.75" customHeight="1">
      <c r="A101" s="132" t="s">
        <v>9</v>
      </c>
      <c r="B101" s="132"/>
      <c r="C101" s="132"/>
      <c r="D101" s="132"/>
      <c r="E101" s="132"/>
      <c r="F101" s="132"/>
      <c r="G101" s="132"/>
      <c r="H101" s="132"/>
      <c r="I101" s="132"/>
    </row>
    <row r="102" spans="1:9" ht="15.75" customHeight="1">
      <c r="A102" s="4"/>
    </row>
    <row r="103" spans="1:9" ht="15.75" customHeight="1">
      <c r="B103" s="57" t="s">
        <v>10</v>
      </c>
      <c r="C103" s="133" t="s">
        <v>147</v>
      </c>
      <c r="D103" s="133"/>
      <c r="E103" s="133"/>
      <c r="F103" s="63"/>
      <c r="I103" s="55"/>
    </row>
    <row r="104" spans="1:9" ht="15.75" customHeight="1">
      <c r="A104" s="56"/>
      <c r="C104" s="126" t="s">
        <v>11</v>
      </c>
      <c r="D104" s="126"/>
      <c r="E104" s="126"/>
      <c r="F104" s="28"/>
      <c r="I104" s="54" t="s">
        <v>12</v>
      </c>
    </row>
    <row r="105" spans="1:9" ht="15.75" customHeight="1">
      <c r="A105" s="29"/>
      <c r="C105" s="12"/>
      <c r="D105" s="12"/>
      <c r="G105" s="12"/>
      <c r="H105" s="12"/>
    </row>
    <row r="106" spans="1:9" ht="15.75" customHeight="1">
      <c r="B106" s="57" t="s">
        <v>13</v>
      </c>
      <c r="C106" s="120"/>
      <c r="D106" s="120"/>
      <c r="E106" s="120"/>
      <c r="F106" s="64"/>
      <c r="I106" s="55"/>
    </row>
    <row r="107" spans="1:9">
      <c r="A107" s="56"/>
      <c r="C107" s="113" t="s">
        <v>11</v>
      </c>
      <c r="D107" s="113"/>
      <c r="E107" s="113"/>
      <c r="F107" s="56"/>
      <c r="I107" s="54" t="s">
        <v>12</v>
      </c>
    </row>
    <row r="108" spans="1:9" ht="15.75" customHeight="1">
      <c r="A108" s="4" t="s">
        <v>14</v>
      </c>
    </row>
    <row r="109" spans="1:9" ht="15.75" customHeight="1">
      <c r="A109" s="134" t="s">
        <v>15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45" customHeight="1">
      <c r="A110" s="135" t="s">
        <v>16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30" customHeight="1">
      <c r="A111" s="135" t="s">
        <v>17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30" customHeight="1">
      <c r="A112" s="135" t="s">
        <v>21</v>
      </c>
      <c r="B112" s="135"/>
      <c r="C112" s="135"/>
      <c r="D112" s="135"/>
      <c r="E112" s="135"/>
      <c r="F112" s="135"/>
      <c r="G112" s="135"/>
      <c r="H112" s="135"/>
      <c r="I112" s="135"/>
    </row>
    <row r="113" spans="1:9" ht="15" customHeight="1">
      <c r="A113" s="135" t="s">
        <v>20</v>
      </c>
      <c r="B113" s="135"/>
      <c r="C113" s="135"/>
      <c r="D113" s="135"/>
      <c r="E113" s="135"/>
      <c r="F113" s="135"/>
      <c r="G113" s="135"/>
      <c r="H113" s="135"/>
      <c r="I113" s="135"/>
    </row>
  </sheetData>
  <autoFilter ref="I12:I61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5:I45"/>
    <mergeCell ref="A55:I55"/>
    <mergeCell ref="A85:I85"/>
    <mergeCell ref="A93:I93"/>
    <mergeCell ref="B94:G94"/>
    <mergeCell ref="B95:G95"/>
    <mergeCell ref="A97:I97"/>
    <mergeCell ref="A98:I98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184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207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42825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hidden="1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8" t="s">
        <v>108</v>
      </c>
      <c r="C31" s="69" t="s">
        <v>91</v>
      </c>
      <c r="D31" s="68" t="s">
        <v>105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hidden="1" customHeight="1">
      <c r="A32" s="33">
        <v>9</v>
      </c>
      <c r="B32" s="68" t="s">
        <v>122</v>
      </c>
      <c r="C32" s="69" t="s">
        <v>91</v>
      </c>
      <c r="D32" s="68" t="s">
        <v>106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hidden="1" customHeight="1">
      <c r="A34" s="33">
        <v>10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customHeight="1">
      <c r="A43" s="33">
        <v>12</v>
      </c>
      <c r="B43" s="68" t="s">
        <v>92</v>
      </c>
      <c r="C43" s="69" t="s">
        <v>91</v>
      </c>
      <c r="D43" s="136" t="s">
        <v>264</v>
      </c>
      <c r="E43" s="137">
        <v>72</v>
      </c>
      <c r="F43" s="138">
        <f>SUM(E43*15/1000)</f>
        <v>1.08</v>
      </c>
      <c r="G43" s="137">
        <v>458.28</v>
      </c>
      <c r="H43" s="139">
        <f t="shared" ref="H43" si="4">SUM(F43*G43/1000)</f>
        <v>0.4949424</v>
      </c>
      <c r="I43" s="13">
        <f>F43/2*G43</f>
        <v>247.47120000000001</v>
      </c>
      <c r="J43" s="27"/>
      <c r="L43" s="20"/>
      <c r="M43" s="21"/>
      <c r="N43" s="22"/>
    </row>
    <row r="44" spans="1:14" ht="15.75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hidden="1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5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5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5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5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5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5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5"/>
        <v>0.1208424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5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148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customHeight="1">
      <c r="A57" s="33">
        <v>14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customHeight="1">
      <c r="A59" s="33">
        <v>15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16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>
        <v>17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6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6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6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6"/>
        <v>1.7593888200000001</v>
      </c>
      <c r="I68" s="13">
        <f t="shared" ref="I68:I72" si="7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6"/>
        <v>23.5528236</v>
      </c>
      <c r="I69" s="13">
        <f t="shared" si="7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6"/>
        <v>0.38403000000000004</v>
      </c>
      <c r="I70" s="13">
        <f t="shared" si="7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6"/>
        <v>0.35829</v>
      </c>
      <c r="I71" s="13">
        <f t="shared" si="7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6"/>
        <v>0.10664</v>
      </c>
      <c r="I72" s="13">
        <f t="shared" si="7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6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6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149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17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18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I16+I17+I18+I20+I21+I27+I28+I38+I40+I41+I42+I43+I44+I57+I59+I63+I82+I83</f>
        <v>41454.684585999996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19</v>
      </c>
      <c r="B86" s="49" t="s">
        <v>208</v>
      </c>
      <c r="C86" s="53" t="s">
        <v>110</v>
      </c>
      <c r="D86" s="98"/>
      <c r="E86" s="37"/>
      <c r="F86" s="37">
        <v>1</v>
      </c>
      <c r="G86" s="37">
        <v>1240.05</v>
      </c>
      <c r="H86" s="99">
        <f t="shared" ref="H86" si="8">G86*F86/1000</f>
        <v>1.2400499999999999</v>
      </c>
      <c r="I86" s="13">
        <f>G86</f>
        <v>1240.05</v>
      </c>
    </row>
    <row r="87" spans="1:9" ht="15.75" customHeight="1">
      <c r="A87" s="33">
        <v>20</v>
      </c>
      <c r="B87" s="49" t="s">
        <v>209</v>
      </c>
      <c r="C87" s="53" t="s">
        <v>172</v>
      </c>
      <c r="D87" s="98"/>
      <c r="E87" s="37"/>
      <c r="F87" s="37">
        <v>0.01</v>
      </c>
      <c r="G87" s="37">
        <v>7412.92</v>
      </c>
      <c r="H87" s="99">
        <f>G87*F87/1000</f>
        <v>7.4129199999999992E-2</v>
      </c>
      <c r="I87" s="13">
        <f>G87*0.01</f>
        <v>74.129199999999997</v>
      </c>
    </row>
    <row r="88" spans="1:9" ht="15.75" customHeight="1">
      <c r="A88" s="33"/>
      <c r="B88" s="44" t="s">
        <v>50</v>
      </c>
      <c r="C88" s="40"/>
      <c r="D88" s="47"/>
      <c r="E88" s="40">
        <v>1</v>
      </c>
      <c r="F88" s="40"/>
      <c r="G88" s="40"/>
      <c r="H88" s="40"/>
      <c r="I88" s="35">
        <f>SUM(I86:I87)</f>
        <v>1314.1792</v>
      </c>
    </row>
    <row r="89" spans="1:9" ht="15.75" customHeight="1">
      <c r="A89" s="33"/>
      <c r="B89" s="46" t="s">
        <v>78</v>
      </c>
      <c r="C89" s="15"/>
      <c r="D89" s="15"/>
      <c r="E89" s="41"/>
      <c r="F89" s="41"/>
      <c r="G89" s="42"/>
      <c r="H89" s="42"/>
      <c r="I89" s="18">
        <v>0</v>
      </c>
    </row>
    <row r="90" spans="1:9" ht="15.75" customHeight="1">
      <c r="A90" s="48"/>
      <c r="B90" s="45" t="s">
        <v>205</v>
      </c>
      <c r="C90" s="36"/>
      <c r="D90" s="36"/>
      <c r="E90" s="36"/>
      <c r="F90" s="36"/>
      <c r="G90" s="36"/>
      <c r="H90" s="36"/>
      <c r="I90" s="43">
        <f>I84+I88</f>
        <v>42768.863785999994</v>
      </c>
    </row>
    <row r="91" spans="1:9" ht="15.75" customHeight="1">
      <c r="A91" s="124" t="s">
        <v>210</v>
      </c>
      <c r="B91" s="124"/>
      <c r="C91" s="124"/>
      <c r="D91" s="124"/>
      <c r="E91" s="124"/>
      <c r="F91" s="124"/>
      <c r="G91" s="124"/>
      <c r="H91" s="124"/>
      <c r="I91" s="124"/>
    </row>
    <row r="92" spans="1:9" ht="15.75" customHeight="1">
      <c r="A92" s="60"/>
      <c r="B92" s="125" t="s">
        <v>211</v>
      </c>
      <c r="C92" s="125"/>
      <c r="D92" s="125"/>
      <c r="E92" s="125"/>
      <c r="F92" s="125"/>
      <c r="G92" s="125"/>
      <c r="H92" s="65"/>
      <c r="I92" s="3"/>
    </row>
    <row r="93" spans="1:9" ht="15.75" customHeight="1">
      <c r="A93" s="56"/>
      <c r="B93" s="126" t="s">
        <v>6</v>
      </c>
      <c r="C93" s="126"/>
      <c r="D93" s="126"/>
      <c r="E93" s="126"/>
      <c r="F93" s="126"/>
      <c r="G93" s="126"/>
      <c r="H93" s="28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27" t="s">
        <v>7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 customHeight="1">
      <c r="A96" s="127" t="s">
        <v>8</v>
      </c>
      <c r="B96" s="127"/>
      <c r="C96" s="127"/>
      <c r="D96" s="127"/>
      <c r="E96" s="127"/>
      <c r="F96" s="127"/>
      <c r="G96" s="127"/>
      <c r="H96" s="127"/>
      <c r="I96" s="127"/>
    </row>
    <row r="97" spans="1:9" ht="15.75">
      <c r="A97" s="131" t="s">
        <v>60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 customHeight="1">
      <c r="A98" s="11"/>
    </row>
    <row r="99" spans="1:9" ht="15.75" customHeight="1">
      <c r="A99" s="132" t="s">
        <v>9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 customHeight="1">
      <c r="A100" s="4"/>
    </row>
    <row r="101" spans="1:9" ht="15.75" customHeight="1">
      <c r="B101" s="57" t="s">
        <v>10</v>
      </c>
      <c r="C101" s="133" t="s">
        <v>147</v>
      </c>
      <c r="D101" s="133"/>
      <c r="E101" s="133"/>
      <c r="F101" s="63"/>
      <c r="I101" s="55"/>
    </row>
    <row r="102" spans="1:9" ht="15.75" customHeight="1">
      <c r="A102" s="56"/>
      <c r="C102" s="126" t="s">
        <v>11</v>
      </c>
      <c r="D102" s="126"/>
      <c r="E102" s="126"/>
      <c r="F102" s="28"/>
      <c r="I102" s="54" t="s">
        <v>12</v>
      </c>
    </row>
    <row r="103" spans="1:9" ht="15.75" customHeight="1">
      <c r="A103" s="29"/>
      <c r="C103" s="12"/>
      <c r="D103" s="12"/>
      <c r="G103" s="12"/>
      <c r="H103" s="12"/>
    </row>
    <row r="104" spans="1:9" ht="15.75" customHeight="1">
      <c r="B104" s="57" t="s">
        <v>13</v>
      </c>
      <c r="C104" s="120"/>
      <c r="D104" s="120"/>
      <c r="E104" s="120"/>
      <c r="F104" s="64"/>
      <c r="I104" s="55"/>
    </row>
    <row r="105" spans="1:9">
      <c r="A105" s="56"/>
      <c r="C105" s="113" t="s">
        <v>11</v>
      </c>
      <c r="D105" s="113"/>
      <c r="E105" s="113"/>
      <c r="F105" s="56"/>
      <c r="I105" s="54" t="s">
        <v>12</v>
      </c>
    </row>
    <row r="106" spans="1:9" ht="15.75" customHeight="1">
      <c r="A106" s="4" t="s">
        <v>14</v>
      </c>
    </row>
    <row r="107" spans="1:9" ht="15.75" customHeight="1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5" t="s">
        <v>16</v>
      </c>
      <c r="B108" s="135"/>
      <c r="C108" s="135"/>
      <c r="D108" s="135"/>
      <c r="E108" s="135"/>
      <c r="F108" s="135"/>
      <c r="G108" s="135"/>
      <c r="H108" s="135"/>
      <c r="I108" s="135"/>
    </row>
    <row r="109" spans="1:9" ht="30" customHeight="1">
      <c r="A109" s="135" t="s">
        <v>17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30" customHeight="1">
      <c r="A110" s="135" t="s">
        <v>21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15" customHeight="1">
      <c r="A111" s="135" t="s">
        <v>20</v>
      </c>
      <c r="B111" s="135"/>
      <c r="C111" s="135"/>
      <c r="D111" s="135"/>
      <c r="E111" s="135"/>
      <c r="F111" s="135"/>
      <c r="G111" s="135"/>
      <c r="H111" s="135"/>
      <c r="I111" s="135"/>
    </row>
  </sheetData>
  <autoFilter ref="I12:I61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9:I29"/>
    <mergeCell ref="A45:I45"/>
    <mergeCell ref="A55:I55"/>
    <mergeCell ref="A85:I85"/>
    <mergeCell ref="A91:I91"/>
    <mergeCell ref="B92:G92"/>
    <mergeCell ref="B93:G93"/>
    <mergeCell ref="A95:I95"/>
    <mergeCell ref="A96:I96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3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185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212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42855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hidden="1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31.5" hidden="1" customHeight="1">
      <c r="A31" s="33">
        <v>8</v>
      </c>
      <c r="B31" s="68" t="s">
        <v>108</v>
      </c>
      <c r="C31" s="69" t="s">
        <v>91</v>
      </c>
      <c r="D31" s="68" t="s">
        <v>105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hidden="1" customHeight="1">
      <c r="A32" s="33">
        <v>9</v>
      </c>
      <c r="B32" s="68" t="s">
        <v>122</v>
      </c>
      <c r="C32" s="69" t="s">
        <v>91</v>
      </c>
      <c r="D32" s="68" t="s">
        <v>106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hidden="1" customHeight="1">
      <c r="A34" s="33">
        <v>10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customHeight="1">
      <c r="A38" s="33">
        <v>7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customHeight="1">
      <c r="A40" s="33">
        <v>8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customHeight="1">
      <c r="A41" s="33">
        <v>9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customHeight="1">
      <c r="A42" s="33">
        <v>10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customHeight="1">
      <c r="A43" s="33">
        <v>11</v>
      </c>
      <c r="B43" s="68" t="s">
        <v>92</v>
      </c>
      <c r="C43" s="69" t="s">
        <v>91</v>
      </c>
      <c r="D43" s="136" t="s">
        <v>264</v>
      </c>
      <c r="E43" s="137">
        <v>72</v>
      </c>
      <c r="F43" s="138">
        <f>SUM(E43*15/1000)</f>
        <v>1.08</v>
      </c>
      <c r="G43" s="137">
        <v>458.28</v>
      </c>
      <c r="H43" s="139">
        <f t="shared" ref="H43" si="4">SUM(F43*G43/1000)</f>
        <v>0.4949424</v>
      </c>
      <c r="I43" s="13">
        <f>F43/2*G43</f>
        <v>247.47120000000001</v>
      </c>
      <c r="J43" s="27"/>
      <c r="L43" s="20"/>
      <c r="M43" s="21"/>
      <c r="N43" s="22"/>
    </row>
    <row r="44" spans="1:14" ht="15.75" customHeight="1">
      <c r="A44" s="33">
        <v>12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5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5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5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5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5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>
        <v>13</v>
      </c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5"/>
        <v>3.4787860479999999</v>
      </c>
      <c r="I51" s="13">
        <f>F51/2*G51</f>
        <v>1739.393024</v>
      </c>
      <c r="J51" s="27"/>
      <c r="L51" s="20"/>
      <c r="M51" s="21"/>
      <c r="N51" s="22"/>
    </row>
    <row r="52" spans="1:22" ht="31.5" hidden="1" customHeight="1">
      <c r="A52" s="33">
        <v>14</v>
      </c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f>F52/2*G52</f>
        <v>291.88900000000001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5"/>
        <v>0.1208424</v>
      </c>
      <c r="I53" s="13">
        <v>0</v>
      </c>
      <c r="J53" s="27"/>
      <c r="L53" s="20"/>
      <c r="M53" s="21"/>
      <c r="N53" s="22"/>
    </row>
    <row r="54" spans="1:22" ht="15.75" customHeight="1">
      <c r="A54" s="33">
        <v>13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5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customHeight="1">
      <c r="A57" s="33">
        <v>14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customHeight="1">
      <c r="A59" s="33">
        <v>15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16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>
        <v>19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6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6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6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6"/>
        <v>1.7593888200000001</v>
      </c>
      <c r="I68" s="13">
        <f t="shared" ref="I68:I72" si="7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6"/>
        <v>23.5528236</v>
      </c>
      <c r="I69" s="13">
        <f t="shared" si="7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6"/>
        <v>0.38403000000000004</v>
      </c>
      <c r="I70" s="13">
        <f t="shared" si="7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6"/>
        <v>0.35829</v>
      </c>
      <c r="I71" s="13">
        <f t="shared" si="7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6"/>
        <v>0.10664</v>
      </c>
      <c r="I72" s="13">
        <f t="shared" si="7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6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6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17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18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I16+I17+I18+I20+I27+I28+I38+I40+I41+I42+I43+I44+I54+I57+I59+I63+I82+I83</f>
        <v>47065.939865999993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hidden="1" customHeight="1">
      <c r="A86" s="33"/>
      <c r="B86" s="49" t="s">
        <v>155</v>
      </c>
      <c r="C86" s="53" t="s">
        <v>153</v>
      </c>
      <c r="D86" s="46"/>
      <c r="E86" s="13"/>
      <c r="F86" s="13">
        <v>5</v>
      </c>
      <c r="G86" s="13">
        <v>129.04</v>
      </c>
      <c r="H86" s="66">
        <f t="shared" ref="H86:H110" si="8">G86*F86/1000</f>
        <v>0.64519999999999988</v>
      </c>
      <c r="I86" s="13">
        <v>0</v>
      </c>
    </row>
    <row r="87" spans="1:9" ht="15.75" hidden="1" customHeight="1">
      <c r="A87" s="33"/>
      <c r="B87" s="49" t="s">
        <v>156</v>
      </c>
      <c r="C87" s="53" t="s">
        <v>110</v>
      </c>
      <c r="D87" s="46"/>
      <c r="E87" s="13"/>
      <c r="F87" s="13">
        <v>1</v>
      </c>
      <c r="G87" s="13">
        <v>124.25</v>
      </c>
      <c r="H87" s="66">
        <f t="shared" si="8"/>
        <v>0.12425</v>
      </c>
      <c r="I87" s="13">
        <v>0</v>
      </c>
    </row>
    <row r="88" spans="1:9" ht="15.75" hidden="1" customHeight="1">
      <c r="A88" s="33"/>
      <c r="B88" s="67" t="s">
        <v>157</v>
      </c>
      <c r="C88" s="53" t="s">
        <v>127</v>
      </c>
      <c r="D88" s="46"/>
      <c r="E88" s="13"/>
      <c r="F88" s="13">
        <v>1</v>
      </c>
      <c r="G88" s="13">
        <v>2292.96</v>
      </c>
      <c r="H88" s="66">
        <f t="shared" si="8"/>
        <v>2.2929599999999999</v>
      </c>
      <c r="I88" s="13">
        <v>0</v>
      </c>
    </row>
    <row r="89" spans="1:9" ht="15.75" hidden="1" customHeight="1">
      <c r="A89" s="33"/>
      <c r="B89" s="49" t="s">
        <v>158</v>
      </c>
      <c r="C89" s="53" t="s">
        <v>159</v>
      </c>
      <c r="D89" s="46"/>
      <c r="E89" s="13"/>
      <c r="F89" s="13">
        <v>1</v>
      </c>
      <c r="G89" s="13">
        <v>8279</v>
      </c>
      <c r="H89" s="66">
        <f t="shared" si="8"/>
        <v>8.2789999999999999</v>
      </c>
      <c r="I89" s="13">
        <v>0</v>
      </c>
    </row>
    <row r="90" spans="1:9" ht="15.75" hidden="1" customHeight="1">
      <c r="A90" s="33"/>
      <c r="B90" s="49" t="s">
        <v>160</v>
      </c>
      <c r="C90" s="53" t="s">
        <v>159</v>
      </c>
      <c r="D90" s="46"/>
      <c r="E90" s="13"/>
      <c r="F90" s="13">
        <v>1</v>
      </c>
      <c r="G90" s="13">
        <v>7522</v>
      </c>
      <c r="H90" s="66">
        <f t="shared" si="8"/>
        <v>7.5220000000000002</v>
      </c>
      <c r="I90" s="13"/>
    </row>
    <row r="91" spans="1:9" ht="15.75" hidden="1" customHeight="1">
      <c r="A91" s="33"/>
      <c r="B91" s="49" t="s">
        <v>161</v>
      </c>
      <c r="C91" s="53" t="s">
        <v>127</v>
      </c>
      <c r="D91" s="46"/>
      <c r="E91" s="13"/>
      <c r="F91" s="13">
        <v>1</v>
      </c>
      <c r="G91" s="13">
        <v>625.07000000000005</v>
      </c>
      <c r="H91" s="66">
        <f t="shared" si="8"/>
        <v>0.62507000000000001</v>
      </c>
      <c r="I91" s="13">
        <v>0</v>
      </c>
    </row>
    <row r="92" spans="1:9" ht="31.5" hidden="1" customHeight="1">
      <c r="A92" s="33"/>
      <c r="B92" s="49" t="s">
        <v>162</v>
      </c>
      <c r="C92" s="53" t="s">
        <v>81</v>
      </c>
      <c r="D92" s="46"/>
      <c r="E92" s="13"/>
      <c r="F92" s="13">
        <v>3</v>
      </c>
      <c r="G92" s="13">
        <v>771.29</v>
      </c>
      <c r="H92" s="66">
        <f t="shared" si="8"/>
        <v>2.3138700000000001</v>
      </c>
      <c r="I92" s="13">
        <v>0</v>
      </c>
    </row>
    <row r="93" spans="1:9" ht="31.5" hidden="1" customHeight="1">
      <c r="A93" s="33"/>
      <c r="B93" s="49" t="s">
        <v>163</v>
      </c>
      <c r="C93" s="53" t="s">
        <v>81</v>
      </c>
      <c r="D93" s="46"/>
      <c r="E93" s="13"/>
      <c r="F93" s="13">
        <v>2</v>
      </c>
      <c r="G93" s="13">
        <v>960.74</v>
      </c>
      <c r="H93" s="66">
        <f t="shared" si="8"/>
        <v>1.9214800000000001</v>
      </c>
      <c r="I93" s="13">
        <v>0</v>
      </c>
    </row>
    <row r="94" spans="1:9" ht="15.75" hidden="1" customHeight="1">
      <c r="A94" s="33"/>
      <c r="B94" s="49" t="s">
        <v>164</v>
      </c>
      <c r="C94" s="53" t="s">
        <v>110</v>
      </c>
      <c r="D94" s="46"/>
      <c r="E94" s="13"/>
      <c r="F94" s="13">
        <v>2</v>
      </c>
      <c r="G94" s="13">
        <v>27.36</v>
      </c>
      <c r="H94" s="66">
        <f t="shared" si="8"/>
        <v>5.4719999999999998E-2</v>
      </c>
      <c r="I94" s="13">
        <v>0</v>
      </c>
    </row>
    <row r="95" spans="1:9" ht="15.75" hidden="1" customHeight="1">
      <c r="A95" s="33"/>
      <c r="B95" s="49" t="s">
        <v>180</v>
      </c>
      <c r="C95" s="53" t="s">
        <v>110</v>
      </c>
      <c r="D95" s="46"/>
      <c r="E95" s="13"/>
      <c r="F95" s="13">
        <v>2</v>
      </c>
      <c r="G95" s="13">
        <v>50.01</v>
      </c>
      <c r="H95" s="66">
        <f t="shared" si="8"/>
        <v>0.10002</v>
      </c>
      <c r="I95" s="13">
        <v>0</v>
      </c>
    </row>
    <row r="96" spans="1:9" ht="15.75" hidden="1" customHeight="1">
      <c r="A96" s="33"/>
      <c r="B96" s="49" t="s">
        <v>181</v>
      </c>
      <c r="C96" s="53" t="s">
        <v>110</v>
      </c>
      <c r="D96" s="46"/>
      <c r="E96" s="13"/>
      <c r="F96" s="13">
        <v>1</v>
      </c>
      <c r="G96" s="13">
        <v>47.59</v>
      </c>
      <c r="H96" s="66">
        <f t="shared" si="8"/>
        <v>4.759E-2</v>
      </c>
      <c r="I96" s="13">
        <v>0</v>
      </c>
    </row>
    <row r="97" spans="1:9" ht="15.75" hidden="1" customHeight="1">
      <c r="A97" s="33"/>
      <c r="B97" s="49" t="s">
        <v>165</v>
      </c>
      <c r="C97" s="53" t="s">
        <v>110</v>
      </c>
      <c r="D97" s="46"/>
      <c r="E97" s="13"/>
      <c r="F97" s="13">
        <v>5</v>
      </c>
      <c r="G97" s="13">
        <v>109.73</v>
      </c>
      <c r="H97" s="66">
        <f t="shared" si="8"/>
        <v>0.54864999999999997</v>
      </c>
      <c r="I97" s="13">
        <v>0</v>
      </c>
    </row>
    <row r="98" spans="1:9" ht="15.75" hidden="1" customHeight="1">
      <c r="A98" s="33"/>
      <c r="B98" s="49" t="s">
        <v>166</v>
      </c>
      <c r="C98" s="53" t="s">
        <v>110</v>
      </c>
      <c r="D98" s="46"/>
      <c r="E98" s="13"/>
      <c r="F98" s="13">
        <v>2</v>
      </c>
      <c r="G98" s="13">
        <v>61.81</v>
      </c>
      <c r="H98" s="66">
        <f t="shared" si="8"/>
        <v>0.12362000000000001</v>
      </c>
      <c r="I98" s="13">
        <v>0</v>
      </c>
    </row>
    <row r="99" spans="1:9" ht="15.75" hidden="1" customHeight="1">
      <c r="A99" s="33"/>
      <c r="B99" s="49" t="s">
        <v>167</v>
      </c>
      <c r="C99" s="53" t="s">
        <v>110</v>
      </c>
      <c r="D99" s="46"/>
      <c r="E99" s="13"/>
      <c r="F99" s="13">
        <v>4</v>
      </c>
      <c r="G99" s="13">
        <v>78.89</v>
      </c>
      <c r="H99" s="66">
        <f t="shared" si="8"/>
        <v>0.31556000000000001</v>
      </c>
      <c r="I99" s="13">
        <v>0</v>
      </c>
    </row>
    <row r="100" spans="1:9" ht="31.5" hidden="1" customHeight="1">
      <c r="A100" s="33"/>
      <c r="B100" s="49" t="s">
        <v>168</v>
      </c>
      <c r="C100" s="53" t="s">
        <v>153</v>
      </c>
      <c r="D100" s="46"/>
      <c r="E100" s="13"/>
      <c r="F100" s="13">
        <v>4</v>
      </c>
      <c r="G100" s="13">
        <v>1272</v>
      </c>
      <c r="H100" s="66">
        <f t="shared" si="8"/>
        <v>5.0880000000000001</v>
      </c>
      <c r="I100" s="13">
        <v>0</v>
      </c>
    </row>
    <row r="101" spans="1:9" ht="31.5" hidden="1" customHeight="1">
      <c r="A101" s="33"/>
      <c r="B101" s="49" t="s">
        <v>169</v>
      </c>
      <c r="C101" s="53" t="s">
        <v>153</v>
      </c>
      <c r="D101" s="46"/>
      <c r="E101" s="13"/>
      <c r="F101" s="13">
        <v>4</v>
      </c>
      <c r="G101" s="13">
        <v>1206</v>
      </c>
      <c r="H101" s="66">
        <f>G101*F101/1000</f>
        <v>4.8239999999999998</v>
      </c>
      <c r="I101" s="13">
        <v>0</v>
      </c>
    </row>
    <row r="102" spans="1:9" ht="31.5" hidden="1" customHeight="1">
      <c r="A102" s="33"/>
      <c r="B102" s="49" t="s">
        <v>170</v>
      </c>
      <c r="C102" s="53" t="s">
        <v>153</v>
      </c>
      <c r="D102" s="46"/>
      <c r="E102" s="13"/>
      <c r="F102" s="13">
        <v>2</v>
      </c>
      <c r="G102" s="13">
        <v>1187</v>
      </c>
      <c r="H102" s="66">
        <f t="shared" si="8"/>
        <v>2.3740000000000001</v>
      </c>
      <c r="I102" s="13">
        <v>0</v>
      </c>
    </row>
    <row r="103" spans="1:9" ht="15.75" hidden="1" customHeight="1">
      <c r="A103" s="33"/>
      <c r="B103" s="49" t="s">
        <v>171</v>
      </c>
      <c r="C103" s="53" t="s">
        <v>172</v>
      </c>
      <c r="D103" s="14"/>
      <c r="E103" s="19"/>
      <c r="F103" s="13">
        <f>1/100</f>
        <v>0.01</v>
      </c>
      <c r="G103" s="13">
        <v>7033.13</v>
      </c>
      <c r="H103" s="66">
        <f t="shared" si="8"/>
        <v>7.0331299999999999E-2</v>
      </c>
      <c r="I103" s="13">
        <v>0</v>
      </c>
    </row>
    <row r="104" spans="1:9" ht="31.5" hidden="1" customHeight="1">
      <c r="A104" s="33"/>
      <c r="B104" s="49" t="s">
        <v>173</v>
      </c>
      <c r="C104" s="53" t="s">
        <v>110</v>
      </c>
      <c r="D104" s="14"/>
      <c r="E104" s="19"/>
      <c r="F104" s="13">
        <v>1</v>
      </c>
      <c r="G104" s="13">
        <v>2179.33</v>
      </c>
      <c r="H104" s="66">
        <f t="shared" si="8"/>
        <v>2.1793299999999998</v>
      </c>
      <c r="I104" s="13">
        <v>0</v>
      </c>
    </row>
    <row r="105" spans="1:9" ht="15.75" hidden="1" customHeight="1">
      <c r="A105" s="33"/>
      <c r="B105" s="49" t="s">
        <v>174</v>
      </c>
      <c r="C105" s="53" t="s">
        <v>159</v>
      </c>
      <c r="D105" s="14"/>
      <c r="E105" s="19"/>
      <c r="F105" s="13">
        <v>1</v>
      </c>
      <c r="G105" s="13">
        <v>302</v>
      </c>
      <c r="H105" s="66">
        <f t="shared" si="8"/>
        <v>0.30199999999999999</v>
      </c>
      <c r="I105" s="13">
        <v>0</v>
      </c>
    </row>
    <row r="106" spans="1:9" ht="15.75" hidden="1" customHeight="1">
      <c r="A106" s="33"/>
      <c r="B106" s="49" t="s">
        <v>175</v>
      </c>
      <c r="C106" s="87" t="s">
        <v>176</v>
      </c>
      <c r="D106" s="46"/>
      <c r="E106" s="13"/>
      <c r="F106" s="13">
        <v>1</v>
      </c>
      <c r="G106" s="13">
        <v>286.55</v>
      </c>
      <c r="H106" s="66">
        <f>G106*F106/1000</f>
        <v>0.28655000000000003</v>
      </c>
      <c r="I106" s="13">
        <v>0</v>
      </c>
    </row>
    <row r="107" spans="1:9" ht="15.75" hidden="1" customHeight="1">
      <c r="A107" s="33"/>
      <c r="B107" s="49" t="s">
        <v>177</v>
      </c>
      <c r="C107" s="53" t="s">
        <v>153</v>
      </c>
      <c r="D107" s="14"/>
      <c r="E107" s="19"/>
      <c r="F107" s="13">
        <v>10</v>
      </c>
      <c r="G107" s="13">
        <v>83.63</v>
      </c>
      <c r="H107" s="66">
        <f t="shared" si="8"/>
        <v>0.83629999999999993</v>
      </c>
      <c r="I107" s="13">
        <v>0</v>
      </c>
    </row>
    <row r="108" spans="1:9" ht="15.75" hidden="1" customHeight="1">
      <c r="A108" s="33"/>
      <c r="B108" s="49" t="s">
        <v>178</v>
      </c>
      <c r="C108" s="53" t="s">
        <v>110</v>
      </c>
      <c r="D108" s="14"/>
      <c r="E108" s="19"/>
      <c r="F108" s="13">
        <v>1</v>
      </c>
      <c r="G108" s="13">
        <v>149.63999999999999</v>
      </c>
      <c r="H108" s="66">
        <f t="shared" si="8"/>
        <v>0.14964</v>
      </c>
      <c r="I108" s="13">
        <v>0</v>
      </c>
    </row>
    <row r="109" spans="1:9" ht="15.75" hidden="1" customHeight="1">
      <c r="A109" s="33"/>
      <c r="B109" s="67" t="s">
        <v>85</v>
      </c>
      <c r="C109" s="53" t="s">
        <v>110</v>
      </c>
      <c r="D109" s="14"/>
      <c r="E109" s="19"/>
      <c r="F109" s="13">
        <v>1</v>
      </c>
      <c r="G109" s="13">
        <v>179.96</v>
      </c>
      <c r="H109" s="66">
        <f t="shared" si="8"/>
        <v>0.17996000000000001</v>
      </c>
      <c r="I109" s="13">
        <v>0</v>
      </c>
    </row>
    <row r="110" spans="1:9" ht="15.75" hidden="1" customHeight="1">
      <c r="A110" s="33"/>
      <c r="B110" s="67" t="s">
        <v>179</v>
      </c>
      <c r="C110" s="53" t="s">
        <v>159</v>
      </c>
      <c r="D110" s="14"/>
      <c r="E110" s="19"/>
      <c r="F110" s="13">
        <v>1</v>
      </c>
      <c r="G110" s="13">
        <v>60121</v>
      </c>
      <c r="H110" s="66">
        <f t="shared" si="8"/>
        <v>60.121000000000002</v>
      </c>
      <c r="I110" s="13">
        <v>0</v>
      </c>
    </row>
    <row r="111" spans="1:9" ht="15.75" customHeight="1">
      <c r="A111" s="33"/>
      <c r="B111" s="44" t="s">
        <v>50</v>
      </c>
      <c r="C111" s="40"/>
      <c r="D111" s="47"/>
      <c r="E111" s="40">
        <v>1</v>
      </c>
      <c r="F111" s="40"/>
      <c r="G111" s="40"/>
      <c r="H111" s="40"/>
      <c r="I111" s="35">
        <f>SUM(I86:I110)</f>
        <v>0</v>
      </c>
    </row>
    <row r="112" spans="1:9" ht="15.75" customHeight="1">
      <c r="A112" s="33"/>
      <c r="B112" s="46" t="s">
        <v>78</v>
      </c>
      <c r="C112" s="15"/>
      <c r="D112" s="15"/>
      <c r="E112" s="41"/>
      <c r="F112" s="41"/>
      <c r="G112" s="42"/>
      <c r="H112" s="42"/>
      <c r="I112" s="18">
        <v>0</v>
      </c>
    </row>
    <row r="113" spans="1:9" ht="15.75" customHeight="1">
      <c r="A113" s="48"/>
      <c r="B113" s="45" t="s">
        <v>205</v>
      </c>
      <c r="C113" s="36"/>
      <c r="D113" s="36"/>
      <c r="E113" s="36"/>
      <c r="F113" s="36"/>
      <c r="G113" s="36"/>
      <c r="H113" s="36"/>
      <c r="I113" s="43">
        <f>I84+I111</f>
        <v>47065.939865999993</v>
      </c>
    </row>
    <row r="114" spans="1:9" ht="15.75" customHeight="1">
      <c r="A114" s="124" t="s">
        <v>213</v>
      </c>
      <c r="B114" s="124"/>
      <c r="C114" s="124"/>
      <c r="D114" s="124"/>
      <c r="E114" s="124"/>
      <c r="F114" s="124"/>
      <c r="G114" s="124"/>
      <c r="H114" s="124"/>
      <c r="I114" s="124"/>
    </row>
    <row r="115" spans="1:9" ht="15.75" customHeight="1">
      <c r="A115" s="60"/>
      <c r="B115" s="125" t="s">
        <v>214</v>
      </c>
      <c r="C115" s="125"/>
      <c r="D115" s="125"/>
      <c r="E115" s="125"/>
      <c r="F115" s="125"/>
      <c r="G115" s="125"/>
      <c r="H115" s="65"/>
      <c r="I115" s="3"/>
    </row>
    <row r="116" spans="1:9" ht="15.75" customHeight="1">
      <c r="A116" s="56"/>
      <c r="B116" s="126" t="s">
        <v>6</v>
      </c>
      <c r="C116" s="126"/>
      <c r="D116" s="126"/>
      <c r="E116" s="126"/>
      <c r="F116" s="126"/>
      <c r="G116" s="126"/>
      <c r="H116" s="28"/>
      <c r="I116" s="5"/>
    </row>
    <row r="117" spans="1:9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ht="15.75" customHeight="1">
      <c r="A118" s="127" t="s">
        <v>7</v>
      </c>
      <c r="B118" s="127"/>
      <c r="C118" s="127"/>
      <c r="D118" s="127"/>
      <c r="E118" s="127"/>
      <c r="F118" s="127"/>
      <c r="G118" s="127"/>
      <c r="H118" s="127"/>
      <c r="I118" s="127"/>
    </row>
    <row r="119" spans="1:9" ht="15.75" customHeight="1">
      <c r="A119" s="127" t="s">
        <v>8</v>
      </c>
      <c r="B119" s="127"/>
      <c r="C119" s="127"/>
      <c r="D119" s="127"/>
      <c r="E119" s="127"/>
      <c r="F119" s="127"/>
      <c r="G119" s="127"/>
      <c r="H119" s="127"/>
      <c r="I119" s="127"/>
    </row>
    <row r="120" spans="1:9" ht="15.75">
      <c r="A120" s="131" t="s">
        <v>60</v>
      </c>
      <c r="B120" s="131"/>
      <c r="C120" s="131"/>
      <c r="D120" s="131"/>
      <c r="E120" s="131"/>
      <c r="F120" s="131"/>
      <c r="G120" s="131"/>
      <c r="H120" s="131"/>
      <c r="I120" s="131"/>
    </row>
    <row r="121" spans="1:9" ht="15.75" customHeight="1">
      <c r="A121" s="11"/>
    </row>
    <row r="122" spans="1:9" ht="15.75" customHeight="1">
      <c r="A122" s="132" t="s">
        <v>9</v>
      </c>
      <c r="B122" s="132"/>
      <c r="C122" s="132"/>
      <c r="D122" s="132"/>
      <c r="E122" s="132"/>
      <c r="F122" s="132"/>
      <c r="G122" s="132"/>
      <c r="H122" s="132"/>
      <c r="I122" s="132"/>
    </row>
    <row r="123" spans="1:9" ht="15.75" customHeight="1">
      <c r="A123" s="4"/>
    </row>
    <row r="124" spans="1:9" ht="15.75" customHeight="1">
      <c r="B124" s="57" t="s">
        <v>10</v>
      </c>
      <c r="C124" s="133" t="s">
        <v>147</v>
      </c>
      <c r="D124" s="133"/>
      <c r="E124" s="133"/>
      <c r="F124" s="63"/>
      <c r="I124" s="55"/>
    </row>
    <row r="125" spans="1:9" ht="15.75" customHeight="1">
      <c r="A125" s="56"/>
      <c r="C125" s="126" t="s">
        <v>11</v>
      </c>
      <c r="D125" s="126"/>
      <c r="E125" s="126"/>
      <c r="F125" s="28"/>
      <c r="I125" s="54" t="s">
        <v>12</v>
      </c>
    </row>
    <row r="126" spans="1:9" ht="15.75" customHeight="1">
      <c r="A126" s="29"/>
      <c r="C126" s="12"/>
      <c r="D126" s="12"/>
      <c r="G126" s="12"/>
      <c r="H126" s="12"/>
    </row>
    <row r="127" spans="1:9" ht="15.75" customHeight="1">
      <c r="B127" s="57" t="s">
        <v>13</v>
      </c>
      <c r="C127" s="120"/>
      <c r="D127" s="120"/>
      <c r="E127" s="120"/>
      <c r="F127" s="64"/>
      <c r="I127" s="55"/>
    </row>
    <row r="128" spans="1:9">
      <c r="A128" s="56"/>
      <c r="C128" s="113" t="s">
        <v>11</v>
      </c>
      <c r="D128" s="113"/>
      <c r="E128" s="113"/>
      <c r="F128" s="56"/>
      <c r="I128" s="54" t="s">
        <v>12</v>
      </c>
    </row>
    <row r="129" spans="1:9" ht="15.75" customHeight="1">
      <c r="A129" s="4" t="s">
        <v>14</v>
      </c>
    </row>
    <row r="130" spans="1:9" ht="15.75" customHeight="1">
      <c r="A130" s="134" t="s">
        <v>15</v>
      </c>
      <c r="B130" s="134"/>
      <c r="C130" s="134"/>
      <c r="D130" s="134"/>
      <c r="E130" s="134"/>
      <c r="F130" s="134"/>
      <c r="G130" s="134"/>
      <c r="H130" s="134"/>
      <c r="I130" s="134"/>
    </row>
    <row r="131" spans="1:9" ht="45" customHeight="1">
      <c r="A131" s="135" t="s">
        <v>16</v>
      </c>
      <c r="B131" s="135"/>
      <c r="C131" s="135"/>
      <c r="D131" s="135"/>
      <c r="E131" s="135"/>
      <c r="F131" s="135"/>
      <c r="G131" s="135"/>
      <c r="H131" s="135"/>
      <c r="I131" s="135"/>
    </row>
    <row r="132" spans="1:9" ht="30" customHeight="1">
      <c r="A132" s="135" t="s">
        <v>17</v>
      </c>
      <c r="B132" s="135"/>
      <c r="C132" s="135"/>
      <c r="D132" s="135"/>
      <c r="E132" s="135"/>
      <c r="F132" s="135"/>
      <c r="G132" s="135"/>
      <c r="H132" s="135"/>
      <c r="I132" s="135"/>
    </row>
    <row r="133" spans="1:9" ht="30" customHeight="1">
      <c r="A133" s="135" t="s">
        <v>21</v>
      </c>
      <c r="B133" s="135"/>
      <c r="C133" s="135"/>
      <c r="D133" s="135"/>
      <c r="E133" s="135"/>
      <c r="F133" s="135"/>
      <c r="G133" s="135"/>
      <c r="H133" s="135"/>
      <c r="I133" s="135"/>
    </row>
    <row r="134" spans="1:9" ht="15" customHeight="1">
      <c r="A134" s="135" t="s">
        <v>20</v>
      </c>
      <c r="B134" s="135"/>
      <c r="C134" s="135"/>
      <c r="D134" s="135"/>
      <c r="E134" s="135"/>
      <c r="F134" s="135"/>
      <c r="G134" s="135"/>
      <c r="H134" s="135"/>
      <c r="I134" s="135"/>
    </row>
  </sheetData>
  <autoFilter ref="I12:I61"/>
  <mergeCells count="29">
    <mergeCell ref="A131:I131"/>
    <mergeCell ref="A132:I132"/>
    <mergeCell ref="A133:I133"/>
    <mergeCell ref="A134:I134"/>
    <mergeCell ref="A122:I122"/>
    <mergeCell ref="C124:E124"/>
    <mergeCell ref="C125:E125"/>
    <mergeCell ref="C127:E127"/>
    <mergeCell ref="C128:E128"/>
    <mergeCell ref="A130:I130"/>
    <mergeCell ref="A120:I120"/>
    <mergeCell ref="A15:I15"/>
    <mergeCell ref="A29:I29"/>
    <mergeCell ref="A45:I45"/>
    <mergeCell ref="A55:I55"/>
    <mergeCell ref="A85:I85"/>
    <mergeCell ref="A114:I114"/>
    <mergeCell ref="B115:G115"/>
    <mergeCell ref="B116:G116"/>
    <mergeCell ref="A118:I118"/>
    <mergeCell ref="A119:I119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186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215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42886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customHeight="1">
      <c r="A19" s="33">
        <v>4</v>
      </c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f>F19/2*G19</f>
        <v>191.91505000000004</v>
      </c>
      <c r="J19" s="26"/>
      <c r="K19" s="8"/>
      <c r="L19" s="8"/>
      <c r="M19" s="8"/>
    </row>
    <row r="20" spans="1:13" ht="15.75" customHeight="1">
      <c r="A20" s="33">
        <v>5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customHeight="1">
      <c r="A21" s="33">
        <v>6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customHeight="1">
      <c r="A22" s="33">
        <v>7</v>
      </c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f>F22*G22</f>
        <v>912.45279999999991</v>
      </c>
      <c r="J22" s="26"/>
      <c r="K22" s="8"/>
      <c r="L22" s="8"/>
      <c r="M22" s="8"/>
    </row>
    <row r="23" spans="1:13" ht="15.75" customHeight="1">
      <c r="A23" s="33">
        <v>8</v>
      </c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f t="shared" ref="I23:I26" si="1">F23*G23</f>
        <v>11.43261</v>
      </c>
      <c r="J23" s="26"/>
      <c r="K23" s="8"/>
      <c r="L23" s="8"/>
      <c r="M23" s="8"/>
    </row>
    <row r="24" spans="1:13" ht="15.75" customHeight="1">
      <c r="A24" s="33">
        <v>9</v>
      </c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f t="shared" si="1"/>
        <v>41.662000000000006</v>
      </c>
      <c r="J24" s="26"/>
      <c r="K24" s="8"/>
      <c r="L24" s="8"/>
      <c r="M24" s="8"/>
    </row>
    <row r="25" spans="1:13" ht="15.75" customHeight="1">
      <c r="A25" s="33">
        <v>10</v>
      </c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f t="shared" si="1"/>
        <v>23.661450000000002</v>
      </c>
      <c r="J25" s="26"/>
      <c r="K25" s="8"/>
      <c r="L25" s="8"/>
      <c r="M25" s="8"/>
    </row>
    <row r="26" spans="1:13" ht="15.75" customHeight="1">
      <c r="A26" s="33">
        <v>11</v>
      </c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f t="shared" si="1"/>
        <v>21.947849999999999</v>
      </c>
      <c r="J26" s="26"/>
      <c r="K26" s="8"/>
      <c r="L26" s="8"/>
      <c r="M26" s="8"/>
    </row>
    <row r="27" spans="1:13" ht="15.75" customHeight="1">
      <c r="A27" s="33">
        <v>12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13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customHeight="1">
      <c r="A31" s="33">
        <v>14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2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customHeight="1">
      <c r="A32" s="33">
        <v>15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2"/>
        <v>4.2160435200000004</v>
      </c>
      <c r="I32" s="13">
        <f t="shared" ref="I32:I34" si="3">F32/6*G32</f>
        <v>702.67392000000007</v>
      </c>
      <c r="J32" s="26"/>
      <c r="K32" s="8"/>
      <c r="L32" s="8"/>
      <c r="M32" s="8"/>
    </row>
    <row r="33" spans="1:14" ht="15.75" customHeight="1">
      <c r="A33" s="33">
        <v>16</v>
      </c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2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customHeight="1">
      <c r="A34" s="33">
        <v>17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2"/>
        <v>3.1309999999999998</v>
      </c>
      <c r="I34" s="13">
        <f t="shared" si="3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2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2"/>
        <v>2.4294600000000002</v>
      </c>
      <c r="I36" s="13">
        <v>0</v>
      </c>
      <c r="J36" s="27"/>
    </row>
    <row r="37" spans="1:14" ht="15.75" hidden="1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hidden="1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4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hidden="1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hidden="1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4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hidden="1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4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4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hidden="1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4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customHeight="1">
      <c r="A46" s="33">
        <v>18</v>
      </c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5">SUM(F46*G46/1000)</f>
        <v>1.2175938880000001</v>
      </c>
      <c r="I46" s="13">
        <f>F46/2*G46</f>
        <v>608.79694400000005</v>
      </c>
      <c r="J46" s="27"/>
      <c r="L46" s="20"/>
      <c r="M46" s="21"/>
      <c r="N46" s="22"/>
    </row>
    <row r="47" spans="1:14" ht="15.75" customHeight="1">
      <c r="A47" s="33">
        <v>19</v>
      </c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5"/>
        <v>3.2211919999999998E-2</v>
      </c>
      <c r="I47" s="13">
        <f t="shared" ref="I47:I49" si="6">F47/2*G47</f>
        <v>16.10596</v>
      </c>
      <c r="J47" s="27"/>
      <c r="L47" s="20"/>
      <c r="M47" s="21"/>
      <c r="N47" s="22"/>
    </row>
    <row r="48" spans="1:14" ht="15.75" customHeight="1">
      <c r="A48" s="33">
        <v>20</v>
      </c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5"/>
        <v>0.94207476800000012</v>
      </c>
      <c r="I48" s="13">
        <f t="shared" si="6"/>
        <v>471.03738400000003</v>
      </c>
      <c r="J48" s="27"/>
      <c r="L48" s="20"/>
      <c r="M48" s="21"/>
      <c r="N48" s="22"/>
    </row>
    <row r="49" spans="1:22" ht="15.75" customHeight="1">
      <c r="A49" s="33">
        <v>21</v>
      </c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5"/>
        <v>1.8680831999999998</v>
      </c>
      <c r="I49" s="13">
        <f t="shared" si="6"/>
        <v>934.0415999999999</v>
      </c>
      <c r="J49" s="27"/>
      <c r="L49" s="20"/>
      <c r="M49" s="21"/>
      <c r="N49" s="22"/>
    </row>
    <row r="50" spans="1:22" ht="15.75" customHeight="1">
      <c r="A50" s="33">
        <v>22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5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5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customHeight="1">
      <c r="A53" s="33">
        <v>23</v>
      </c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5"/>
        <v>0.1208424</v>
      </c>
      <c r="I53" s="13">
        <f t="shared" ref="I53" si="7">F53/2*G53</f>
        <v>60.421199999999999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5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hidden="1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hidden="1" customHeight="1">
      <c r="A59" s="33">
        <v>17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24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25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8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8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customHeight="1">
      <c r="A67" s="33">
        <v>26</v>
      </c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8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3">
        <v>27</v>
      </c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8"/>
        <v>1.7593888200000001</v>
      </c>
      <c r="I68" s="13">
        <f t="shared" ref="I68:I72" si="9">F68*G68</f>
        <v>1759.3888200000001</v>
      </c>
    </row>
    <row r="69" spans="1:21" ht="15.75" customHeight="1">
      <c r="A69" s="33">
        <v>28</v>
      </c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8"/>
        <v>23.5528236</v>
      </c>
      <c r="I69" s="13">
        <f t="shared" si="9"/>
        <v>23552.8236</v>
      </c>
    </row>
    <row r="70" spans="1:21" ht="15.75" customHeight="1">
      <c r="A70" s="33">
        <v>29</v>
      </c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8"/>
        <v>0.38403000000000004</v>
      </c>
      <c r="I70" s="13">
        <f t="shared" si="9"/>
        <v>384.03000000000003</v>
      </c>
    </row>
    <row r="71" spans="1:21" ht="15.75" customHeight="1">
      <c r="A71" s="33">
        <v>30</v>
      </c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8"/>
        <v>0.35829</v>
      </c>
      <c r="I71" s="13">
        <f t="shared" si="9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8"/>
        <v>0.10664</v>
      </c>
      <c r="I72" s="13">
        <f t="shared" si="9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>
        <v>29</v>
      </c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8"/>
        <v>0.21449200000000002</v>
      </c>
      <c r="I74" s="13">
        <f>G74*0.2</f>
        <v>107.24600000000001</v>
      </c>
    </row>
    <row r="75" spans="1:21" ht="15.75" hidden="1" customHeight="1">
      <c r="A75" s="33">
        <v>30</v>
      </c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f>G75*2</f>
        <v>1823.7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8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31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32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I16+I17+I18+I19+I20+I21+I22+I23+I24+I25+I26+I27+I28+I31+I32+I33+I34+I46+I47+I48+I49+I50+I53+I63+I65+I67+I68+I69+I70+I71+I82+I83</f>
        <v>92235.262090666656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33</v>
      </c>
      <c r="B86" s="100" t="s">
        <v>200</v>
      </c>
      <c r="C86" s="101" t="s">
        <v>201</v>
      </c>
      <c r="D86" s="46"/>
      <c r="E86" s="13"/>
      <c r="F86" s="13">
        <f>(3+3+3+3+10+20+13)/3</f>
        <v>18.333333333333332</v>
      </c>
      <c r="G86" s="13">
        <v>1120.8900000000001</v>
      </c>
      <c r="H86" s="66">
        <f>G86*F86/1000</f>
        <v>20.54965</v>
      </c>
      <c r="I86" s="13">
        <f>G86</f>
        <v>1120.8900000000001</v>
      </c>
    </row>
    <row r="87" spans="1:9" ht="15.75" customHeight="1">
      <c r="A87" s="33">
        <v>34</v>
      </c>
      <c r="B87" s="67" t="s">
        <v>85</v>
      </c>
      <c r="C87" s="53" t="s">
        <v>110</v>
      </c>
      <c r="D87" s="46"/>
      <c r="E87" s="13"/>
      <c r="F87" s="13">
        <v>3</v>
      </c>
      <c r="G87" s="13">
        <v>189.67</v>
      </c>
      <c r="H87" s="66">
        <f t="shared" ref="H87" si="10">G87*F87/1000</f>
        <v>0.56901000000000002</v>
      </c>
      <c r="I87" s="13">
        <f>G87</f>
        <v>189.67</v>
      </c>
    </row>
    <row r="88" spans="1:9" ht="15.75" customHeight="1">
      <c r="A88" s="33"/>
      <c r="B88" s="44" t="s">
        <v>50</v>
      </c>
      <c r="C88" s="40"/>
      <c r="D88" s="47"/>
      <c r="E88" s="40">
        <v>1</v>
      </c>
      <c r="F88" s="40"/>
      <c r="G88" s="40"/>
      <c r="H88" s="40"/>
      <c r="I88" s="35">
        <f>SUM(I86:I87)</f>
        <v>1310.5600000000002</v>
      </c>
    </row>
    <row r="89" spans="1:9" ht="15.75" customHeight="1">
      <c r="A89" s="33"/>
      <c r="B89" s="46" t="s">
        <v>78</v>
      </c>
      <c r="C89" s="15"/>
      <c r="D89" s="15"/>
      <c r="E89" s="41"/>
      <c r="F89" s="41"/>
      <c r="G89" s="42"/>
      <c r="H89" s="42"/>
      <c r="I89" s="18">
        <v>0</v>
      </c>
    </row>
    <row r="90" spans="1:9" ht="15.75" customHeight="1">
      <c r="A90" s="48"/>
      <c r="B90" s="45" t="s">
        <v>205</v>
      </c>
      <c r="C90" s="36"/>
      <c r="D90" s="36"/>
      <c r="E90" s="36"/>
      <c r="F90" s="36"/>
      <c r="G90" s="36"/>
      <c r="H90" s="36"/>
      <c r="I90" s="43">
        <f>I84+I88</f>
        <v>93545.822090666654</v>
      </c>
    </row>
    <row r="91" spans="1:9" ht="15.75" customHeight="1">
      <c r="A91" s="124" t="s">
        <v>218</v>
      </c>
      <c r="B91" s="124"/>
      <c r="C91" s="124"/>
      <c r="D91" s="124"/>
      <c r="E91" s="124"/>
      <c r="F91" s="124"/>
      <c r="G91" s="124"/>
      <c r="H91" s="124"/>
      <c r="I91" s="124"/>
    </row>
    <row r="92" spans="1:9" ht="15.75" customHeight="1">
      <c r="A92" s="60"/>
      <c r="B92" s="125" t="s">
        <v>219</v>
      </c>
      <c r="C92" s="125"/>
      <c r="D92" s="125"/>
      <c r="E92" s="125"/>
      <c r="F92" s="125"/>
      <c r="G92" s="125"/>
      <c r="H92" s="65"/>
      <c r="I92" s="3"/>
    </row>
    <row r="93" spans="1:9" ht="15.75" customHeight="1">
      <c r="A93" s="56"/>
      <c r="B93" s="126" t="s">
        <v>6</v>
      </c>
      <c r="C93" s="126"/>
      <c r="D93" s="126"/>
      <c r="E93" s="126"/>
      <c r="F93" s="126"/>
      <c r="G93" s="126"/>
      <c r="H93" s="28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27" t="s">
        <v>7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 customHeight="1">
      <c r="A96" s="127" t="s">
        <v>8</v>
      </c>
      <c r="B96" s="127"/>
      <c r="C96" s="127"/>
      <c r="D96" s="127"/>
      <c r="E96" s="127"/>
      <c r="F96" s="127"/>
      <c r="G96" s="127"/>
      <c r="H96" s="127"/>
      <c r="I96" s="127"/>
    </row>
    <row r="97" spans="1:9" ht="15.75">
      <c r="A97" s="131" t="s">
        <v>60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 customHeight="1">
      <c r="A98" s="11"/>
    </row>
    <row r="99" spans="1:9" ht="15.75" customHeight="1">
      <c r="A99" s="132" t="s">
        <v>9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 customHeight="1">
      <c r="A100" s="4"/>
    </row>
    <row r="101" spans="1:9" ht="15.75" customHeight="1">
      <c r="B101" s="57" t="s">
        <v>10</v>
      </c>
      <c r="C101" s="133" t="s">
        <v>147</v>
      </c>
      <c r="D101" s="133"/>
      <c r="E101" s="133"/>
      <c r="F101" s="63"/>
      <c r="I101" s="55"/>
    </row>
    <row r="102" spans="1:9" ht="15.75" customHeight="1">
      <c r="A102" s="56"/>
      <c r="C102" s="126" t="s">
        <v>11</v>
      </c>
      <c r="D102" s="126"/>
      <c r="E102" s="126"/>
      <c r="F102" s="28"/>
      <c r="I102" s="54" t="s">
        <v>12</v>
      </c>
    </row>
    <row r="103" spans="1:9" ht="15.75" customHeight="1">
      <c r="A103" s="29"/>
      <c r="C103" s="12"/>
      <c r="D103" s="12"/>
      <c r="G103" s="12"/>
      <c r="H103" s="12"/>
    </row>
    <row r="104" spans="1:9" ht="15.75" customHeight="1">
      <c r="B104" s="57" t="s">
        <v>13</v>
      </c>
      <c r="C104" s="120"/>
      <c r="D104" s="120"/>
      <c r="E104" s="120"/>
      <c r="F104" s="64"/>
      <c r="I104" s="55"/>
    </row>
    <row r="105" spans="1:9">
      <c r="A105" s="56"/>
      <c r="C105" s="113" t="s">
        <v>11</v>
      </c>
      <c r="D105" s="113"/>
      <c r="E105" s="113"/>
      <c r="F105" s="56"/>
      <c r="I105" s="54" t="s">
        <v>12</v>
      </c>
    </row>
    <row r="106" spans="1:9" ht="15.75" customHeight="1">
      <c r="A106" s="4" t="s">
        <v>14</v>
      </c>
    </row>
    <row r="107" spans="1:9" ht="15.75" customHeight="1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5" t="s">
        <v>16</v>
      </c>
      <c r="B108" s="135"/>
      <c r="C108" s="135"/>
      <c r="D108" s="135"/>
      <c r="E108" s="135"/>
      <c r="F108" s="135"/>
      <c r="G108" s="135"/>
      <c r="H108" s="135"/>
      <c r="I108" s="135"/>
    </row>
    <row r="109" spans="1:9" ht="30" customHeight="1">
      <c r="A109" s="135" t="s">
        <v>17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30" customHeight="1">
      <c r="A110" s="135" t="s">
        <v>21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15" customHeight="1">
      <c r="A111" s="135" t="s">
        <v>20</v>
      </c>
      <c r="B111" s="135"/>
      <c r="C111" s="135"/>
      <c r="D111" s="135"/>
      <c r="E111" s="135"/>
      <c r="F111" s="135"/>
      <c r="G111" s="135"/>
      <c r="H111" s="135"/>
      <c r="I111" s="135"/>
    </row>
  </sheetData>
  <autoFilter ref="I12:I61"/>
  <mergeCells count="29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9:I29"/>
    <mergeCell ref="A45:I45"/>
    <mergeCell ref="A55:I55"/>
    <mergeCell ref="A85:I85"/>
    <mergeCell ref="A91:I91"/>
    <mergeCell ref="B92:G92"/>
    <mergeCell ref="B93:G93"/>
    <mergeCell ref="A95:I95"/>
    <mergeCell ref="A96:I96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187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220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42916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customHeight="1">
      <c r="A31" s="33">
        <v>7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customHeight="1">
      <c r="A32" s="33">
        <v>8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customHeight="1">
      <c r="A34" s="33">
        <v>9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hidden="1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hidden="1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hidden="1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hidden="1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hidden="1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hidden="1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hidden="1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148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hidden="1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hidden="1" customHeight="1">
      <c r="A59" s="33">
        <v>17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10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11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G65*5</f>
        <v>1188.7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149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12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13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I16+I17+I18+I20+I27+I28+I31+I32+I34+I63+I65+I82+I83</f>
        <v>38298.078226666665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14</v>
      </c>
      <c r="B86" s="100" t="s">
        <v>200</v>
      </c>
      <c r="C86" s="101" t="s">
        <v>201</v>
      </c>
      <c r="D86" s="98"/>
      <c r="E86" s="37"/>
      <c r="F86" s="37">
        <f>(3+3+3+3+10+20+13)/3</f>
        <v>18.333333333333332</v>
      </c>
      <c r="G86" s="37">
        <v>1120.8900000000001</v>
      </c>
      <c r="H86" s="99">
        <f>G86*F86/1000</f>
        <v>20.54965</v>
      </c>
      <c r="I86" s="13">
        <f>G86*(10/3)</f>
        <v>3736.3000000000006</v>
      </c>
    </row>
    <row r="87" spans="1:9" ht="15.75" customHeight="1">
      <c r="A87" s="33">
        <v>15</v>
      </c>
      <c r="B87" s="49" t="s">
        <v>82</v>
      </c>
      <c r="C87" s="53" t="s">
        <v>110</v>
      </c>
      <c r="D87" s="98"/>
      <c r="E87" s="37"/>
      <c r="F87" s="37">
        <v>5</v>
      </c>
      <c r="G87" s="37">
        <v>189.88</v>
      </c>
      <c r="H87" s="99">
        <f>G87*F87/1000</f>
        <v>0.94940000000000002</v>
      </c>
      <c r="I87" s="13">
        <f>G87</f>
        <v>189.88</v>
      </c>
    </row>
    <row r="88" spans="1:9" ht="15.75" customHeight="1">
      <c r="A88" s="33">
        <v>16</v>
      </c>
      <c r="B88" s="67" t="s">
        <v>85</v>
      </c>
      <c r="C88" s="53" t="s">
        <v>110</v>
      </c>
      <c r="D88" s="46"/>
      <c r="E88" s="13"/>
      <c r="F88" s="13">
        <v>3</v>
      </c>
      <c r="G88" s="13">
        <v>189.67</v>
      </c>
      <c r="H88" s="66">
        <f t="shared" ref="H88:H94" si="7">G88*F88/1000</f>
        <v>0.56901000000000002</v>
      </c>
      <c r="I88" s="13">
        <f>G88*2</f>
        <v>379.34</v>
      </c>
    </row>
    <row r="89" spans="1:9" ht="15.75" customHeight="1">
      <c r="A89" s="33">
        <v>17</v>
      </c>
      <c r="B89" s="49" t="s">
        <v>143</v>
      </c>
      <c r="C89" s="53" t="s">
        <v>84</v>
      </c>
      <c r="D89" s="14"/>
      <c r="E89" s="19"/>
      <c r="F89" s="13">
        <v>4</v>
      </c>
      <c r="G89" s="13">
        <v>195.85</v>
      </c>
      <c r="H89" s="66">
        <f t="shared" si="7"/>
        <v>0.78339999999999999</v>
      </c>
      <c r="I89" s="13">
        <f>G89</f>
        <v>195.85</v>
      </c>
    </row>
    <row r="90" spans="1:9" ht="31.5" customHeight="1">
      <c r="A90" s="33">
        <v>18</v>
      </c>
      <c r="B90" s="49" t="s">
        <v>140</v>
      </c>
      <c r="C90" s="53" t="s">
        <v>127</v>
      </c>
      <c r="D90" s="14"/>
      <c r="E90" s="19"/>
      <c r="F90" s="13">
        <v>4</v>
      </c>
      <c r="G90" s="13">
        <v>589.84</v>
      </c>
      <c r="H90" s="66">
        <f t="shared" si="7"/>
        <v>2.3593600000000001</v>
      </c>
      <c r="I90" s="13">
        <f>G90*(1+2)</f>
        <v>1769.52</v>
      </c>
    </row>
    <row r="91" spans="1:9" ht="15.75" customHeight="1">
      <c r="A91" s="33">
        <v>19</v>
      </c>
      <c r="B91" s="67" t="s">
        <v>221</v>
      </c>
      <c r="C91" s="87" t="s">
        <v>74</v>
      </c>
      <c r="D91" s="14"/>
      <c r="E91" s="19"/>
      <c r="F91" s="13">
        <f>4/10</f>
        <v>0.4</v>
      </c>
      <c r="G91" s="13">
        <v>4005.2</v>
      </c>
      <c r="H91" s="66">
        <f t="shared" si="7"/>
        <v>1.6020799999999999</v>
      </c>
      <c r="I91" s="13">
        <f>G91*0.4</f>
        <v>1602.08</v>
      </c>
    </row>
    <row r="92" spans="1:9" ht="31.5" customHeight="1">
      <c r="A92" s="33">
        <v>20</v>
      </c>
      <c r="B92" s="49" t="s">
        <v>222</v>
      </c>
      <c r="C92" s="53" t="s">
        <v>223</v>
      </c>
      <c r="D92" s="14"/>
      <c r="E92" s="19"/>
      <c r="F92" s="13">
        <f>50/10</f>
        <v>5</v>
      </c>
      <c r="G92" s="13">
        <v>2166.5300000000002</v>
      </c>
      <c r="H92" s="66">
        <f t="shared" si="7"/>
        <v>10.832650000000001</v>
      </c>
      <c r="I92" s="13">
        <f>G92*5</f>
        <v>10832.650000000001</v>
      </c>
    </row>
    <row r="93" spans="1:9" ht="15.75" customHeight="1">
      <c r="A93" s="33">
        <v>21</v>
      </c>
      <c r="B93" s="49" t="s">
        <v>224</v>
      </c>
      <c r="C93" s="53" t="s">
        <v>225</v>
      </c>
      <c r="D93" s="14"/>
      <c r="E93" s="19"/>
      <c r="F93" s="13">
        <v>4</v>
      </c>
      <c r="G93" s="13">
        <v>1582</v>
      </c>
      <c r="H93" s="66">
        <f t="shared" si="7"/>
        <v>6.3280000000000003</v>
      </c>
      <c r="I93" s="13">
        <f>G93*4</f>
        <v>6328</v>
      </c>
    </row>
    <row r="94" spans="1:9" ht="15.75" customHeight="1">
      <c r="A94" s="33">
        <v>22</v>
      </c>
      <c r="B94" s="49" t="s">
        <v>265</v>
      </c>
      <c r="C94" s="53" t="s">
        <v>33</v>
      </c>
      <c r="D94" s="38"/>
      <c r="E94" s="18"/>
      <c r="F94" s="37">
        <f>(21.11+36.98+9.01)-(7.21*6)+((((22.41+16.1+1.55)-(7.21*6))*44.31)/42.61)</f>
        <v>20.512330438864115</v>
      </c>
      <c r="G94" s="37">
        <v>42.61</v>
      </c>
      <c r="H94" s="37">
        <f t="shared" si="7"/>
        <v>0.87403039999999999</v>
      </c>
      <c r="I94" s="13">
        <f>G94*F94</f>
        <v>874.03039999999999</v>
      </c>
    </row>
    <row r="95" spans="1:9" ht="15.75" customHeight="1">
      <c r="A95" s="33"/>
      <c r="B95" s="44" t="s">
        <v>50</v>
      </c>
      <c r="C95" s="40"/>
      <c r="D95" s="47"/>
      <c r="E95" s="40">
        <v>1</v>
      </c>
      <c r="F95" s="40"/>
      <c r="G95" s="40"/>
      <c r="H95" s="40"/>
      <c r="I95" s="35">
        <f>SUM(I86:I94)</f>
        <v>25907.650400000002</v>
      </c>
    </row>
    <row r="96" spans="1:9" ht="15.75" customHeight="1">
      <c r="A96" s="33"/>
      <c r="B96" s="46" t="s">
        <v>78</v>
      </c>
      <c r="C96" s="15"/>
      <c r="D96" s="15"/>
      <c r="E96" s="41"/>
      <c r="F96" s="41"/>
      <c r="G96" s="42"/>
      <c r="H96" s="42"/>
      <c r="I96" s="18">
        <v>0</v>
      </c>
    </row>
    <row r="97" spans="1:9" ht="15.75" customHeight="1">
      <c r="A97" s="48"/>
      <c r="B97" s="45" t="s">
        <v>205</v>
      </c>
      <c r="C97" s="36"/>
      <c r="D97" s="36"/>
      <c r="E97" s="36"/>
      <c r="F97" s="36"/>
      <c r="G97" s="36"/>
      <c r="H97" s="36"/>
      <c r="I97" s="43">
        <f>I84+I95</f>
        <v>64205.728626666663</v>
      </c>
    </row>
    <row r="98" spans="1:9" ht="15.75" customHeight="1">
      <c r="A98" s="124" t="s">
        <v>266</v>
      </c>
      <c r="B98" s="124"/>
      <c r="C98" s="124"/>
      <c r="D98" s="124"/>
      <c r="E98" s="124"/>
      <c r="F98" s="124"/>
      <c r="G98" s="124"/>
      <c r="H98" s="124"/>
      <c r="I98" s="124"/>
    </row>
    <row r="99" spans="1:9" ht="15.75" customHeight="1">
      <c r="A99" s="60"/>
      <c r="B99" s="125" t="s">
        <v>267</v>
      </c>
      <c r="C99" s="125"/>
      <c r="D99" s="125"/>
      <c r="E99" s="125"/>
      <c r="F99" s="125"/>
      <c r="G99" s="125"/>
      <c r="H99" s="65"/>
      <c r="I99" s="3"/>
    </row>
    <row r="100" spans="1:9" ht="15.75" customHeight="1">
      <c r="A100" s="56"/>
      <c r="B100" s="126" t="s">
        <v>6</v>
      </c>
      <c r="C100" s="126"/>
      <c r="D100" s="126"/>
      <c r="E100" s="126"/>
      <c r="F100" s="126"/>
      <c r="G100" s="126"/>
      <c r="H100" s="28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27" t="s">
        <v>7</v>
      </c>
      <c r="B102" s="127"/>
      <c r="C102" s="127"/>
      <c r="D102" s="127"/>
      <c r="E102" s="127"/>
      <c r="F102" s="127"/>
      <c r="G102" s="127"/>
      <c r="H102" s="127"/>
      <c r="I102" s="127"/>
    </row>
    <row r="103" spans="1:9" ht="15.75" customHeight="1">
      <c r="A103" s="127" t="s">
        <v>8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>
      <c r="A104" s="131" t="s">
        <v>60</v>
      </c>
      <c r="B104" s="131"/>
      <c r="C104" s="131"/>
      <c r="D104" s="131"/>
      <c r="E104" s="131"/>
      <c r="F104" s="131"/>
      <c r="G104" s="131"/>
      <c r="H104" s="131"/>
      <c r="I104" s="131"/>
    </row>
    <row r="105" spans="1:9" ht="15.75" customHeight="1">
      <c r="A105" s="11"/>
    </row>
    <row r="106" spans="1:9" ht="15.75" customHeight="1">
      <c r="A106" s="132" t="s">
        <v>9</v>
      </c>
      <c r="B106" s="132"/>
      <c r="C106" s="132"/>
      <c r="D106" s="132"/>
      <c r="E106" s="132"/>
      <c r="F106" s="132"/>
      <c r="G106" s="132"/>
      <c r="H106" s="132"/>
      <c r="I106" s="132"/>
    </row>
    <row r="107" spans="1:9" ht="15.75" customHeight="1">
      <c r="A107" s="4"/>
    </row>
    <row r="108" spans="1:9" ht="15.75" customHeight="1">
      <c r="B108" s="57" t="s">
        <v>10</v>
      </c>
      <c r="C108" s="133" t="s">
        <v>147</v>
      </c>
      <c r="D108" s="133"/>
      <c r="E108" s="133"/>
      <c r="F108" s="63"/>
      <c r="I108" s="55"/>
    </row>
    <row r="109" spans="1:9" ht="15.75" customHeight="1">
      <c r="A109" s="56"/>
      <c r="C109" s="126" t="s">
        <v>11</v>
      </c>
      <c r="D109" s="126"/>
      <c r="E109" s="126"/>
      <c r="F109" s="28"/>
      <c r="I109" s="54" t="s">
        <v>12</v>
      </c>
    </row>
    <row r="110" spans="1:9" ht="15.75" customHeight="1">
      <c r="A110" s="29"/>
      <c r="C110" s="12"/>
      <c r="D110" s="12"/>
      <c r="G110" s="12"/>
      <c r="H110" s="12"/>
    </row>
    <row r="111" spans="1:9" ht="15.75" customHeight="1">
      <c r="B111" s="57" t="s">
        <v>13</v>
      </c>
      <c r="C111" s="120"/>
      <c r="D111" s="120"/>
      <c r="E111" s="120"/>
      <c r="F111" s="64"/>
      <c r="I111" s="55"/>
    </row>
    <row r="112" spans="1:9">
      <c r="A112" s="56"/>
      <c r="C112" s="113" t="s">
        <v>11</v>
      </c>
      <c r="D112" s="113"/>
      <c r="E112" s="113"/>
      <c r="F112" s="56"/>
      <c r="I112" s="54" t="s">
        <v>12</v>
      </c>
    </row>
    <row r="113" spans="1:9" ht="15.75" customHeight="1">
      <c r="A113" s="4" t="s">
        <v>14</v>
      </c>
    </row>
    <row r="114" spans="1:9" ht="15.75" customHeight="1">
      <c r="A114" s="134" t="s">
        <v>15</v>
      </c>
      <c r="B114" s="134"/>
      <c r="C114" s="134"/>
      <c r="D114" s="134"/>
      <c r="E114" s="134"/>
      <c r="F114" s="134"/>
      <c r="G114" s="134"/>
      <c r="H114" s="134"/>
      <c r="I114" s="134"/>
    </row>
    <row r="115" spans="1:9" ht="45" customHeight="1">
      <c r="A115" s="135" t="s">
        <v>16</v>
      </c>
      <c r="B115" s="135"/>
      <c r="C115" s="135"/>
      <c r="D115" s="135"/>
      <c r="E115" s="135"/>
      <c r="F115" s="135"/>
      <c r="G115" s="135"/>
      <c r="H115" s="135"/>
      <c r="I115" s="135"/>
    </row>
    <row r="116" spans="1:9" ht="30" customHeight="1">
      <c r="A116" s="135" t="s">
        <v>17</v>
      </c>
      <c r="B116" s="135"/>
      <c r="C116" s="135"/>
      <c r="D116" s="135"/>
      <c r="E116" s="135"/>
      <c r="F116" s="135"/>
      <c r="G116" s="135"/>
      <c r="H116" s="135"/>
      <c r="I116" s="135"/>
    </row>
    <row r="117" spans="1:9" ht="30" customHeight="1">
      <c r="A117" s="135" t="s">
        <v>21</v>
      </c>
      <c r="B117" s="135"/>
      <c r="C117" s="135"/>
      <c r="D117" s="135"/>
      <c r="E117" s="135"/>
      <c r="F117" s="135"/>
      <c r="G117" s="135"/>
      <c r="H117" s="135"/>
      <c r="I117" s="135"/>
    </row>
    <row r="118" spans="1:9" ht="15" customHeight="1">
      <c r="A118" s="135" t="s">
        <v>20</v>
      </c>
      <c r="B118" s="135"/>
      <c r="C118" s="135"/>
      <c r="D118" s="135"/>
      <c r="E118" s="135"/>
      <c r="F118" s="135"/>
      <c r="G118" s="135"/>
      <c r="H118" s="135"/>
      <c r="I118" s="135"/>
    </row>
  </sheetData>
  <autoFilter ref="I12:I61"/>
  <mergeCells count="29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9:I29"/>
    <mergeCell ref="A45:I45"/>
    <mergeCell ref="A55:I55"/>
    <mergeCell ref="A85:I85"/>
    <mergeCell ref="A98:I98"/>
    <mergeCell ref="B99:G99"/>
    <mergeCell ref="B100:G100"/>
    <mergeCell ref="A102:I102"/>
    <mergeCell ref="A103:I103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188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226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42947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customHeight="1">
      <c r="A31" s="33">
        <v>8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customHeight="1">
      <c r="A32" s="33">
        <v>9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customHeight="1">
      <c r="A34" s="33">
        <v>10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hidden="1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hidden="1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hidden="1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hidden="1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hidden="1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hidden="1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customHeight="1">
      <c r="A51" s="33">
        <v>11</v>
      </c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f>F51/2*G51</f>
        <v>1739.393024</v>
      </c>
      <c r="J51" s="27"/>
      <c r="L51" s="20"/>
      <c r="M51" s="21"/>
      <c r="N51" s="22"/>
    </row>
    <row r="52" spans="1:22" ht="31.5" customHeight="1">
      <c r="A52" s="33">
        <v>12</v>
      </c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f>F52/2*G52</f>
        <v>291.88900000000001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hidden="1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hidden="1" customHeight="1">
      <c r="A59" s="33">
        <v>17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13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14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>
        <v>13</v>
      </c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f>G74*0.3</f>
        <v>160.869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15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16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I16+I17+I18+I20+I21+I27+I28+I31+I32+I34+I51+I52+I63+I65+I82+I83</f>
        <v>39383.944970666671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17</v>
      </c>
      <c r="B86" s="100" t="s">
        <v>200</v>
      </c>
      <c r="C86" s="101" t="s">
        <v>201</v>
      </c>
      <c r="D86" s="98"/>
      <c r="E86" s="37"/>
      <c r="F86" s="37">
        <f>(3+3+3+3+10+20+13)/3</f>
        <v>18.333333333333332</v>
      </c>
      <c r="G86" s="37">
        <v>1120.8900000000001</v>
      </c>
      <c r="H86" s="99">
        <f>G86*F86/1000</f>
        <v>20.54965</v>
      </c>
      <c r="I86" s="13">
        <f>G86*(20/3)</f>
        <v>7472.6000000000013</v>
      </c>
    </row>
    <row r="87" spans="1:9" ht="15.75" customHeight="1">
      <c r="A87" s="33">
        <v>18</v>
      </c>
      <c r="B87" s="49" t="s">
        <v>82</v>
      </c>
      <c r="C87" s="53" t="s">
        <v>110</v>
      </c>
      <c r="D87" s="98"/>
      <c r="E87" s="37"/>
      <c r="F87" s="37">
        <v>5</v>
      </c>
      <c r="G87" s="37">
        <v>189.88</v>
      </c>
      <c r="H87" s="99">
        <f>G87*F87/1000</f>
        <v>0.94940000000000002</v>
      </c>
      <c r="I87" s="13">
        <f>G87*2</f>
        <v>379.76</v>
      </c>
    </row>
    <row r="88" spans="1:9" ht="15.75" customHeight="1">
      <c r="A88" s="33">
        <v>19</v>
      </c>
      <c r="B88" s="49" t="s">
        <v>143</v>
      </c>
      <c r="C88" s="53" t="s">
        <v>84</v>
      </c>
      <c r="D88" s="38"/>
      <c r="E88" s="18"/>
      <c r="F88" s="37">
        <v>4</v>
      </c>
      <c r="G88" s="37">
        <v>195.85</v>
      </c>
      <c r="H88" s="99">
        <f t="shared" ref="H88:H89" si="7">G88*F88/1000</f>
        <v>0.78339999999999999</v>
      </c>
      <c r="I88" s="13">
        <f>G88*2</f>
        <v>391.7</v>
      </c>
    </row>
    <row r="89" spans="1:9" ht="15.75" customHeight="1">
      <c r="A89" s="33">
        <v>20</v>
      </c>
      <c r="B89" s="51" t="s">
        <v>227</v>
      </c>
      <c r="C89" s="52" t="s">
        <v>110</v>
      </c>
      <c r="D89" s="38"/>
      <c r="E89" s="18"/>
      <c r="F89" s="37">
        <v>1</v>
      </c>
      <c r="G89" s="37">
        <v>190.86</v>
      </c>
      <c r="H89" s="99">
        <f t="shared" si="7"/>
        <v>0.19086</v>
      </c>
      <c r="I89" s="13">
        <f>G89</f>
        <v>190.86</v>
      </c>
    </row>
    <row r="90" spans="1:9" ht="15.75" customHeight="1">
      <c r="A90" s="33"/>
      <c r="B90" s="44" t="s">
        <v>50</v>
      </c>
      <c r="C90" s="40"/>
      <c r="D90" s="47"/>
      <c r="E90" s="40">
        <v>1</v>
      </c>
      <c r="F90" s="40"/>
      <c r="G90" s="40"/>
      <c r="H90" s="40"/>
      <c r="I90" s="35">
        <f>SUM(I86:I89)</f>
        <v>8434.9200000000019</v>
      </c>
    </row>
    <row r="91" spans="1:9" ht="15.75" customHeight="1">
      <c r="A91" s="33"/>
      <c r="B91" s="46" t="s">
        <v>78</v>
      </c>
      <c r="C91" s="15"/>
      <c r="D91" s="15"/>
      <c r="E91" s="41"/>
      <c r="F91" s="41"/>
      <c r="G91" s="42"/>
      <c r="H91" s="42"/>
      <c r="I91" s="18">
        <v>0</v>
      </c>
    </row>
    <row r="92" spans="1:9" ht="15.75" customHeight="1">
      <c r="A92" s="48"/>
      <c r="B92" s="45" t="s">
        <v>205</v>
      </c>
      <c r="C92" s="36"/>
      <c r="D92" s="36"/>
      <c r="E92" s="36"/>
      <c r="F92" s="36"/>
      <c r="G92" s="36"/>
      <c r="H92" s="36"/>
      <c r="I92" s="43">
        <f>I84+I90</f>
        <v>47818.864970666677</v>
      </c>
    </row>
    <row r="93" spans="1:9" ht="15.75" customHeight="1">
      <c r="A93" s="124" t="s">
        <v>228</v>
      </c>
      <c r="B93" s="124"/>
      <c r="C93" s="124"/>
      <c r="D93" s="124"/>
      <c r="E93" s="124"/>
      <c r="F93" s="124"/>
      <c r="G93" s="124"/>
      <c r="H93" s="124"/>
      <c r="I93" s="124"/>
    </row>
    <row r="94" spans="1:9" ht="15.75" customHeight="1">
      <c r="A94" s="60"/>
      <c r="B94" s="125" t="s">
        <v>229</v>
      </c>
      <c r="C94" s="125"/>
      <c r="D94" s="125"/>
      <c r="E94" s="125"/>
      <c r="F94" s="125"/>
      <c r="G94" s="125"/>
      <c r="H94" s="65"/>
      <c r="I94" s="3"/>
    </row>
    <row r="95" spans="1:9" ht="15.75" customHeight="1">
      <c r="A95" s="56"/>
      <c r="B95" s="126" t="s">
        <v>6</v>
      </c>
      <c r="C95" s="126"/>
      <c r="D95" s="126"/>
      <c r="E95" s="126"/>
      <c r="F95" s="126"/>
      <c r="G95" s="126"/>
      <c r="H95" s="28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27" t="s">
        <v>7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customHeight="1">
      <c r="A98" s="127" t="s">
        <v>8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>
      <c r="A99" s="131" t="s">
        <v>60</v>
      </c>
      <c r="B99" s="131"/>
      <c r="C99" s="131"/>
      <c r="D99" s="131"/>
      <c r="E99" s="131"/>
      <c r="F99" s="131"/>
      <c r="G99" s="131"/>
      <c r="H99" s="131"/>
      <c r="I99" s="131"/>
    </row>
    <row r="100" spans="1:9" ht="15.75" customHeight="1">
      <c r="A100" s="11"/>
    </row>
    <row r="101" spans="1:9" ht="15.75" customHeight="1">
      <c r="A101" s="132" t="s">
        <v>9</v>
      </c>
      <c r="B101" s="132"/>
      <c r="C101" s="132"/>
      <c r="D101" s="132"/>
      <c r="E101" s="132"/>
      <c r="F101" s="132"/>
      <c r="G101" s="132"/>
      <c r="H101" s="132"/>
      <c r="I101" s="132"/>
    </row>
    <row r="102" spans="1:9" ht="15.75" customHeight="1">
      <c r="A102" s="4"/>
    </row>
    <row r="103" spans="1:9" ht="15.75" customHeight="1">
      <c r="B103" s="57" t="s">
        <v>10</v>
      </c>
      <c r="C103" s="133" t="s">
        <v>147</v>
      </c>
      <c r="D103" s="133"/>
      <c r="E103" s="133"/>
      <c r="F103" s="63"/>
      <c r="I103" s="55"/>
    </row>
    <row r="104" spans="1:9" ht="15.75" customHeight="1">
      <c r="A104" s="56"/>
      <c r="C104" s="126" t="s">
        <v>11</v>
      </c>
      <c r="D104" s="126"/>
      <c r="E104" s="126"/>
      <c r="F104" s="28"/>
      <c r="I104" s="54" t="s">
        <v>12</v>
      </c>
    </row>
    <row r="105" spans="1:9" ht="15.75" customHeight="1">
      <c r="A105" s="29"/>
      <c r="C105" s="12"/>
      <c r="D105" s="12"/>
      <c r="G105" s="12"/>
      <c r="H105" s="12"/>
    </row>
    <row r="106" spans="1:9" ht="15.75" customHeight="1">
      <c r="B106" s="57" t="s">
        <v>13</v>
      </c>
      <c r="C106" s="120"/>
      <c r="D106" s="120"/>
      <c r="E106" s="120"/>
      <c r="F106" s="64"/>
      <c r="I106" s="55"/>
    </row>
    <row r="107" spans="1:9">
      <c r="A107" s="56"/>
      <c r="C107" s="113" t="s">
        <v>11</v>
      </c>
      <c r="D107" s="113"/>
      <c r="E107" s="113"/>
      <c r="F107" s="56"/>
      <c r="I107" s="54" t="s">
        <v>12</v>
      </c>
    </row>
    <row r="108" spans="1:9" ht="15.75" customHeight="1">
      <c r="A108" s="4" t="s">
        <v>14</v>
      </c>
    </row>
    <row r="109" spans="1:9" ht="15.75" customHeight="1">
      <c r="A109" s="134" t="s">
        <v>15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45" customHeight="1">
      <c r="A110" s="135" t="s">
        <v>16</v>
      </c>
      <c r="B110" s="135"/>
      <c r="C110" s="135"/>
      <c r="D110" s="135"/>
      <c r="E110" s="135"/>
      <c r="F110" s="135"/>
      <c r="G110" s="135"/>
      <c r="H110" s="135"/>
      <c r="I110" s="135"/>
    </row>
    <row r="111" spans="1:9" ht="30" customHeight="1">
      <c r="A111" s="135" t="s">
        <v>17</v>
      </c>
      <c r="B111" s="135"/>
      <c r="C111" s="135"/>
      <c r="D111" s="135"/>
      <c r="E111" s="135"/>
      <c r="F111" s="135"/>
      <c r="G111" s="135"/>
      <c r="H111" s="135"/>
      <c r="I111" s="135"/>
    </row>
    <row r="112" spans="1:9" ht="30" customHeight="1">
      <c r="A112" s="135" t="s">
        <v>21</v>
      </c>
      <c r="B112" s="135"/>
      <c r="C112" s="135"/>
      <c r="D112" s="135"/>
      <c r="E112" s="135"/>
      <c r="F112" s="135"/>
      <c r="G112" s="135"/>
      <c r="H112" s="135"/>
      <c r="I112" s="135"/>
    </row>
    <row r="113" spans="1:9" ht="15" customHeight="1">
      <c r="A113" s="135" t="s">
        <v>20</v>
      </c>
      <c r="B113" s="135"/>
      <c r="C113" s="135"/>
      <c r="D113" s="135"/>
      <c r="E113" s="135"/>
      <c r="F113" s="135"/>
      <c r="G113" s="135"/>
      <c r="H113" s="135"/>
      <c r="I113" s="135"/>
    </row>
  </sheetData>
  <autoFilter ref="I12:I61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5:I45"/>
    <mergeCell ref="A55:I55"/>
    <mergeCell ref="A85:I85"/>
    <mergeCell ref="A93:I93"/>
    <mergeCell ref="B94:G94"/>
    <mergeCell ref="B95:G95"/>
    <mergeCell ref="A97:I97"/>
    <mergeCell ref="A98:I98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189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230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42978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hidden="1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5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6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customHeight="1">
      <c r="A31" s="33">
        <v>7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customHeight="1">
      <c r="A32" s="33">
        <v>8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customHeight="1">
      <c r="A34" s="33">
        <v>9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hidden="1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hidden="1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hidden="1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hidden="1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hidden="1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hidden="1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hidden="1" customHeight="1">
      <c r="A46" s="33"/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v>0</v>
      </c>
      <c r="J46" s="27"/>
      <c r="L46" s="20"/>
      <c r="M46" s="21"/>
      <c r="N46" s="22"/>
    </row>
    <row r="47" spans="1:14" ht="15.75" hidden="1" customHeight="1">
      <c r="A47" s="33"/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v>0</v>
      </c>
      <c r="J47" s="27"/>
      <c r="L47" s="20"/>
      <c r="M47" s="21"/>
      <c r="N47" s="22"/>
    </row>
    <row r="48" spans="1:14" ht="15.75" hidden="1" customHeight="1">
      <c r="A48" s="33"/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v>0</v>
      </c>
      <c r="J48" s="27"/>
      <c r="L48" s="20"/>
      <c r="M48" s="21"/>
      <c r="N48" s="22"/>
    </row>
    <row r="49" spans="1:22" ht="15.75" hidden="1" customHeight="1">
      <c r="A49" s="33"/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v>0</v>
      </c>
      <c r="J49" s="27"/>
      <c r="L49" s="20"/>
      <c r="M49" s="21"/>
      <c r="N49" s="22"/>
    </row>
    <row r="50" spans="1:22" ht="15.75" hidden="1" customHeight="1">
      <c r="A50" s="33">
        <v>14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hidden="1" customHeight="1">
      <c r="A51" s="33"/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v>0</v>
      </c>
      <c r="J51" s="27"/>
      <c r="L51" s="20"/>
      <c r="M51" s="21"/>
      <c r="N51" s="22"/>
    </row>
    <row r="52" spans="1:22" ht="31.5" hidden="1" customHeight="1">
      <c r="A52" s="33"/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v>0</v>
      </c>
      <c r="J52" s="27"/>
      <c r="L52" s="20"/>
      <c r="M52" s="21"/>
      <c r="N52" s="22"/>
    </row>
    <row r="53" spans="1:22" ht="15.75" hidden="1" customHeight="1">
      <c r="A53" s="33"/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v>0</v>
      </c>
      <c r="J53" s="27"/>
      <c r="L53" s="20"/>
      <c r="M53" s="21"/>
      <c r="N53" s="22"/>
    </row>
    <row r="54" spans="1:22" ht="15.75" customHeight="1">
      <c r="A54" s="33">
        <v>10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hidden="1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hidden="1" customHeight="1">
      <c r="A59" s="33">
        <v>17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11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3">
        <v>12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5">SUM(F65*G65/1000)</f>
        <v>1.4264400000000002</v>
      </c>
      <c r="I65" s="13">
        <f>G65</f>
        <v>237.74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5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5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5"/>
        <v>1.7593888200000001</v>
      </c>
      <c r="I68" s="13">
        <f t="shared" ref="I68:I72" si="6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5"/>
        <v>23.5528236</v>
      </c>
      <c r="I69" s="13">
        <f t="shared" si="6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5"/>
        <v>0.38403000000000004</v>
      </c>
      <c r="I70" s="13">
        <f t="shared" si="6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5"/>
        <v>0.35829</v>
      </c>
      <c r="I71" s="13">
        <f t="shared" si="6"/>
        <v>358.29</v>
      </c>
    </row>
    <row r="72" spans="1:21" ht="15.75" hidden="1" customHeight="1">
      <c r="A72" s="33"/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5"/>
        <v>0.10664</v>
      </c>
      <c r="I72" s="13">
        <f t="shared" si="6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>
        <v>13</v>
      </c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5"/>
        <v>0.21449200000000002</v>
      </c>
      <c r="I74" s="13">
        <f>G74*0.1</f>
        <v>53.623000000000005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5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/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v>0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12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13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I16+I17+I18+I20+I27+I28+I31+I32+I34+I54+I63+I82+I83</f>
        <v>42726.178226666663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31.5" customHeight="1">
      <c r="A86" s="33">
        <v>14</v>
      </c>
      <c r="B86" s="49" t="s">
        <v>163</v>
      </c>
      <c r="C86" s="53" t="s">
        <v>81</v>
      </c>
      <c r="D86" s="98"/>
      <c r="E86" s="37"/>
      <c r="F86" s="37">
        <v>4</v>
      </c>
      <c r="G86" s="37">
        <v>1046.06</v>
      </c>
      <c r="H86" s="99">
        <f t="shared" ref="H86:H92" si="7">G86*F86/1000</f>
        <v>4.18424</v>
      </c>
      <c r="I86" s="13">
        <f>G86*4</f>
        <v>4184.24</v>
      </c>
    </row>
    <row r="87" spans="1:9" ht="15.75" customHeight="1">
      <c r="A87" s="33">
        <v>15</v>
      </c>
      <c r="B87" s="51" t="s">
        <v>236</v>
      </c>
      <c r="C87" s="52" t="s">
        <v>110</v>
      </c>
      <c r="D87" s="46"/>
      <c r="E87" s="37"/>
      <c r="F87" s="37">
        <v>1</v>
      </c>
      <c r="G87" s="37">
        <v>108</v>
      </c>
      <c r="H87" s="99">
        <f t="shared" si="7"/>
        <v>0.108</v>
      </c>
      <c r="I87" s="13">
        <f>G87</f>
        <v>108</v>
      </c>
    </row>
    <row r="88" spans="1:9" ht="15.75" customHeight="1">
      <c r="A88" s="33">
        <v>16</v>
      </c>
      <c r="B88" s="49" t="s">
        <v>231</v>
      </c>
      <c r="C88" s="53" t="s">
        <v>110</v>
      </c>
      <c r="D88" s="98"/>
      <c r="E88" s="37"/>
      <c r="F88" s="37">
        <v>2</v>
      </c>
      <c r="G88" s="37">
        <v>61</v>
      </c>
      <c r="H88" s="99">
        <f t="shared" si="7"/>
        <v>0.122</v>
      </c>
      <c r="I88" s="13">
        <f>G88*2</f>
        <v>122</v>
      </c>
    </row>
    <row r="89" spans="1:9" ht="15.75" customHeight="1">
      <c r="A89" s="33">
        <v>17</v>
      </c>
      <c r="B89" s="49" t="s">
        <v>232</v>
      </c>
      <c r="C89" s="53" t="s">
        <v>110</v>
      </c>
      <c r="D89" s="98"/>
      <c r="E89" s="37"/>
      <c r="F89" s="37">
        <v>1</v>
      </c>
      <c r="G89" s="37">
        <v>63</v>
      </c>
      <c r="H89" s="99">
        <f t="shared" si="7"/>
        <v>6.3E-2</v>
      </c>
      <c r="I89" s="13">
        <f>G89</f>
        <v>63</v>
      </c>
    </row>
    <row r="90" spans="1:9" ht="15.75" customHeight="1">
      <c r="A90" s="33">
        <v>18</v>
      </c>
      <c r="B90" s="49" t="s">
        <v>233</v>
      </c>
      <c r="C90" s="53" t="s">
        <v>110</v>
      </c>
      <c r="D90" s="38"/>
      <c r="E90" s="18"/>
      <c r="F90" s="37">
        <v>2</v>
      </c>
      <c r="G90" s="37">
        <v>140</v>
      </c>
      <c r="H90" s="99">
        <f t="shared" si="7"/>
        <v>0.28000000000000003</v>
      </c>
      <c r="I90" s="13">
        <f>G90*2</f>
        <v>280</v>
      </c>
    </row>
    <row r="91" spans="1:9" ht="15.75" customHeight="1">
      <c r="A91" s="33">
        <v>19</v>
      </c>
      <c r="B91" s="49" t="s">
        <v>234</v>
      </c>
      <c r="C91" s="53" t="s">
        <v>110</v>
      </c>
      <c r="D91" s="98"/>
      <c r="E91" s="37"/>
      <c r="F91" s="37">
        <v>2</v>
      </c>
      <c r="G91" s="37">
        <v>40</v>
      </c>
      <c r="H91" s="99">
        <f t="shared" si="7"/>
        <v>0.08</v>
      </c>
      <c r="I91" s="13">
        <f>G91*2</f>
        <v>80</v>
      </c>
    </row>
    <row r="92" spans="1:9" ht="31.5" customHeight="1">
      <c r="A92" s="33">
        <v>20</v>
      </c>
      <c r="B92" s="49" t="s">
        <v>235</v>
      </c>
      <c r="C92" s="53" t="s">
        <v>223</v>
      </c>
      <c r="D92" s="98"/>
      <c r="E92" s="37"/>
      <c r="F92" s="37">
        <f>8/10</f>
        <v>0.8</v>
      </c>
      <c r="G92" s="37">
        <v>2064.25</v>
      </c>
      <c r="H92" s="66">
        <f t="shared" si="7"/>
        <v>1.6514000000000002</v>
      </c>
      <c r="I92" s="13">
        <f>G92*0.8</f>
        <v>1651.4</v>
      </c>
    </row>
    <row r="93" spans="1:9" ht="15.75" customHeight="1">
      <c r="A93" s="33"/>
      <c r="B93" s="44" t="s">
        <v>50</v>
      </c>
      <c r="C93" s="40"/>
      <c r="D93" s="47"/>
      <c r="E93" s="40">
        <v>1</v>
      </c>
      <c r="F93" s="40"/>
      <c r="G93" s="40"/>
      <c r="H93" s="40"/>
      <c r="I93" s="35">
        <f>SUM(I86:I92)</f>
        <v>6488.6399999999994</v>
      </c>
    </row>
    <row r="94" spans="1:9" ht="15.75" customHeight="1">
      <c r="A94" s="33"/>
      <c r="B94" s="46" t="s">
        <v>78</v>
      </c>
      <c r="C94" s="15"/>
      <c r="D94" s="15"/>
      <c r="E94" s="41"/>
      <c r="F94" s="41"/>
      <c r="G94" s="42"/>
      <c r="H94" s="42"/>
      <c r="I94" s="18">
        <v>0</v>
      </c>
    </row>
    <row r="95" spans="1:9" ht="15.75" customHeight="1">
      <c r="A95" s="48"/>
      <c r="B95" s="45" t="s">
        <v>205</v>
      </c>
      <c r="C95" s="36"/>
      <c r="D95" s="36"/>
      <c r="E95" s="36"/>
      <c r="F95" s="36"/>
      <c r="G95" s="36"/>
      <c r="H95" s="36"/>
      <c r="I95" s="43">
        <f>I84+I93</f>
        <v>49214.818226666663</v>
      </c>
    </row>
    <row r="96" spans="1:9" ht="15.75" customHeight="1">
      <c r="A96" s="124" t="s">
        <v>237</v>
      </c>
      <c r="B96" s="124"/>
      <c r="C96" s="124"/>
      <c r="D96" s="124"/>
      <c r="E96" s="124"/>
      <c r="F96" s="124"/>
      <c r="G96" s="124"/>
      <c r="H96" s="124"/>
      <c r="I96" s="124"/>
    </row>
    <row r="97" spans="1:9" ht="15.75" customHeight="1">
      <c r="A97" s="60"/>
      <c r="B97" s="125" t="s">
        <v>238</v>
      </c>
      <c r="C97" s="125"/>
      <c r="D97" s="125"/>
      <c r="E97" s="125"/>
      <c r="F97" s="125"/>
      <c r="G97" s="125"/>
      <c r="H97" s="65"/>
      <c r="I97" s="3"/>
    </row>
    <row r="98" spans="1:9" ht="15.75" customHeight="1">
      <c r="A98" s="56"/>
      <c r="B98" s="126" t="s">
        <v>6</v>
      </c>
      <c r="C98" s="126"/>
      <c r="D98" s="126"/>
      <c r="E98" s="126"/>
      <c r="F98" s="126"/>
      <c r="G98" s="126"/>
      <c r="H98" s="28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27" t="s">
        <v>7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5.75" customHeight="1">
      <c r="A101" s="127" t="s">
        <v>8</v>
      </c>
      <c r="B101" s="127"/>
      <c r="C101" s="127"/>
      <c r="D101" s="127"/>
      <c r="E101" s="127"/>
      <c r="F101" s="127"/>
      <c r="G101" s="127"/>
      <c r="H101" s="127"/>
      <c r="I101" s="127"/>
    </row>
    <row r="102" spans="1:9" ht="15.75">
      <c r="A102" s="131" t="s">
        <v>60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7.5" customHeight="1">
      <c r="A103" s="11"/>
    </row>
    <row r="104" spans="1:9" ht="15.75" customHeight="1">
      <c r="A104" s="132" t="s">
        <v>9</v>
      </c>
      <c r="B104" s="132"/>
      <c r="C104" s="132"/>
      <c r="D104" s="132"/>
      <c r="E104" s="132"/>
      <c r="F104" s="132"/>
      <c r="G104" s="132"/>
      <c r="H104" s="132"/>
      <c r="I104" s="132"/>
    </row>
    <row r="105" spans="1:9" ht="15.75" customHeight="1">
      <c r="A105" s="4"/>
    </row>
    <row r="106" spans="1:9" ht="15.75" customHeight="1">
      <c r="B106" s="57" t="s">
        <v>10</v>
      </c>
      <c r="C106" s="133" t="s">
        <v>147</v>
      </c>
      <c r="D106" s="133"/>
      <c r="E106" s="133"/>
      <c r="F106" s="63"/>
      <c r="I106" s="55"/>
    </row>
    <row r="107" spans="1:9" ht="15.75" customHeight="1">
      <c r="A107" s="56"/>
      <c r="C107" s="126" t="s">
        <v>11</v>
      </c>
      <c r="D107" s="126"/>
      <c r="E107" s="126"/>
      <c r="F107" s="28"/>
      <c r="I107" s="54" t="s">
        <v>12</v>
      </c>
    </row>
    <row r="108" spans="1:9" ht="15.75" customHeight="1">
      <c r="A108" s="29"/>
      <c r="C108" s="12"/>
      <c r="D108" s="12"/>
      <c r="G108" s="12"/>
      <c r="H108" s="12"/>
    </row>
    <row r="109" spans="1:9" ht="15.75" customHeight="1">
      <c r="B109" s="57" t="s">
        <v>13</v>
      </c>
      <c r="C109" s="120"/>
      <c r="D109" s="120"/>
      <c r="E109" s="120"/>
      <c r="F109" s="64"/>
      <c r="I109" s="55"/>
    </row>
    <row r="110" spans="1:9">
      <c r="A110" s="56"/>
      <c r="C110" s="113" t="s">
        <v>11</v>
      </c>
      <c r="D110" s="113"/>
      <c r="E110" s="113"/>
      <c r="F110" s="56"/>
      <c r="I110" s="54" t="s">
        <v>12</v>
      </c>
    </row>
    <row r="111" spans="1:9" ht="15.75" customHeight="1">
      <c r="A111" s="4" t="s">
        <v>14</v>
      </c>
    </row>
    <row r="112" spans="1:9" ht="15.75" customHeight="1">
      <c r="A112" s="134" t="s">
        <v>15</v>
      </c>
      <c r="B112" s="134"/>
      <c r="C112" s="134"/>
      <c r="D112" s="134"/>
      <c r="E112" s="134"/>
      <c r="F112" s="134"/>
      <c r="G112" s="134"/>
      <c r="H112" s="134"/>
      <c r="I112" s="134"/>
    </row>
    <row r="113" spans="1:9" ht="45" customHeight="1">
      <c r="A113" s="135" t="s">
        <v>16</v>
      </c>
      <c r="B113" s="135"/>
      <c r="C113" s="135"/>
      <c r="D113" s="135"/>
      <c r="E113" s="135"/>
      <c r="F113" s="135"/>
      <c r="G113" s="135"/>
      <c r="H113" s="135"/>
      <c r="I113" s="135"/>
    </row>
    <row r="114" spans="1:9" ht="30" customHeight="1">
      <c r="A114" s="135" t="s">
        <v>17</v>
      </c>
      <c r="B114" s="135"/>
      <c r="C114" s="135"/>
      <c r="D114" s="135"/>
      <c r="E114" s="135"/>
      <c r="F114" s="135"/>
      <c r="G114" s="135"/>
      <c r="H114" s="135"/>
      <c r="I114" s="135"/>
    </row>
    <row r="115" spans="1:9" ht="30" customHeight="1">
      <c r="A115" s="135" t="s">
        <v>21</v>
      </c>
      <c r="B115" s="135"/>
      <c r="C115" s="135"/>
      <c r="D115" s="135"/>
      <c r="E115" s="135"/>
      <c r="F115" s="135"/>
      <c r="G115" s="135"/>
      <c r="H115" s="135"/>
      <c r="I115" s="135"/>
    </row>
    <row r="116" spans="1:9" ht="15" customHeight="1">
      <c r="A116" s="135" t="s">
        <v>20</v>
      </c>
      <c r="B116" s="135"/>
      <c r="C116" s="135"/>
      <c r="D116" s="135"/>
      <c r="E116" s="135"/>
      <c r="F116" s="135"/>
      <c r="G116" s="135"/>
      <c r="H116" s="135"/>
      <c r="I116" s="135"/>
    </row>
  </sheetData>
  <autoFilter ref="I12:I61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9:I29"/>
    <mergeCell ref="A45:I45"/>
    <mergeCell ref="A55:I55"/>
    <mergeCell ref="A85:I85"/>
    <mergeCell ref="A96:I96"/>
    <mergeCell ref="B97:G97"/>
    <mergeCell ref="B98:G98"/>
    <mergeCell ref="A100:I100"/>
    <mergeCell ref="A101:I101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87</v>
      </c>
      <c r="I1" s="30"/>
      <c r="J1" s="1"/>
      <c r="K1" s="1"/>
      <c r="L1" s="1"/>
      <c r="M1" s="1"/>
    </row>
    <row r="2" spans="1:13" ht="15.75">
      <c r="A2" s="32" t="s">
        <v>61</v>
      </c>
      <c r="J2" s="2"/>
      <c r="K2" s="2"/>
      <c r="L2" s="2"/>
      <c r="M2" s="2"/>
    </row>
    <row r="3" spans="1:13" ht="15.75" customHeight="1">
      <c r="A3" s="114" t="s">
        <v>190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239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4">
        <v>43008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194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193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9" t="s">
        <v>58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3">
        <v>1</v>
      </c>
      <c r="B16" s="68" t="s">
        <v>88</v>
      </c>
      <c r="C16" s="69" t="s">
        <v>89</v>
      </c>
      <c r="D16" s="68" t="s">
        <v>197</v>
      </c>
      <c r="E16" s="70">
        <v>67.900000000000006</v>
      </c>
      <c r="F16" s="71">
        <f>SUM(E16*156/100)</f>
        <v>105.92400000000002</v>
      </c>
      <c r="G16" s="71">
        <v>187.48</v>
      </c>
      <c r="H16" s="72">
        <f t="shared" ref="H16:H25" si="0">SUM(F16*G16/1000)</f>
        <v>19.858631520000003</v>
      </c>
      <c r="I16" s="13">
        <f>F16/12*G16</f>
        <v>1654.8859600000003</v>
      </c>
      <c r="J16" s="25"/>
      <c r="K16" s="8"/>
      <c r="L16" s="8"/>
      <c r="M16" s="8"/>
    </row>
    <row r="17" spans="1:13" ht="15.75" customHeight="1">
      <c r="A17" s="33">
        <v>2</v>
      </c>
      <c r="B17" s="68" t="s">
        <v>119</v>
      </c>
      <c r="C17" s="69" t="s">
        <v>89</v>
      </c>
      <c r="D17" s="68" t="s">
        <v>196</v>
      </c>
      <c r="E17" s="70">
        <v>271.60000000000002</v>
      </c>
      <c r="F17" s="71">
        <f>SUM(E17*104/100)</f>
        <v>282.464</v>
      </c>
      <c r="G17" s="71">
        <v>187.48</v>
      </c>
      <c r="H17" s="72">
        <f t="shared" si="0"/>
        <v>52.956350719999996</v>
      </c>
      <c r="I17" s="13">
        <f>F17/12*G17</f>
        <v>4413.0292266666665</v>
      </c>
      <c r="J17" s="26"/>
      <c r="K17" s="8"/>
      <c r="L17" s="8"/>
      <c r="M17" s="8"/>
    </row>
    <row r="18" spans="1:13" ht="15.75" customHeight="1">
      <c r="A18" s="33">
        <v>3</v>
      </c>
      <c r="B18" s="68" t="s">
        <v>120</v>
      </c>
      <c r="C18" s="69" t="s">
        <v>89</v>
      </c>
      <c r="D18" s="68" t="s">
        <v>195</v>
      </c>
      <c r="E18" s="70">
        <v>339.5</v>
      </c>
      <c r="F18" s="71">
        <f>SUM(E18*24/100)</f>
        <v>81.48</v>
      </c>
      <c r="G18" s="71">
        <v>539.30999999999995</v>
      </c>
      <c r="H18" s="72">
        <f t="shared" si="0"/>
        <v>43.942978799999999</v>
      </c>
      <c r="I18" s="13">
        <f>F18/12*G18</f>
        <v>3661.9148999999998</v>
      </c>
      <c r="J18" s="26"/>
      <c r="K18" s="8"/>
      <c r="L18" s="8"/>
      <c r="M18" s="8"/>
    </row>
    <row r="19" spans="1:13" ht="15.75" hidden="1" customHeight="1">
      <c r="A19" s="33"/>
      <c r="B19" s="68" t="s">
        <v>96</v>
      </c>
      <c r="C19" s="69" t="s">
        <v>97</v>
      </c>
      <c r="D19" s="68" t="s">
        <v>98</v>
      </c>
      <c r="E19" s="70">
        <v>21.1</v>
      </c>
      <c r="F19" s="71">
        <f>SUM(E19/10)</f>
        <v>2.1100000000000003</v>
      </c>
      <c r="G19" s="71">
        <v>181.91</v>
      </c>
      <c r="H19" s="72">
        <f t="shared" si="0"/>
        <v>0.38383010000000006</v>
      </c>
      <c r="I19" s="13">
        <v>0</v>
      </c>
      <c r="J19" s="26"/>
      <c r="K19" s="8"/>
      <c r="L19" s="8"/>
      <c r="M19" s="8"/>
    </row>
    <row r="20" spans="1:13" ht="15.75" customHeight="1">
      <c r="A20" s="33">
        <v>4</v>
      </c>
      <c r="B20" s="68" t="s">
        <v>99</v>
      </c>
      <c r="C20" s="69" t="s">
        <v>89</v>
      </c>
      <c r="D20" s="68" t="s">
        <v>121</v>
      </c>
      <c r="E20" s="70">
        <v>7</v>
      </c>
      <c r="F20" s="71">
        <f>SUM(E20*12/100)</f>
        <v>0.84</v>
      </c>
      <c r="G20" s="71">
        <v>232.92</v>
      </c>
      <c r="H20" s="72">
        <f t="shared" si="0"/>
        <v>0.19565279999999999</v>
      </c>
      <c r="I20" s="13">
        <f>F20/12*G20</f>
        <v>16.304399999999998</v>
      </c>
      <c r="J20" s="26"/>
      <c r="K20" s="8"/>
      <c r="L20" s="8"/>
      <c r="M20" s="8"/>
    </row>
    <row r="21" spans="1:13" ht="15.75" customHeight="1">
      <c r="A21" s="33">
        <v>5</v>
      </c>
      <c r="B21" s="68" t="s">
        <v>100</v>
      </c>
      <c r="C21" s="69" t="s">
        <v>89</v>
      </c>
      <c r="D21" s="68" t="s">
        <v>128</v>
      </c>
      <c r="E21" s="70">
        <v>2.4</v>
      </c>
      <c r="F21" s="71">
        <f>SUM(E21*6/100)</f>
        <v>0.14399999999999999</v>
      </c>
      <c r="G21" s="71">
        <v>231.03</v>
      </c>
      <c r="H21" s="72">
        <f t="shared" si="0"/>
        <v>3.3268319999999997E-2</v>
      </c>
      <c r="I21" s="13">
        <f>F21/6*G21</f>
        <v>5.544719999999999</v>
      </c>
      <c r="J21" s="26"/>
      <c r="K21" s="8"/>
      <c r="L21" s="8"/>
      <c r="M21" s="8"/>
    </row>
    <row r="22" spans="1:13" ht="15.75" hidden="1" customHeight="1">
      <c r="A22" s="33"/>
      <c r="B22" s="68" t="s">
        <v>101</v>
      </c>
      <c r="C22" s="69" t="s">
        <v>51</v>
      </c>
      <c r="D22" s="68" t="s">
        <v>98</v>
      </c>
      <c r="E22" s="70">
        <v>317</v>
      </c>
      <c r="F22" s="71">
        <f>SUM(E22/100)</f>
        <v>3.17</v>
      </c>
      <c r="G22" s="71">
        <v>287.83999999999997</v>
      </c>
      <c r="H22" s="72">
        <f t="shared" si="0"/>
        <v>0.91245279999999995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68" t="s">
        <v>102</v>
      </c>
      <c r="C23" s="69" t="s">
        <v>51</v>
      </c>
      <c r="D23" s="68" t="s">
        <v>98</v>
      </c>
      <c r="E23" s="73">
        <v>24.15</v>
      </c>
      <c r="F23" s="71">
        <f>SUM(E23/100)</f>
        <v>0.24149999999999999</v>
      </c>
      <c r="G23" s="71">
        <v>47.34</v>
      </c>
      <c r="H23" s="72">
        <f t="shared" si="0"/>
        <v>1.1432610000000001E-2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68" t="s">
        <v>103</v>
      </c>
      <c r="C24" s="69" t="s">
        <v>51</v>
      </c>
      <c r="D24" s="68" t="s">
        <v>52</v>
      </c>
      <c r="E24" s="70">
        <v>10</v>
      </c>
      <c r="F24" s="71">
        <f>E24/100</f>
        <v>0.1</v>
      </c>
      <c r="G24" s="71">
        <v>416.62</v>
      </c>
      <c r="H24" s="72">
        <f t="shared" si="0"/>
        <v>4.1662000000000005E-2</v>
      </c>
      <c r="I24" s="13">
        <v>0</v>
      </c>
      <c r="J24" s="26"/>
      <c r="K24" s="8"/>
      <c r="L24" s="8"/>
      <c r="M24" s="8"/>
    </row>
    <row r="25" spans="1:13" ht="15.75" hidden="1" customHeight="1">
      <c r="A25" s="33"/>
      <c r="B25" s="68" t="s">
        <v>104</v>
      </c>
      <c r="C25" s="69" t="s">
        <v>51</v>
      </c>
      <c r="D25" s="68" t="s">
        <v>52</v>
      </c>
      <c r="E25" s="70">
        <v>4.25</v>
      </c>
      <c r="F25" s="71">
        <f>SUM(E25/100)</f>
        <v>4.2500000000000003E-2</v>
      </c>
      <c r="G25" s="71">
        <v>556.74</v>
      </c>
      <c r="H25" s="72">
        <f t="shared" si="0"/>
        <v>2.3661450000000001E-2</v>
      </c>
      <c r="I25" s="13">
        <v>0</v>
      </c>
      <c r="J25" s="26"/>
      <c r="K25" s="8"/>
      <c r="L25" s="8"/>
      <c r="M25" s="8"/>
    </row>
    <row r="26" spans="1:13" ht="15.75" hidden="1" customHeight="1">
      <c r="A26" s="33"/>
      <c r="B26" s="68" t="s">
        <v>125</v>
      </c>
      <c r="C26" s="69" t="s">
        <v>51</v>
      </c>
      <c r="D26" s="68" t="s">
        <v>52</v>
      </c>
      <c r="E26" s="70">
        <v>9.5</v>
      </c>
      <c r="F26" s="71">
        <v>9.5000000000000001E-2</v>
      </c>
      <c r="G26" s="71">
        <v>231.03</v>
      </c>
      <c r="H26" s="72">
        <f>G26*F26/1000</f>
        <v>2.1947849999999998E-2</v>
      </c>
      <c r="I26" s="13">
        <v>0</v>
      </c>
      <c r="J26" s="26"/>
      <c r="K26" s="8"/>
      <c r="L26" s="8"/>
      <c r="M26" s="8"/>
    </row>
    <row r="27" spans="1:13" ht="15.75" customHeight="1">
      <c r="A27" s="33">
        <v>6</v>
      </c>
      <c r="B27" s="68" t="s">
        <v>63</v>
      </c>
      <c r="C27" s="69" t="s">
        <v>33</v>
      </c>
      <c r="D27" s="68" t="s">
        <v>198</v>
      </c>
      <c r="E27" s="70">
        <v>0.1</v>
      </c>
      <c r="F27" s="71">
        <f>SUM(E27*365)</f>
        <v>36.5</v>
      </c>
      <c r="G27" s="71">
        <v>157.18</v>
      </c>
      <c r="H27" s="72">
        <f>SUM(F27*G27/1000)</f>
        <v>5.737070000000001</v>
      </c>
      <c r="I27" s="13">
        <f>F27/12*G27</f>
        <v>478.08916666666664</v>
      </c>
      <c r="J27" s="27"/>
    </row>
    <row r="28" spans="1:13" ht="15.75" customHeight="1">
      <c r="A28" s="33">
        <v>7</v>
      </c>
      <c r="B28" s="76" t="s">
        <v>23</v>
      </c>
      <c r="C28" s="69" t="s">
        <v>24</v>
      </c>
      <c r="D28" s="68" t="s">
        <v>198</v>
      </c>
      <c r="E28" s="70">
        <v>2409</v>
      </c>
      <c r="F28" s="71">
        <f>SUM(E28*12)</f>
        <v>28908</v>
      </c>
      <c r="G28" s="71">
        <v>4.72</v>
      </c>
      <c r="H28" s="72">
        <f>SUM(F28*G28/1000)</f>
        <v>136.44575999999998</v>
      </c>
      <c r="I28" s="13">
        <f>F28/12*G28</f>
        <v>11370.48</v>
      </c>
      <c r="J28" s="27"/>
    </row>
    <row r="29" spans="1:13" ht="15.75" customHeight="1">
      <c r="A29" s="109" t="s">
        <v>86</v>
      </c>
      <c r="B29" s="109"/>
      <c r="C29" s="109"/>
      <c r="D29" s="109"/>
      <c r="E29" s="109"/>
      <c r="F29" s="109"/>
      <c r="G29" s="109"/>
      <c r="H29" s="109"/>
      <c r="I29" s="109"/>
      <c r="J29" s="26"/>
      <c r="K29" s="8"/>
      <c r="L29" s="8"/>
      <c r="M29" s="8"/>
    </row>
    <row r="30" spans="1:13" ht="15.75" customHeight="1">
      <c r="A30" s="33"/>
      <c r="B30" s="88" t="s">
        <v>28</v>
      </c>
      <c r="C30" s="69"/>
      <c r="D30" s="68"/>
      <c r="E30" s="70"/>
      <c r="F30" s="71"/>
      <c r="G30" s="71"/>
      <c r="H30" s="72"/>
      <c r="I30" s="13"/>
      <c r="J30" s="26"/>
      <c r="K30" s="8"/>
      <c r="L30" s="8"/>
      <c r="M30" s="8"/>
    </row>
    <row r="31" spans="1:13" ht="15.75" customHeight="1">
      <c r="A31" s="33">
        <v>8</v>
      </c>
      <c r="B31" s="68" t="s">
        <v>108</v>
      </c>
      <c r="C31" s="69" t="s">
        <v>91</v>
      </c>
      <c r="D31" s="68" t="s">
        <v>216</v>
      </c>
      <c r="E31" s="71">
        <v>372.4</v>
      </c>
      <c r="F31" s="71">
        <f>SUM(E31*52/1000)</f>
        <v>19.364799999999999</v>
      </c>
      <c r="G31" s="71">
        <v>166.65</v>
      </c>
      <c r="H31" s="72">
        <f t="shared" ref="H31:H36" si="1">SUM(F31*G31/1000)</f>
        <v>3.2271439200000001</v>
      </c>
      <c r="I31" s="13">
        <f>F31/6*G31</f>
        <v>537.85731999999996</v>
      </c>
      <c r="J31" s="26"/>
      <c r="K31" s="8"/>
      <c r="L31" s="8"/>
      <c r="M31" s="8"/>
    </row>
    <row r="32" spans="1:13" ht="31.5" customHeight="1">
      <c r="A32" s="33">
        <v>9</v>
      </c>
      <c r="B32" s="68" t="s">
        <v>122</v>
      </c>
      <c r="C32" s="69" t="s">
        <v>91</v>
      </c>
      <c r="D32" s="68" t="s">
        <v>217</v>
      </c>
      <c r="E32" s="71">
        <v>195.5</v>
      </c>
      <c r="F32" s="71">
        <f>SUM(E32*78/1000)</f>
        <v>15.249000000000001</v>
      </c>
      <c r="G32" s="71">
        <v>276.48</v>
      </c>
      <c r="H32" s="72">
        <f t="shared" si="1"/>
        <v>4.2160435200000004</v>
      </c>
      <c r="I32" s="13">
        <f t="shared" ref="I32:I34" si="2">F32/6*G32</f>
        <v>702.67392000000007</v>
      </c>
      <c r="J32" s="26"/>
      <c r="K32" s="8"/>
      <c r="L32" s="8"/>
      <c r="M32" s="8"/>
    </row>
    <row r="33" spans="1:14" ht="15.75" hidden="1" customHeight="1">
      <c r="A33" s="33"/>
      <c r="B33" s="68" t="s">
        <v>27</v>
      </c>
      <c r="C33" s="69" t="s">
        <v>91</v>
      </c>
      <c r="D33" s="68" t="s">
        <v>52</v>
      </c>
      <c r="E33" s="71">
        <v>372.4</v>
      </c>
      <c r="F33" s="71">
        <f>SUM(E33/1000)</f>
        <v>0.37239999999999995</v>
      </c>
      <c r="G33" s="71">
        <v>3228.73</v>
      </c>
      <c r="H33" s="72">
        <f t="shared" si="1"/>
        <v>1.2023790519999997</v>
      </c>
      <c r="I33" s="13">
        <f>F33*G33</f>
        <v>1202.3790519999998</v>
      </c>
      <c r="J33" s="26"/>
      <c r="K33" s="8"/>
      <c r="L33" s="8"/>
      <c r="M33" s="8"/>
    </row>
    <row r="34" spans="1:14" ht="15.75" customHeight="1">
      <c r="A34" s="33">
        <v>10</v>
      </c>
      <c r="B34" s="68" t="s">
        <v>107</v>
      </c>
      <c r="C34" s="69" t="s">
        <v>31</v>
      </c>
      <c r="D34" s="68" t="s">
        <v>62</v>
      </c>
      <c r="E34" s="75">
        <v>0.33333333333333331</v>
      </c>
      <c r="F34" s="71">
        <f>155/3</f>
        <v>51.666666666666664</v>
      </c>
      <c r="G34" s="71">
        <v>60.6</v>
      </c>
      <c r="H34" s="72">
        <f t="shared" si="1"/>
        <v>3.1309999999999998</v>
      </c>
      <c r="I34" s="13">
        <f t="shared" si="2"/>
        <v>521.83333333333337</v>
      </c>
      <c r="J34" s="26"/>
      <c r="K34" s="8"/>
    </row>
    <row r="35" spans="1:14" ht="15.75" hidden="1" customHeight="1">
      <c r="A35" s="33"/>
      <c r="B35" s="68" t="s">
        <v>64</v>
      </c>
      <c r="C35" s="69" t="s">
        <v>33</v>
      </c>
      <c r="D35" s="68" t="s">
        <v>66</v>
      </c>
      <c r="E35" s="70"/>
      <c r="F35" s="71">
        <v>3</v>
      </c>
      <c r="G35" s="71">
        <v>204.52</v>
      </c>
      <c r="H35" s="72">
        <f t="shared" si="1"/>
        <v>0.61356000000000011</v>
      </c>
      <c r="I35" s="13">
        <v>0</v>
      </c>
      <c r="J35" s="27"/>
    </row>
    <row r="36" spans="1:14" ht="15.75" hidden="1" customHeight="1">
      <c r="A36" s="33"/>
      <c r="B36" s="68" t="s">
        <v>65</v>
      </c>
      <c r="C36" s="69" t="s">
        <v>32</v>
      </c>
      <c r="D36" s="68" t="s">
        <v>66</v>
      </c>
      <c r="E36" s="70"/>
      <c r="F36" s="71">
        <v>2</v>
      </c>
      <c r="G36" s="71">
        <v>1214.73</v>
      </c>
      <c r="H36" s="72">
        <f t="shared" si="1"/>
        <v>2.4294600000000002</v>
      </c>
      <c r="I36" s="13">
        <v>0</v>
      </c>
      <c r="J36" s="27"/>
    </row>
    <row r="37" spans="1:14" ht="15.75" hidden="1" customHeight="1">
      <c r="A37" s="33"/>
      <c r="B37" s="88" t="s">
        <v>5</v>
      </c>
      <c r="C37" s="69"/>
      <c r="D37" s="68"/>
      <c r="E37" s="70"/>
      <c r="F37" s="71"/>
      <c r="G37" s="71"/>
      <c r="H37" s="72" t="s">
        <v>139</v>
      </c>
      <c r="I37" s="13"/>
      <c r="J37" s="27"/>
    </row>
    <row r="38" spans="1:14" ht="15.75" hidden="1" customHeight="1">
      <c r="A38" s="33">
        <v>8</v>
      </c>
      <c r="B38" s="68" t="s">
        <v>26</v>
      </c>
      <c r="C38" s="69" t="s">
        <v>32</v>
      </c>
      <c r="D38" s="68"/>
      <c r="E38" s="70"/>
      <c r="F38" s="71">
        <v>5</v>
      </c>
      <c r="G38" s="71">
        <v>1632.6</v>
      </c>
      <c r="H38" s="72">
        <f t="shared" ref="H38:H44" si="3">SUM(F38*G38/1000)</f>
        <v>8.1630000000000003</v>
      </c>
      <c r="I38" s="13">
        <f>F38/6*G38</f>
        <v>1360.5</v>
      </c>
      <c r="J38" s="27"/>
    </row>
    <row r="39" spans="1:14" ht="15.75" hidden="1" customHeight="1">
      <c r="A39" s="33"/>
      <c r="B39" s="68" t="s">
        <v>129</v>
      </c>
      <c r="C39" s="69" t="s">
        <v>130</v>
      </c>
      <c r="D39" s="68" t="s">
        <v>131</v>
      </c>
      <c r="E39" s="70"/>
      <c r="F39" s="71">
        <v>120</v>
      </c>
      <c r="G39" s="71">
        <v>213.2</v>
      </c>
      <c r="H39" s="72">
        <f>G39*F39/1000</f>
        <v>25.584</v>
      </c>
      <c r="I39" s="13">
        <v>0</v>
      </c>
      <c r="J39" s="27"/>
      <c r="L39" s="20"/>
      <c r="M39" s="21"/>
      <c r="N39" s="22"/>
    </row>
    <row r="40" spans="1:14" ht="15.75" hidden="1" customHeight="1">
      <c r="A40" s="33">
        <v>9</v>
      </c>
      <c r="B40" s="68" t="s">
        <v>109</v>
      </c>
      <c r="C40" s="69" t="s">
        <v>29</v>
      </c>
      <c r="D40" s="68" t="s">
        <v>132</v>
      </c>
      <c r="E40" s="70">
        <v>88</v>
      </c>
      <c r="F40" s="71">
        <f>E40*26/1000</f>
        <v>2.2879999999999998</v>
      </c>
      <c r="G40" s="71">
        <v>2247.8000000000002</v>
      </c>
      <c r="H40" s="72">
        <f>G40*F40/1000</f>
        <v>5.1429664000000006</v>
      </c>
      <c r="I40" s="13">
        <f>F40/6*G40</f>
        <v>857.16106666666667</v>
      </c>
      <c r="J40" s="27"/>
      <c r="L40" s="20"/>
      <c r="M40" s="21"/>
      <c r="N40" s="22"/>
    </row>
    <row r="41" spans="1:14" ht="15.75" hidden="1" customHeight="1">
      <c r="A41" s="33">
        <v>10</v>
      </c>
      <c r="B41" s="68" t="s">
        <v>67</v>
      </c>
      <c r="C41" s="69" t="s">
        <v>29</v>
      </c>
      <c r="D41" s="68" t="s">
        <v>90</v>
      </c>
      <c r="E41" s="71">
        <v>93.3</v>
      </c>
      <c r="F41" s="71">
        <f>SUM(E41*155/1000)</f>
        <v>14.461499999999999</v>
      </c>
      <c r="G41" s="71">
        <v>374.95</v>
      </c>
      <c r="H41" s="72">
        <f t="shared" si="3"/>
        <v>5.4223394249999988</v>
      </c>
      <c r="I41" s="13">
        <f>F41/6*G41</f>
        <v>903.72323749999998</v>
      </c>
      <c r="J41" s="27"/>
      <c r="L41" s="20"/>
      <c r="M41" s="21"/>
      <c r="N41" s="22"/>
    </row>
    <row r="42" spans="1:14" ht="47.25" hidden="1" customHeight="1">
      <c r="A42" s="33">
        <v>11</v>
      </c>
      <c r="B42" s="68" t="s">
        <v>83</v>
      </c>
      <c r="C42" s="69" t="s">
        <v>91</v>
      </c>
      <c r="D42" s="68" t="s">
        <v>133</v>
      </c>
      <c r="E42" s="71">
        <v>34.130000000000003</v>
      </c>
      <c r="F42" s="71">
        <f>SUM(E42*35/1000)</f>
        <v>1.1945500000000002</v>
      </c>
      <c r="G42" s="71">
        <v>6203.7</v>
      </c>
      <c r="H42" s="72">
        <f t="shared" si="3"/>
        <v>7.4106298350000017</v>
      </c>
      <c r="I42" s="13">
        <f>F42/6*G42</f>
        <v>1235.1049725</v>
      </c>
      <c r="J42" s="27"/>
      <c r="L42" s="20"/>
      <c r="M42" s="21"/>
      <c r="N42" s="22"/>
    </row>
    <row r="43" spans="1:14" ht="15.75" hidden="1" customHeight="1">
      <c r="A43" s="33">
        <v>12</v>
      </c>
      <c r="B43" s="68" t="s">
        <v>92</v>
      </c>
      <c r="C43" s="69" t="s">
        <v>91</v>
      </c>
      <c r="D43" s="68" t="s">
        <v>68</v>
      </c>
      <c r="E43" s="71">
        <v>72</v>
      </c>
      <c r="F43" s="71">
        <f>SUM(E43*45/1000)</f>
        <v>3.24</v>
      </c>
      <c r="G43" s="71">
        <v>458.28</v>
      </c>
      <c r="H43" s="72">
        <f t="shared" si="3"/>
        <v>1.4848272</v>
      </c>
      <c r="I43" s="13">
        <f>F43/6*G43</f>
        <v>247.47120000000001</v>
      </c>
      <c r="J43" s="27"/>
      <c r="L43" s="20"/>
      <c r="M43" s="21"/>
      <c r="N43" s="22"/>
    </row>
    <row r="44" spans="1:14" ht="15.75" hidden="1" customHeight="1">
      <c r="A44" s="33">
        <v>13</v>
      </c>
      <c r="B44" s="68" t="s">
        <v>69</v>
      </c>
      <c r="C44" s="69" t="s">
        <v>33</v>
      </c>
      <c r="D44" s="68"/>
      <c r="E44" s="70"/>
      <c r="F44" s="71">
        <v>0.9</v>
      </c>
      <c r="G44" s="71">
        <v>853.06</v>
      </c>
      <c r="H44" s="72">
        <f t="shared" si="3"/>
        <v>0.76775400000000005</v>
      </c>
      <c r="I44" s="13">
        <f>F44/6*G44</f>
        <v>127.95899999999999</v>
      </c>
      <c r="J44" s="27"/>
      <c r="L44" s="20"/>
      <c r="M44" s="21"/>
      <c r="N44" s="22"/>
    </row>
    <row r="45" spans="1:14" ht="15.75" customHeight="1">
      <c r="A45" s="110" t="s">
        <v>144</v>
      </c>
      <c r="B45" s="111"/>
      <c r="C45" s="111"/>
      <c r="D45" s="111"/>
      <c r="E45" s="111"/>
      <c r="F45" s="111"/>
      <c r="G45" s="111"/>
      <c r="H45" s="111"/>
      <c r="I45" s="112"/>
      <c r="J45" s="27"/>
      <c r="L45" s="20"/>
      <c r="M45" s="21"/>
      <c r="N45" s="22"/>
    </row>
    <row r="46" spans="1:14" ht="15.75" customHeight="1">
      <c r="A46" s="33">
        <v>11</v>
      </c>
      <c r="B46" s="68" t="s">
        <v>134</v>
      </c>
      <c r="C46" s="69" t="s">
        <v>91</v>
      </c>
      <c r="D46" s="68" t="s">
        <v>41</v>
      </c>
      <c r="E46" s="70">
        <v>670.4</v>
      </c>
      <c r="F46" s="71">
        <f>SUM(E46*2/1000)</f>
        <v>1.3408</v>
      </c>
      <c r="G46" s="13">
        <v>908.11</v>
      </c>
      <c r="H46" s="72">
        <f t="shared" ref="H46:H54" si="4">SUM(F46*G46/1000)</f>
        <v>1.2175938880000001</v>
      </c>
      <c r="I46" s="13">
        <f t="shared" ref="I46:I48" si="5">F46/2*G46</f>
        <v>608.79694400000005</v>
      </c>
      <c r="J46" s="27"/>
      <c r="L46" s="20"/>
      <c r="M46" s="21"/>
      <c r="N46" s="22"/>
    </row>
    <row r="47" spans="1:14" ht="15.75" customHeight="1">
      <c r="A47" s="33">
        <v>12</v>
      </c>
      <c r="B47" s="68" t="s">
        <v>34</v>
      </c>
      <c r="C47" s="69" t="s">
        <v>91</v>
      </c>
      <c r="D47" s="68" t="s">
        <v>41</v>
      </c>
      <c r="E47" s="70">
        <v>26</v>
      </c>
      <c r="F47" s="71">
        <f>E47*2/1000</f>
        <v>5.1999999999999998E-2</v>
      </c>
      <c r="G47" s="13">
        <v>619.46</v>
      </c>
      <c r="H47" s="72">
        <f t="shared" si="4"/>
        <v>3.2211919999999998E-2</v>
      </c>
      <c r="I47" s="13">
        <f t="shared" si="5"/>
        <v>16.10596</v>
      </c>
      <c r="J47" s="27"/>
      <c r="L47" s="20"/>
      <c r="M47" s="21"/>
      <c r="N47" s="22"/>
    </row>
    <row r="48" spans="1:14" ht="15.75" customHeight="1">
      <c r="A48" s="33">
        <v>13</v>
      </c>
      <c r="B48" s="68" t="s">
        <v>35</v>
      </c>
      <c r="C48" s="69" t="s">
        <v>91</v>
      </c>
      <c r="D48" s="68" t="s">
        <v>41</v>
      </c>
      <c r="E48" s="70">
        <v>760.4</v>
      </c>
      <c r="F48" s="71">
        <f>SUM(E48*2/1000)</f>
        <v>1.5207999999999999</v>
      </c>
      <c r="G48" s="13">
        <v>619.46</v>
      </c>
      <c r="H48" s="72">
        <f t="shared" si="4"/>
        <v>0.94207476800000012</v>
      </c>
      <c r="I48" s="13">
        <f t="shared" si="5"/>
        <v>471.03738400000003</v>
      </c>
      <c r="J48" s="27"/>
      <c r="L48" s="20"/>
      <c r="M48" s="21"/>
      <c r="N48" s="22"/>
    </row>
    <row r="49" spans="1:22" ht="15.75" customHeight="1">
      <c r="A49" s="33">
        <v>14</v>
      </c>
      <c r="B49" s="68" t="s">
        <v>36</v>
      </c>
      <c r="C49" s="69" t="s">
        <v>91</v>
      </c>
      <c r="D49" s="68" t="s">
        <v>41</v>
      </c>
      <c r="E49" s="70">
        <v>1440</v>
      </c>
      <c r="F49" s="71">
        <f>SUM(E49*2/1000)</f>
        <v>2.88</v>
      </c>
      <c r="G49" s="13">
        <v>648.64</v>
      </c>
      <c r="H49" s="72">
        <f t="shared" si="4"/>
        <v>1.8680831999999998</v>
      </c>
      <c r="I49" s="13">
        <f>F49/2*G49</f>
        <v>934.0415999999999</v>
      </c>
      <c r="J49" s="27"/>
      <c r="L49" s="20"/>
      <c r="M49" s="21"/>
      <c r="N49" s="22"/>
    </row>
    <row r="50" spans="1:22" ht="15.75" customHeight="1">
      <c r="A50" s="33">
        <v>15</v>
      </c>
      <c r="B50" s="68" t="s">
        <v>55</v>
      </c>
      <c r="C50" s="69" t="s">
        <v>91</v>
      </c>
      <c r="D50" s="68" t="s">
        <v>182</v>
      </c>
      <c r="E50" s="70">
        <v>1340.8</v>
      </c>
      <c r="F50" s="71">
        <f>SUM(E50*5/1000)</f>
        <v>6.7039999999999997</v>
      </c>
      <c r="G50" s="13">
        <v>1297.28</v>
      </c>
      <c r="H50" s="72">
        <f t="shared" si="4"/>
        <v>8.6969651199999998</v>
      </c>
      <c r="I50" s="13">
        <f>F50/5*G50</f>
        <v>1739.393024</v>
      </c>
      <c r="J50" s="27"/>
      <c r="L50" s="20"/>
      <c r="M50" s="21"/>
      <c r="N50" s="22"/>
    </row>
    <row r="51" spans="1:22" ht="31.5" customHeight="1">
      <c r="A51" s="33">
        <v>16</v>
      </c>
      <c r="B51" s="68" t="s">
        <v>93</v>
      </c>
      <c r="C51" s="69" t="s">
        <v>91</v>
      </c>
      <c r="D51" s="68" t="s">
        <v>41</v>
      </c>
      <c r="E51" s="70">
        <v>1340.8</v>
      </c>
      <c r="F51" s="71">
        <f>SUM(E51*2/1000)</f>
        <v>2.6816</v>
      </c>
      <c r="G51" s="13">
        <v>1297.28</v>
      </c>
      <c r="H51" s="72">
        <f t="shared" si="4"/>
        <v>3.4787860479999999</v>
      </c>
      <c r="I51" s="13">
        <f>F51/2*G51</f>
        <v>1739.393024</v>
      </c>
      <c r="J51" s="27"/>
      <c r="L51" s="20"/>
      <c r="M51" s="21"/>
      <c r="N51" s="22"/>
    </row>
    <row r="52" spans="1:22" ht="31.5" customHeight="1">
      <c r="A52" s="33">
        <v>17</v>
      </c>
      <c r="B52" s="68" t="s">
        <v>94</v>
      </c>
      <c r="C52" s="69" t="s">
        <v>37</v>
      </c>
      <c r="D52" s="68" t="s">
        <v>41</v>
      </c>
      <c r="E52" s="70">
        <v>10</v>
      </c>
      <c r="F52" s="71">
        <f>SUM(E52*2/100)</f>
        <v>0.2</v>
      </c>
      <c r="G52" s="13">
        <v>2918.89</v>
      </c>
      <c r="H52" s="72">
        <f>SUM(F52*G52/1000)</f>
        <v>0.58377800000000002</v>
      </c>
      <c r="I52" s="13">
        <f t="shared" ref="I52:I53" si="6">F52/2*G52</f>
        <v>291.88900000000001</v>
      </c>
      <c r="J52" s="27"/>
      <c r="L52" s="20"/>
      <c r="M52" s="21"/>
      <c r="N52" s="22"/>
    </row>
    <row r="53" spans="1:22" ht="15.75" customHeight="1">
      <c r="A53" s="33">
        <v>18</v>
      </c>
      <c r="B53" s="68" t="s">
        <v>38</v>
      </c>
      <c r="C53" s="69" t="s">
        <v>39</v>
      </c>
      <c r="D53" s="68" t="s">
        <v>41</v>
      </c>
      <c r="E53" s="70">
        <v>1</v>
      </c>
      <c r="F53" s="71">
        <v>0.02</v>
      </c>
      <c r="G53" s="13">
        <v>6042.12</v>
      </c>
      <c r="H53" s="72">
        <f t="shared" si="4"/>
        <v>0.1208424</v>
      </c>
      <c r="I53" s="13">
        <f t="shared" si="6"/>
        <v>60.421199999999999</v>
      </c>
      <c r="J53" s="27"/>
      <c r="L53" s="20"/>
      <c r="M53" s="21"/>
      <c r="N53" s="22"/>
    </row>
    <row r="54" spans="1:22" ht="15.75" hidden="1" customHeight="1">
      <c r="A54" s="33">
        <v>15</v>
      </c>
      <c r="B54" s="68" t="s">
        <v>40</v>
      </c>
      <c r="C54" s="69" t="s">
        <v>110</v>
      </c>
      <c r="D54" s="68" t="s">
        <v>70</v>
      </c>
      <c r="E54" s="70">
        <v>80</v>
      </c>
      <c r="F54" s="71">
        <f>SUM(E54)*3</f>
        <v>240</v>
      </c>
      <c r="G54" s="13">
        <v>70.209999999999994</v>
      </c>
      <c r="H54" s="72">
        <f t="shared" si="4"/>
        <v>16.850399999999997</v>
      </c>
      <c r="I54" s="13">
        <f>E54*G54</f>
        <v>5616.7999999999993</v>
      </c>
      <c r="J54" s="27"/>
      <c r="L54" s="20"/>
      <c r="M54" s="21"/>
      <c r="N54" s="22"/>
    </row>
    <row r="55" spans="1:22" ht="15.75" customHeight="1">
      <c r="A55" s="110" t="s">
        <v>145</v>
      </c>
      <c r="B55" s="111"/>
      <c r="C55" s="111"/>
      <c r="D55" s="111"/>
      <c r="E55" s="111"/>
      <c r="F55" s="111"/>
      <c r="G55" s="111"/>
      <c r="H55" s="111"/>
      <c r="I55" s="112"/>
      <c r="J55" s="27"/>
      <c r="L55" s="20"/>
      <c r="M55" s="21"/>
      <c r="N55" s="22"/>
    </row>
    <row r="56" spans="1:22" ht="15.75" hidden="1" customHeight="1">
      <c r="A56" s="33"/>
      <c r="B56" s="88" t="s">
        <v>42</v>
      </c>
      <c r="C56" s="69"/>
      <c r="D56" s="68"/>
      <c r="E56" s="70"/>
      <c r="F56" s="71"/>
      <c r="G56" s="71"/>
      <c r="H56" s="72"/>
      <c r="I56" s="13"/>
      <c r="J56" s="27"/>
      <c r="L56" s="20"/>
      <c r="M56" s="21"/>
      <c r="N56" s="22"/>
    </row>
    <row r="57" spans="1:22" ht="31.5" hidden="1" customHeight="1">
      <c r="A57" s="33">
        <v>16</v>
      </c>
      <c r="B57" s="68" t="s">
        <v>135</v>
      </c>
      <c r="C57" s="69" t="s">
        <v>89</v>
      </c>
      <c r="D57" s="68" t="s">
        <v>111</v>
      </c>
      <c r="E57" s="70">
        <v>79.040000000000006</v>
      </c>
      <c r="F57" s="71">
        <f>SUM(E57*6/100)</f>
        <v>4.7423999999999999</v>
      </c>
      <c r="G57" s="13">
        <v>1654.04</v>
      </c>
      <c r="H57" s="72">
        <f>SUM(F57*G57/1000)</f>
        <v>7.8441192959999997</v>
      </c>
      <c r="I57" s="13">
        <f>F57/6*G57</f>
        <v>1307.353216</v>
      </c>
      <c r="J57" s="27"/>
      <c r="L57" s="20"/>
      <c r="M57" s="21"/>
      <c r="N57" s="22"/>
    </row>
    <row r="58" spans="1:22" ht="15.75" hidden="1" customHeight="1">
      <c r="A58" s="33"/>
      <c r="B58" s="77" t="s">
        <v>123</v>
      </c>
      <c r="C58" s="78" t="s">
        <v>51</v>
      </c>
      <c r="D58" s="77" t="s">
        <v>52</v>
      </c>
      <c r="E58" s="79">
        <v>670.4</v>
      </c>
      <c r="F58" s="80">
        <f>E58/100</f>
        <v>6.7039999999999997</v>
      </c>
      <c r="G58" s="13">
        <v>505.2</v>
      </c>
      <c r="H58" s="72">
        <f>SUM(F58*G58/1000)</f>
        <v>3.3868608</v>
      </c>
      <c r="I58" s="13">
        <v>0</v>
      </c>
      <c r="J58" s="27"/>
      <c r="L58" s="20"/>
      <c r="M58" s="21"/>
      <c r="N58" s="22"/>
    </row>
    <row r="59" spans="1:22" ht="15.75" hidden="1" customHeight="1">
      <c r="A59" s="33">
        <v>17</v>
      </c>
      <c r="B59" s="68" t="s">
        <v>136</v>
      </c>
      <c r="C59" s="69" t="s">
        <v>89</v>
      </c>
      <c r="D59" s="68" t="s">
        <v>111</v>
      </c>
      <c r="E59" s="70">
        <v>3.8</v>
      </c>
      <c r="F59" s="71">
        <f>SUM(E59*6/100)</f>
        <v>0.22799999999999998</v>
      </c>
      <c r="G59" s="13">
        <v>1654.04</v>
      </c>
      <c r="H59" s="72">
        <f>SUM(F59*G59/1000)</f>
        <v>0.37712111999999998</v>
      </c>
      <c r="I59" s="13">
        <f>F59/6*G59</f>
        <v>62.853519999999996</v>
      </c>
      <c r="J59" s="27"/>
      <c r="L59" s="20"/>
    </row>
    <row r="60" spans="1:22" ht="15.75" hidden="1" customHeight="1">
      <c r="A60" s="33"/>
      <c r="B60" s="77" t="s">
        <v>137</v>
      </c>
      <c r="C60" s="78" t="s">
        <v>138</v>
      </c>
      <c r="D60" s="77" t="s">
        <v>41</v>
      </c>
      <c r="E60" s="79">
        <v>2</v>
      </c>
      <c r="F60" s="80">
        <v>4</v>
      </c>
      <c r="G60" s="13">
        <v>193.25</v>
      </c>
      <c r="H60" s="81">
        <f>F60*G60/1000</f>
        <v>0.77300000000000002</v>
      </c>
      <c r="I60" s="13">
        <v>0</v>
      </c>
    </row>
    <row r="61" spans="1:22" ht="15.75" customHeight="1">
      <c r="A61" s="33"/>
      <c r="B61" s="89" t="s">
        <v>43</v>
      </c>
      <c r="C61" s="78"/>
      <c r="D61" s="77"/>
      <c r="E61" s="79"/>
      <c r="F61" s="80"/>
      <c r="G61" s="13"/>
      <c r="H61" s="81"/>
      <c r="I61" s="13"/>
    </row>
    <row r="62" spans="1:22" ht="15.75" hidden="1" customHeight="1">
      <c r="A62" s="33"/>
      <c r="B62" s="77" t="s">
        <v>123</v>
      </c>
      <c r="C62" s="78" t="s">
        <v>51</v>
      </c>
      <c r="D62" s="77" t="s">
        <v>52</v>
      </c>
      <c r="E62" s="79">
        <v>1096</v>
      </c>
      <c r="F62" s="80">
        <f>E62/100</f>
        <v>10.96</v>
      </c>
      <c r="G62" s="13">
        <v>848.37</v>
      </c>
      <c r="H62" s="81">
        <f>F62*G62/1000</f>
        <v>9.2981352000000008</v>
      </c>
      <c r="I62" s="13">
        <v>0</v>
      </c>
    </row>
    <row r="63" spans="1:22" ht="15.75" customHeight="1">
      <c r="A63" s="33">
        <v>19</v>
      </c>
      <c r="B63" s="77" t="s">
        <v>124</v>
      </c>
      <c r="C63" s="78" t="s">
        <v>25</v>
      </c>
      <c r="D63" s="77" t="s">
        <v>30</v>
      </c>
      <c r="E63" s="79">
        <v>110</v>
      </c>
      <c r="F63" s="82">
        <f>E63*12</f>
        <v>1320</v>
      </c>
      <c r="G63" s="61">
        <v>2.6</v>
      </c>
      <c r="H63" s="80">
        <f>F63*G63/1000</f>
        <v>3.4319999999999999</v>
      </c>
      <c r="I63" s="13">
        <f>F63/12*G63</f>
        <v>286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3"/>
      <c r="B64" s="89" t="s">
        <v>44</v>
      </c>
      <c r="C64" s="78"/>
      <c r="D64" s="77"/>
      <c r="E64" s="79"/>
      <c r="F64" s="82"/>
      <c r="G64" s="82"/>
      <c r="H64" s="80" t="s">
        <v>139</v>
      </c>
      <c r="I64" s="13"/>
      <c r="J64" s="29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3">
        <v>20</v>
      </c>
      <c r="B65" s="14" t="s">
        <v>45</v>
      </c>
      <c r="C65" s="16" t="s">
        <v>110</v>
      </c>
      <c r="D65" s="14" t="s">
        <v>66</v>
      </c>
      <c r="E65" s="19">
        <v>6</v>
      </c>
      <c r="F65" s="71">
        <v>6</v>
      </c>
      <c r="G65" s="13">
        <v>237.74</v>
      </c>
      <c r="H65" s="66">
        <f t="shared" ref="H65:H78" si="7">SUM(F65*G65/1000)</f>
        <v>1.4264400000000002</v>
      </c>
      <c r="I65" s="13">
        <f>G65*8</f>
        <v>1901.92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3"/>
      <c r="B66" s="14" t="s">
        <v>46</v>
      </c>
      <c r="C66" s="16" t="s">
        <v>110</v>
      </c>
      <c r="D66" s="14" t="s">
        <v>66</v>
      </c>
      <c r="E66" s="19">
        <v>2</v>
      </c>
      <c r="F66" s="71">
        <v>2</v>
      </c>
      <c r="G66" s="13">
        <v>81.510000000000005</v>
      </c>
      <c r="H66" s="66">
        <f t="shared" si="7"/>
        <v>0.16302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13"/>
      <c r="S66" s="113"/>
      <c r="T66" s="113"/>
      <c r="U66" s="113"/>
    </row>
    <row r="67" spans="1:21" ht="15.75" hidden="1" customHeight="1">
      <c r="A67" s="33"/>
      <c r="B67" s="14" t="s">
        <v>47</v>
      </c>
      <c r="C67" s="16" t="s">
        <v>112</v>
      </c>
      <c r="D67" s="14" t="s">
        <v>52</v>
      </c>
      <c r="E67" s="70">
        <v>9962</v>
      </c>
      <c r="F67" s="13">
        <f>SUM(E67/100)</f>
        <v>99.62</v>
      </c>
      <c r="G67" s="13">
        <v>226.79</v>
      </c>
      <c r="H67" s="66">
        <f t="shared" si="7"/>
        <v>22.592819800000001</v>
      </c>
      <c r="I67" s="13">
        <f>F67*G67</f>
        <v>22592.819800000001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3"/>
      <c r="B68" s="14" t="s">
        <v>48</v>
      </c>
      <c r="C68" s="16" t="s">
        <v>113</v>
      </c>
      <c r="D68" s="14"/>
      <c r="E68" s="70">
        <v>9962</v>
      </c>
      <c r="F68" s="13">
        <f>SUM(E68/1000)</f>
        <v>9.9619999999999997</v>
      </c>
      <c r="G68" s="13">
        <v>176.61</v>
      </c>
      <c r="H68" s="66">
        <f t="shared" si="7"/>
        <v>1.7593888200000001</v>
      </c>
      <c r="I68" s="13">
        <f t="shared" ref="I68:I72" si="8">F68*G68</f>
        <v>1759.3888200000001</v>
      </c>
    </row>
    <row r="69" spans="1:21" ht="15.75" hidden="1" customHeight="1">
      <c r="A69" s="33"/>
      <c r="B69" s="14" t="s">
        <v>49</v>
      </c>
      <c r="C69" s="16" t="s">
        <v>76</v>
      </c>
      <c r="D69" s="14" t="s">
        <v>52</v>
      </c>
      <c r="E69" s="70">
        <v>1062</v>
      </c>
      <c r="F69" s="13">
        <f>SUM(E69/100)</f>
        <v>10.62</v>
      </c>
      <c r="G69" s="13">
        <v>2217.7800000000002</v>
      </c>
      <c r="H69" s="66">
        <f t="shared" si="7"/>
        <v>23.5528236</v>
      </c>
      <c r="I69" s="13">
        <f t="shared" si="8"/>
        <v>23552.8236</v>
      </c>
    </row>
    <row r="70" spans="1:21" ht="15.75" hidden="1" customHeight="1">
      <c r="A70" s="33"/>
      <c r="B70" s="83" t="s">
        <v>114</v>
      </c>
      <c r="C70" s="16" t="s">
        <v>33</v>
      </c>
      <c r="D70" s="14"/>
      <c r="E70" s="70">
        <v>9</v>
      </c>
      <c r="F70" s="13">
        <f>SUM(E70)</f>
        <v>9</v>
      </c>
      <c r="G70" s="13">
        <v>42.67</v>
      </c>
      <c r="H70" s="66">
        <f t="shared" si="7"/>
        <v>0.38403000000000004</v>
      </c>
      <c r="I70" s="13">
        <f t="shared" si="8"/>
        <v>384.03000000000003</v>
      </c>
    </row>
    <row r="71" spans="1:21" ht="15.75" hidden="1" customHeight="1">
      <c r="A71" s="33"/>
      <c r="B71" s="83" t="s">
        <v>115</v>
      </c>
      <c r="C71" s="16" t="s">
        <v>33</v>
      </c>
      <c r="D71" s="14"/>
      <c r="E71" s="70">
        <v>9</v>
      </c>
      <c r="F71" s="13">
        <f>SUM(E71)</f>
        <v>9</v>
      </c>
      <c r="G71" s="13">
        <v>39.81</v>
      </c>
      <c r="H71" s="66">
        <f t="shared" si="7"/>
        <v>0.35829</v>
      </c>
      <c r="I71" s="13">
        <f t="shared" si="8"/>
        <v>358.29</v>
      </c>
    </row>
    <row r="72" spans="1:21" ht="15.75" customHeight="1">
      <c r="A72" s="33">
        <v>21</v>
      </c>
      <c r="B72" s="14" t="s">
        <v>56</v>
      </c>
      <c r="C72" s="16" t="s">
        <v>57</v>
      </c>
      <c r="D72" s="14" t="s">
        <v>52</v>
      </c>
      <c r="E72" s="19">
        <v>2</v>
      </c>
      <c r="F72" s="71">
        <v>2</v>
      </c>
      <c r="G72" s="13">
        <v>53.32</v>
      </c>
      <c r="H72" s="66">
        <f t="shared" si="7"/>
        <v>0.10664</v>
      </c>
      <c r="I72" s="13">
        <f t="shared" si="8"/>
        <v>106.64</v>
      </c>
    </row>
    <row r="73" spans="1:21" ht="15.75" hidden="1" customHeight="1">
      <c r="A73" s="33"/>
      <c r="B73" s="58" t="s">
        <v>71</v>
      </c>
      <c r="C73" s="16"/>
      <c r="D73" s="14"/>
      <c r="E73" s="19"/>
      <c r="F73" s="13"/>
      <c r="G73" s="13"/>
      <c r="H73" s="66" t="s">
        <v>139</v>
      </c>
      <c r="I73" s="13"/>
    </row>
    <row r="74" spans="1:21" ht="15.75" hidden="1" customHeight="1">
      <c r="A74" s="33"/>
      <c r="B74" s="14" t="s">
        <v>72</v>
      </c>
      <c r="C74" s="16" t="s">
        <v>74</v>
      </c>
      <c r="D74" s="14"/>
      <c r="E74" s="19">
        <v>4</v>
      </c>
      <c r="F74" s="13">
        <v>0.4</v>
      </c>
      <c r="G74" s="13">
        <v>536.23</v>
      </c>
      <c r="H74" s="66">
        <f t="shared" si="7"/>
        <v>0.21449200000000002</v>
      </c>
      <c r="I74" s="13">
        <v>0</v>
      </c>
    </row>
    <row r="75" spans="1:21" ht="15.75" hidden="1" customHeight="1">
      <c r="A75" s="33"/>
      <c r="B75" s="14" t="s">
        <v>73</v>
      </c>
      <c r="C75" s="16" t="s">
        <v>31</v>
      </c>
      <c r="D75" s="14"/>
      <c r="E75" s="19">
        <v>1</v>
      </c>
      <c r="F75" s="61">
        <v>1</v>
      </c>
      <c r="G75" s="13">
        <v>911.85</v>
      </c>
      <c r="H75" s="66">
        <f>F75*G75/1000</f>
        <v>0.91185000000000005</v>
      </c>
      <c r="I75" s="13">
        <v>0</v>
      </c>
    </row>
    <row r="76" spans="1:21" ht="15.75" hidden="1" customHeight="1">
      <c r="A76" s="33"/>
      <c r="B76" s="14" t="s">
        <v>117</v>
      </c>
      <c r="C76" s="16" t="s">
        <v>31</v>
      </c>
      <c r="D76" s="14"/>
      <c r="E76" s="19">
        <v>1</v>
      </c>
      <c r="F76" s="13">
        <v>1</v>
      </c>
      <c r="G76" s="13">
        <v>383.25</v>
      </c>
      <c r="H76" s="66">
        <f>G76*F76/1000</f>
        <v>0.38324999999999998</v>
      </c>
      <c r="I76" s="13">
        <v>0</v>
      </c>
    </row>
    <row r="77" spans="1:21" ht="15.75" hidden="1" customHeight="1">
      <c r="A77" s="33"/>
      <c r="B77" s="85" t="s">
        <v>75</v>
      </c>
      <c r="C77" s="16"/>
      <c r="D77" s="14"/>
      <c r="E77" s="19"/>
      <c r="F77" s="13"/>
      <c r="G77" s="13" t="s">
        <v>139</v>
      </c>
      <c r="H77" s="66" t="s">
        <v>139</v>
      </c>
      <c r="I77" s="13"/>
    </row>
    <row r="78" spans="1:21" ht="15.75" hidden="1" customHeight="1">
      <c r="A78" s="33"/>
      <c r="B78" s="46" t="s">
        <v>126</v>
      </c>
      <c r="C78" s="16" t="s">
        <v>76</v>
      </c>
      <c r="D78" s="14"/>
      <c r="E78" s="19"/>
      <c r="F78" s="13">
        <v>0.1</v>
      </c>
      <c r="G78" s="13">
        <v>2949.85</v>
      </c>
      <c r="H78" s="66">
        <f t="shared" si="7"/>
        <v>0.294985</v>
      </c>
      <c r="I78" s="13">
        <v>0</v>
      </c>
    </row>
    <row r="79" spans="1:21" ht="15.75" hidden="1" customHeight="1">
      <c r="A79" s="33"/>
      <c r="B79" s="58" t="s">
        <v>95</v>
      </c>
      <c r="C79" s="58"/>
      <c r="D79" s="58"/>
      <c r="E79" s="58"/>
      <c r="F79" s="58"/>
      <c r="G79" s="74"/>
      <c r="H79" s="86">
        <f>SUM(H57:H78)</f>
        <v>77.259265635999995</v>
      </c>
      <c r="I79" s="74"/>
    </row>
    <row r="80" spans="1:21" ht="15.75" hidden="1" customHeight="1">
      <c r="A80" s="33">
        <v>22</v>
      </c>
      <c r="B80" s="90" t="s">
        <v>116</v>
      </c>
      <c r="C80" s="24"/>
      <c r="D80" s="23"/>
      <c r="E80" s="62"/>
      <c r="F80" s="91">
        <v>1</v>
      </c>
      <c r="G80" s="13">
        <v>7140.7</v>
      </c>
      <c r="H80" s="66">
        <f>G80*F80/1000</f>
        <v>7.1406999999999998</v>
      </c>
      <c r="I80" s="13">
        <f>G80</f>
        <v>7140.7</v>
      </c>
    </row>
    <row r="81" spans="1:9" ht="15" customHeight="1">
      <c r="A81" s="121" t="s">
        <v>146</v>
      </c>
      <c r="B81" s="122"/>
      <c r="C81" s="122"/>
      <c r="D81" s="122"/>
      <c r="E81" s="122"/>
      <c r="F81" s="122"/>
      <c r="G81" s="122"/>
      <c r="H81" s="122"/>
      <c r="I81" s="123"/>
    </row>
    <row r="82" spans="1:9" ht="15.75" customHeight="1">
      <c r="A82" s="33">
        <v>22</v>
      </c>
      <c r="B82" s="68" t="s">
        <v>118</v>
      </c>
      <c r="C82" s="16" t="s">
        <v>53</v>
      </c>
      <c r="D82" s="50" t="s">
        <v>54</v>
      </c>
      <c r="E82" s="13">
        <v>2409</v>
      </c>
      <c r="F82" s="13">
        <f>SUM(E82*12)</f>
        <v>28908</v>
      </c>
      <c r="G82" s="13">
        <v>2.54</v>
      </c>
      <c r="H82" s="66">
        <f>SUM(F82*G82/1000)</f>
        <v>73.426320000000004</v>
      </c>
      <c r="I82" s="13">
        <f>F82/12*G82</f>
        <v>6118.86</v>
      </c>
    </row>
    <row r="83" spans="1:9" ht="31.5" customHeight="1">
      <c r="A83" s="33">
        <v>23</v>
      </c>
      <c r="B83" s="14" t="s">
        <v>77</v>
      </c>
      <c r="C83" s="16"/>
      <c r="D83" s="50" t="s">
        <v>54</v>
      </c>
      <c r="E83" s="70">
        <f>E82</f>
        <v>2409</v>
      </c>
      <c r="F83" s="13">
        <f>E83*12</f>
        <v>28908</v>
      </c>
      <c r="G83" s="13">
        <v>3.05</v>
      </c>
      <c r="H83" s="66">
        <f>F83*G83/1000</f>
        <v>88.169399999999996</v>
      </c>
      <c r="I83" s="13">
        <f>F83/12*G83</f>
        <v>7347.45</v>
      </c>
    </row>
    <row r="84" spans="1:9" ht="15.75" customHeight="1">
      <c r="A84" s="33"/>
      <c r="B84" s="39" t="s">
        <v>79</v>
      </c>
      <c r="C84" s="85"/>
      <c r="D84" s="84"/>
      <c r="E84" s="74"/>
      <c r="F84" s="74"/>
      <c r="G84" s="74"/>
      <c r="H84" s="86">
        <f>H83</f>
        <v>88.169399999999996</v>
      </c>
      <c r="I84" s="74">
        <f>I16+I17+I18+I20+I21+I27+I28+I31+I32+I34+I46+I47+I48+I49+I50+I51+I52+I53+I63+I65+I72+I82+I83</f>
        <v>44984.561082666667</v>
      </c>
    </row>
    <row r="85" spans="1:9" ht="15.75" customHeight="1">
      <c r="A85" s="128" t="s">
        <v>59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3">
        <v>24</v>
      </c>
      <c r="B86" s="100" t="s">
        <v>200</v>
      </c>
      <c r="C86" s="101" t="s">
        <v>201</v>
      </c>
      <c r="D86" s="98"/>
      <c r="E86" s="37"/>
      <c r="F86" s="37">
        <f>(3+3+3+3+10+20+13)/3</f>
        <v>18.333333333333332</v>
      </c>
      <c r="G86" s="37">
        <v>1120.8900000000001</v>
      </c>
      <c r="H86" s="99">
        <f>G86*F86/1000</f>
        <v>20.54965</v>
      </c>
      <c r="I86" s="13">
        <f>G86*(13/3)</f>
        <v>4857.1900000000005</v>
      </c>
    </row>
    <row r="87" spans="1:9" ht="15.75" customHeight="1">
      <c r="A87" s="33">
        <v>25</v>
      </c>
      <c r="B87" s="49" t="s">
        <v>82</v>
      </c>
      <c r="C87" s="53" t="s">
        <v>110</v>
      </c>
      <c r="D87" s="46"/>
      <c r="E87" s="13"/>
      <c r="F87" s="13">
        <v>5</v>
      </c>
      <c r="G87" s="13">
        <v>189.88</v>
      </c>
      <c r="H87" s="66">
        <f>G87*F87/1000</f>
        <v>0.94940000000000002</v>
      </c>
      <c r="I87" s="13">
        <f>G87</f>
        <v>189.88</v>
      </c>
    </row>
    <row r="88" spans="1:9" ht="15.75" customHeight="1">
      <c r="A88" s="33">
        <v>26</v>
      </c>
      <c r="B88" s="49" t="s">
        <v>143</v>
      </c>
      <c r="C88" s="53" t="s">
        <v>84</v>
      </c>
      <c r="D88" s="38"/>
      <c r="E88" s="18"/>
      <c r="F88" s="37">
        <v>4</v>
      </c>
      <c r="G88" s="37">
        <v>195.85</v>
      </c>
      <c r="H88" s="99">
        <f t="shared" ref="H88:H90" si="9">G88*F88/1000</f>
        <v>0.78339999999999999</v>
      </c>
      <c r="I88" s="13">
        <f t="shared" ref="I88:I90" si="10">G88</f>
        <v>195.85</v>
      </c>
    </row>
    <row r="89" spans="1:9" ht="31.5" customHeight="1">
      <c r="A89" s="33">
        <v>27</v>
      </c>
      <c r="B89" s="49" t="s">
        <v>140</v>
      </c>
      <c r="C89" s="53" t="s">
        <v>127</v>
      </c>
      <c r="D89" s="38"/>
      <c r="E89" s="18"/>
      <c r="F89" s="37">
        <v>4</v>
      </c>
      <c r="G89" s="37">
        <v>589.84</v>
      </c>
      <c r="H89" s="99">
        <f t="shared" si="9"/>
        <v>2.3593600000000001</v>
      </c>
      <c r="I89" s="13">
        <f t="shared" si="10"/>
        <v>589.84</v>
      </c>
    </row>
    <row r="90" spans="1:9" ht="31.5" customHeight="1">
      <c r="A90" s="33">
        <v>28</v>
      </c>
      <c r="B90" s="49" t="s">
        <v>240</v>
      </c>
      <c r="C90" s="53" t="s">
        <v>241</v>
      </c>
      <c r="D90" s="14"/>
      <c r="E90" s="19"/>
      <c r="F90" s="13">
        <v>1</v>
      </c>
      <c r="G90" s="13">
        <v>54.17</v>
      </c>
      <c r="H90" s="66">
        <f t="shared" si="9"/>
        <v>5.4170000000000003E-2</v>
      </c>
      <c r="I90" s="13">
        <f t="shared" si="10"/>
        <v>54.17</v>
      </c>
    </row>
    <row r="91" spans="1:9" ht="15.75" customHeight="1">
      <c r="A91" s="33">
        <v>29</v>
      </c>
      <c r="B91" s="49" t="s">
        <v>151</v>
      </c>
      <c r="C91" s="53" t="s">
        <v>152</v>
      </c>
      <c r="D91" s="14"/>
      <c r="E91" s="19"/>
      <c r="F91" s="13">
        <v>2</v>
      </c>
      <c r="G91" s="13">
        <v>206.54</v>
      </c>
      <c r="H91" s="66">
        <f>G91*F91/1000</f>
        <v>0.41308</v>
      </c>
      <c r="I91" s="13">
        <f>G91*(1+1)</f>
        <v>413.08</v>
      </c>
    </row>
    <row r="92" spans="1:9" ht="31.5" customHeight="1">
      <c r="A92" s="33">
        <v>30</v>
      </c>
      <c r="B92" s="49" t="s">
        <v>168</v>
      </c>
      <c r="C92" s="53" t="s">
        <v>153</v>
      </c>
      <c r="D92" s="46"/>
      <c r="E92" s="13"/>
      <c r="F92" s="13">
        <v>4</v>
      </c>
      <c r="G92" s="13">
        <v>1272</v>
      </c>
      <c r="H92" s="66">
        <f t="shared" ref="H92:H93" si="11">G92*F92/1000</f>
        <v>5.0880000000000001</v>
      </c>
      <c r="I92" s="13">
        <f>G92*(3+1)</f>
        <v>5088</v>
      </c>
    </row>
    <row r="93" spans="1:9" ht="31.5" customHeight="1">
      <c r="A93" s="33">
        <v>31</v>
      </c>
      <c r="B93" s="49" t="s">
        <v>242</v>
      </c>
      <c r="C93" s="53" t="s">
        <v>243</v>
      </c>
      <c r="D93" s="46"/>
      <c r="E93" s="13"/>
      <c r="F93" s="13">
        <v>1</v>
      </c>
      <c r="G93" s="13">
        <v>663.38</v>
      </c>
      <c r="H93" s="66">
        <f t="shared" si="11"/>
        <v>0.66337999999999997</v>
      </c>
      <c r="I93" s="13">
        <f>G93</f>
        <v>663.38</v>
      </c>
    </row>
    <row r="94" spans="1:9" ht="31.5" customHeight="1">
      <c r="A94" s="33">
        <v>32</v>
      </c>
      <c r="B94" s="49" t="s">
        <v>141</v>
      </c>
      <c r="C94" s="53" t="s">
        <v>37</v>
      </c>
      <c r="D94" s="46"/>
      <c r="E94" s="13"/>
      <c r="F94" s="13">
        <v>0.02</v>
      </c>
      <c r="G94" s="13">
        <v>3581.13</v>
      </c>
      <c r="H94" s="66">
        <f>G94*F94/1000</f>
        <v>7.1622600000000008E-2</v>
      </c>
      <c r="I94" s="13">
        <f>G94*0.02</f>
        <v>71.622600000000006</v>
      </c>
    </row>
    <row r="95" spans="1:9" ht="15.75" customHeight="1">
      <c r="A95" s="33">
        <v>33</v>
      </c>
      <c r="B95" s="49" t="s">
        <v>156</v>
      </c>
      <c r="C95" s="53" t="s">
        <v>110</v>
      </c>
      <c r="D95" s="46"/>
      <c r="E95" s="13"/>
      <c r="F95" s="13">
        <v>1</v>
      </c>
      <c r="G95" s="13">
        <v>130.96</v>
      </c>
      <c r="H95" s="66">
        <f>G95*F95/1000</f>
        <v>0.13096000000000002</v>
      </c>
      <c r="I95" s="13">
        <f t="shared" ref="I95" si="12">G95</f>
        <v>130.96</v>
      </c>
    </row>
    <row r="96" spans="1:9" ht="15.75" customHeight="1">
      <c r="A96" s="33"/>
      <c r="B96" s="44" t="s">
        <v>50</v>
      </c>
      <c r="C96" s="40"/>
      <c r="D96" s="47"/>
      <c r="E96" s="40">
        <v>1</v>
      </c>
      <c r="F96" s="40"/>
      <c r="G96" s="40"/>
      <c r="H96" s="40"/>
      <c r="I96" s="35">
        <f>SUM(I86:I95)</f>
        <v>12253.972600000001</v>
      </c>
    </row>
    <row r="97" spans="1:9" ht="15.75" customHeight="1">
      <c r="A97" s="33"/>
      <c r="B97" s="46" t="s">
        <v>78</v>
      </c>
      <c r="C97" s="15"/>
      <c r="D97" s="15"/>
      <c r="E97" s="41"/>
      <c r="F97" s="41"/>
      <c r="G97" s="42"/>
      <c r="H97" s="42"/>
      <c r="I97" s="18">
        <v>0</v>
      </c>
    </row>
    <row r="98" spans="1:9" ht="15.75" customHeight="1">
      <c r="A98" s="48"/>
      <c r="B98" s="45" t="s">
        <v>205</v>
      </c>
      <c r="C98" s="36"/>
      <c r="D98" s="36"/>
      <c r="E98" s="36"/>
      <c r="F98" s="36"/>
      <c r="G98" s="36"/>
      <c r="H98" s="36"/>
      <c r="I98" s="43">
        <f>I84+I96</f>
        <v>57238.533682666668</v>
      </c>
    </row>
    <row r="99" spans="1:9" ht="15.75" customHeight="1">
      <c r="A99" s="124" t="s">
        <v>244</v>
      </c>
      <c r="B99" s="124"/>
      <c r="C99" s="124"/>
      <c r="D99" s="124"/>
      <c r="E99" s="124"/>
      <c r="F99" s="124"/>
      <c r="G99" s="124"/>
      <c r="H99" s="124"/>
      <c r="I99" s="124"/>
    </row>
    <row r="100" spans="1:9" ht="15.75" customHeight="1">
      <c r="A100" s="60"/>
      <c r="B100" s="125" t="s">
        <v>245</v>
      </c>
      <c r="C100" s="125"/>
      <c r="D100" s="125"/>
      <c r="E100" s="125"/>
      <c r="F100" s="125"/>
      <c r="G100" s="125"/>
      <c r="H100" s="65"/>
      <c r="I100" s="3"/>
    </row>
    <row r="101" spans="1:9" ht="15.75" customHeight="1">
      <c r="A101" s="56"/>
      <c r="B101" s="126" t="s">
        <v>6</v>
      </c>
      <c r="C101" s="126"/>
      <c r="D101" s="126"/>
      <c r="E101" s="126"/>
      <c r="F101" s="126"/>
      <c r="G101" s="126"/>
      <c r="H101" s="28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27" t="s">
        <v>7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 customHeight="1">
      <c r="A104" s="127" t="s">
        <v>8</v>
      </c>
      <c r="B104" s="127"/>
      <c r="C104" s="127"/>
      <c r="D104" s="127"/>
      <c r="E104" s="127"/>
      <c r="F104" s="127"/>
      <c r="G104" s="127"/>
      <c r="H104" s="127"/>
      <c r="I104" s="127"/>
    </row>
    <row r="105" spans="1:9" ht="15.75">
      <c r="A105" s="131" t="s">
        <v>60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15.75" customHeight="1">
      <c r="A106" s="11"/>
    </row>
    <row r="107" spans="1:9" ht="15.75" customHeight="1">
      <c r="A107" s="132" t="s">
        <v>9</v>
      </c>
      <c r="B107" s="132"/>
      <c r="C107" s="132"/>
      <c r="D107" s="132"/>
      <c r="E107" s="132"/>
      <c r="F107" s="132"/>
      <c r="G107" s="132"/>
      <c r="H107" s="132"/>
      <c r="I107" s="132"/>
    </row>
    <row r="108" spans="1:9" ht="15.75" customHeight="1">
      <c r="A108" s="4"/>
    </row>
    <row r="109" spans="1:9" ht="15.75" customHeight="1">
      <c r="B109" s="57" t="s">
        <v>10</v>
      </c>
      <c r="C109" s="133" t="s">
        <v>147</v>
      </c>
      <c r="D109" s="133"/>
      <c r="E109" s="133"/>
      <c r="F109" s="63"/>
      <c r="I109" s="55"/>
    </row>
    <row r="110" spans="1:9" ht="15.75" customHeight="1">
      <c r="A110" s="56"/>
      <c r="C110" s="126" t="s">
        <v>11</v>
      </c>
      <c r="D110" s="126"/>
      <c r="E110" s="126"/>
      <c r="F110" s="28"/>
      <c r="I110" s="54" t="s">
        <v>12</v>
      </c>
    </row>
    <row r="111" spans="1:9" ht="15.75" customHeight="1">
      <c r="A111" s="29"/>
      <c r="C111" s="12"/>
      <c r="D111" s="12"/>
      <c r="G111" s="12"/>
      <c r="H111" s="12"/>
    </row>
    <row r="112" spans="1:9" ht="15.75" customHeight="1">
      <c r="B112" s="57" t="s">
        <v>13</v>
      </c>
      <c r="C112" s="120"/>
      <c r="D112" s="120"/>
      <c r="E112" s="120"/>
      <c r="F112" s="64"/>
      <c r="I112" s="55"/>
    </row>
    <row r="113" spans="1:9">
      <c r="A113" s="56"/>
      <c r="C113" s="113" t="s">
        <v>11</v>
      </c>
      <c r="D113" s="113"/>
      <c r="E113" s="113"/>
      <c r="F113" s="56"/>
      <c r="I113" s="54" t="s">
        <v>12</v>
      </c>
    </row>
    <row r="114" spans="1:9" ht="15.75" customHeight="1">
      <c r="A114" s="4" t="s">
        <v>14</v>
      </c>
    </row>
    <row r="115" spans="1:9" ht="15.75" customHeight="1">
      <c r="A115" s="134" t="s">
        <v>15</v>
      </c>
      <c r="B115" s="134"/>
      <c r="C115" s="134"/>
      <c r="D115" s="134"/>
      <c r="E115" s="134"/>
      <c r="F115" s="134"/>
      <c r="G115" s="134"/>
      <c r="H115" s="134"/>
      <c r="I115" s="134"/>
    </row>
    <row r="116" spans="1:9" ht="45" customHeight="1">
      <c r="A116" s="135" t="s">
        <v>16</v>
      </c>
      <c r="B116" s="135"/>
      <c r="C116" s="135"/>
      <c r="D116" s="135"/>
      <c r="E116" s="135"/>
      <c r="F116" s="135"/>
      <c r="G116" s="135"/>
      <c r="H116" s="135"/>
      <c r="I116" s="135"/>
    </row>
    <row r="117" spans="1:9" ht="30" customHeight="1">
      <c r="A117" s="135" t="s">
        <v>17</v>
      </c>
      <c r="B117" s="135"/>
      <c r="C117" s="135"/>
      <c r="D117" s="135"/>
      <c r="E117" s="135"/>
      <c r="F117" s="135"/>
      <c r="G117" s="135"/>
      <c r="H117" s="135"/>
      <c r="I117" s="135"/>
    </row>
    <row r="118" spans="1:9" ht="30" customHeight="1">
      <c r="A118" s="135" t="s">
        <v>21</v>
      </c>
      <c r="B118" s="135"/>
      <c r="C118" s="135"/>
      <c r="D118" s="135"/>
      <c r="E118" s="135"/>
      <c r="F118" s="135"/>
      <c r="G118" s="135"/>
      <c r="H118" s="135"/>
      <c r="I118" s="135"/>
    </row>
    <row r="119" spans="1:9" ht="15" customHeight="1">
      <c r="A119" s="135" t="s">
        <v>20</v>
      </c>
      <c r="B119" s="135"/>
      <c r="C119" s="135"/>
      <c r="D119" s="135"/>
      <c r="E119" s="135"/>
      <c r="F119" s="135"/>
      <c r="G119" s="135"/>
      <c r="H119" s="135"/>
      <c r="I119" s="135"/>
    </row>
  </sheetData>
  <autoFilter ref="I12:I61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9:I29"/>
    <mergeCell ref="A45:I45"/>
    <mergeCell ref="A55:I55"/>
    <mergeCell ref="A85:I85"/>
    <mergeCell ref="A99:I99"/>
    <mergeCell ref="B100:G100"/>
    <mergeCell ref="B101:G101"/>
    <mergeCell ref="A103:I103"/>
    <mergeCell ref="A104:I104"/>
    <mergeCell ref="R66:U66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'05.17'!Заголовки_для_печати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2017-05-15T13:43:54Z</cp:lastPrinted>
  <dcterms:created xsi:type="dcterms:W3CDTF">2016-03-25T08:33:47Z</dcterms:created>
  <dcterms:modified xsi:type="dcterms:W3CDTF">2018-04-18T07:24:21Z</dcterms:modified>
</cp:coreProperties>
</file>