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Стр.,8" sheetId="1" r:id="rId1"/>
    <sheet name="Лист1" sheetId="2" r:id="rId2"/>
  </sheets>
  <definedNames>
    <definedName name="_xlnm.Print_Area" localSheetId="0">'Стр.,8'!$A$1:$U$133</definedName>
  </definedNames>
  <calcPr calcId="124519"/>
</workbook>
</file>

<file path=xl/calcChain.xml><?xml version="1.0" encoding="utf-8"?>
<calcChain xmlns="http://schemas.openxmlformats.org/spreadsheetml/2006/main">
  <c r="C133" i="1"/>
  <c r="F103"/>
  <c r="H103"/>
  <c r="H104"/>
  <c r="H105"/>
  <c r="H106"/>
  <c r="U104"/>
  <c r="U105"/>
  <c r="U106"/>
  <c r="N103"/>
  <c r="U103" s="1"/>
  <c r="L40"/>
  <c r="K40"/>
  <c r="F40"/>
  <c r="U107"/>
  <c r="U108"/>
  <c r="R107"/>
  <c r="H107"/>
  <c r="C130"/>
  <c r="C127"/>
  <c r="S63"/>
  <c r="S74"/>
  <c r="T112"/>
  <c r="U112" s="1"/>
  <c r="H112"/>
  <c r="T111"/>
  <c r="U111" s="1"/>
  <c r="H111"/>
  <c r="T104"/>
  <c r="F104"/>
  <c r="S104"/>
  <c r="S110"/>
  <c r="U110" s="1"/>
  <c r="H110"/>
  <c r="S109"/>
  <c r="U109" s="1"/>
  <c r="H109"/>
  <c r="R65" l="1"/>
  <c r="R104"/>
  <c r="R108"/>
  <c r="H108"/>
  <c r="R95"/>
  <c r="U80"/>
  <c r="U60"/>
  <c r="U63"/>
  <c r="U66"/>
  <c r="U74"/>
  <c r="U75"/>
  <c r="U76"/>
  <c r="U78"/>
  <c r="U30"/>
  <c r="U31"/>
  <c r="U32"/>
  <c r="P104"/>
  <c r="O104"/>
  <c r="Q105"/>
  <c r="Q106"/>
  <c r="Q65" l="1"/>
  <c r="Q52" l="1"/>
  <c r="L52"/>
  <c r="U52" s="1"/>
  <c r="O94" l="1"/>
  <c r="P101"/>
  <c r="P92"/>
  <c r="O92"/>
  <c r="N92"/>
  <c r="M92"/>
  <c r="P65"/>
  <c r="O65"/>
  <c r="N101"/>
  <c r="U54"/>
  <c r="K100"/>
  <c r="U100" s="1"/>
  <c r="H100"/>
  <c r="K99"/>
  <c r="U99" s="1"/>
  <c r="H99"/>
  <c r="M101" l="1"/>
  <c r="U101" s="1"/>
  <c r="M102"/>
  <c r="U102" s="1"/>
  <c r="H102"/>
  <c r="K98"/>
  <c r="U98" s="1"/>
  <c r="H98"/>
  <c r="K97"/>
  <c r="U97" s="1"/>
  <c r="F97"/>
  <c r="H97" s="1"/>
  <c r="K96"/>
  <c r="U96" s="1"/>
  <c r="H96"/>
  <c r="L92" l="1"/>
  <c r="K92"/>
  <c r="K93"/>
  <c r="K95"/>
  <c r="U95" s="1"/>
  <c r="H95"/>
  <c r="U82" l="1"/>
  <c r="J94" l="1"/>
  <c r="U94" s="1"/>
  <c r="H94"/>
  <c r="J92"/>
  <c r="J93"/>
  <c r="U93" s="1"/>
  <c r="H93"/>
  <c r="J65" l="1"/>
  <c r="I92" l="1"/>
  <c r="I65"/>
  <c r="H63"/>
  <c r="T92" l="1"/>
  <c r="S92" l="1"/>
  <c r="R92"/>
  <c r="Q92"/>
  <c r="U92" l="1"/>
  <c r="U113" s="1"/>
  <c r="T53"/>
  <c r="P53"/>
  <c r="L53"/>
  <c r="L49"/>
  <c r="M21"/>
  <c r="U21" s="1"/>
  <c r="U53" l="1"/>
  <c r="S65"/>
  <c r="U65" s="1"/>
  <c r="T65"/>
  <c r="T41" l="1"/>
  <c r="S41"/>
  <c r="T36"/>
  <c r="S36"/>
  <c r="Q72"/>
  <c r="U72" s="1"/>
  <c r="F28"/>
  <c r="Q28" s="1"/>
  <c r="L41"/>
  <c r="L36"/>
  <c r="H101"/>
  <c r="K41"/>
  <c r="K36"/>
  <c r="H80"/>
  <c r="J41"/>
  <c r="J36"/>
  <c r="I36"/>
  <c r="F53"/>
  <c r="I41"/>
  <c r="U41" l="1"/>
  <c r="U36"/>
  <c r="O28"/>
  <c r="P28"/>
  <c r="R28"/>
  <c r="N28"/>
  <c r="M28"/>
  <c r="H92"/>
  <c r="H113" s="1"/>
  <c r="U28" l="1"/>
  <c r="F48"/>
  <c r="H48" s="1"/>
  <c r="F39"/>
  <c r="F37"/>
  <c r="H37" s="1"/>
  <c r="H32"/>
  <c r="F19"/>
  <c r="F16"/>
  <c r="F60"/>
  <c r="H60" s="1"/>
  <c r="H21"/>
  <c r="F20"/>
  <c r="F61"/>
  <c r="F58"/>
  <c r="F51"/>
  <c r="F27"/>
  <c r="T58" l="1"/>
  <c r="L58"/>
  <c r="S58"/>
  <c r="K58"/>
  <c r="J58"/>
  <c r="I58"/>
  <c r="U58" s="1"/>
  <c r="M20"/>
  <c r="U20" s="1"/>
  <c r="H51"/>
  <c r="I51"/>
  <c r="O51"/>
  <c r="H61"/>
  <c r="T61"/>
  <c r="R61"/>
  <c r="P61"/>
  <c r="N61"/>
  <c r="M61"/>
  <c r="K61"/>
  <c r="J61"/>
  <c r="S61"/>
  <c r="Q61"/>
  <c r="O61"/>
  <c r="L61"/>
  <c r="I61"/>
  <c r="M19"/>
  <c r="T19"/>
  <c r="R19"/>
  <c r="P19"/>
  <c r="N19"/>
  <c r="K19"/>
  <c r="I19"/>
  <c r="S19"/>
  <c r="Q19"/>
  <c r="O19"/>
  <c r="L19"/>
  <c r="J19"/>
  <c r="T37"/>
  <c r="K37"/>
  <c r="S37"/>
  <c r="L37"/>
  <c r="J37"/>
  <c r="I37"/>
  <c r="M48"/>
  <c r="U48" s="1"/>
  <c r="Q48"/>
  <c r="Q27"/>
  <c r="O27"/>
  <c r="M27"/>
  <c r="R27"/>
  <c r="P27"/>
  <c r="N27"/>
  <c r="T16"/>
  <c r="Q16"/>
  <c r="O16"/>
  <c r="L16"/>
  <c r="J16"/>
  <c r="S16"/>
  <c r="R16"/>
  <c r="P16"/>
  <c r="N16"/>
  <c r="M16"/>
  <c r="K16"/>
  <c r="I16"/>
  <c r="T39"/>
  <c r="K39"/>
  <c r="S39"/>
  <c r="L39"/>
  <c r="J39"/>
  <c r="I39"/>
  <c r="F45"/>
  <c r="H27"/>
  <c r="U39" l="1"/>
  <c r="U16"/>
  <c r="U37"/>
  <c r="U61"/>
  <c r="U51"/>
  <c r="U27"/>
  <c r="U19"/>
  <c r="M45"/>
  <c r="U45" s="1"/>
  <c r="Q45"/>
  <c r="F15"/>
  <c r="H76"/>
  <c r="T15" l="1"/>
  <c r="R15"/>
  <c r="P15"/>
  <c r="N15"/>
  <c r="M15"/>
  <c r="K15"/>
  <c r="I15"/>
  <c r="S15"/>
  <c r="Q15"/>
  <c r="O15"/>
  <c r="L15"/>
  <c r="J15"/>
  <c r="H75"/>
  <c r="U15" l="1"/>
  <c r="F14"/>
  <c r="M14" s="1"/>
  <c r="U14" s="1"/>
  <c r="F17"/>
  <c r="F18"/>
  <c r="M18" l="1"/>
  <c r="U18" s="1"/>
  <c r="M17"/>
  <c r="U17" s="1"/>
  <c r="H120"/>
  <c r="H119"/>
  <c r="F116"/>
  <c r="H115"/>
  <c r="E84"/>
  <c r="H88" s="1"/>
  <c r="F82"/>
  <c r="H82" s="1"/>
  <c r="F81"/>
  <c r="H78"/>
  <c r="H74"/>
  <c r="H72"/>
  <c r="F71"/>
  <c r="F70"/>
  <c r="F69"/>
  <c r="F68"/>
  <c r="F67"/>
  <c r="H66"/>
  <c r="H65"/>
  <c r="H58"/>
  <c r="F57"/>
  <c r="H57" s="1"/>
  <c r="H54"/>
  <c r="H53"/>
  <c r="H52"/>
  <c r="F50"/>
  <c r="F49"/>
  <c r="F47"/>
  <c r="F46"/>
  <c r="H45"/>
  <c r="F44"/>
  <c r="H41"/>
  <c r="H39"/>
  <c r="F38"/>
  <c r="H36"/>
  <c r="F33"/>
  <c r="H31"/>
  <c r="H30"/>
  <c r="F29"/>
  <c r="H28"/>
  <c r="F26"/>
  <c r="F25"/>
  <c r="R25" s="1"/>
  <c r="F24"/>
  <c r="H20"/>
  <c r="H18"/>
  <c r="H17"/>
  <c r="H14"/>
  <c r="F13"/>
  <c r="F12"/>
  <c r="F11"/>
  <c r="T13" l="1"/>
  <c r="R13"/>
  <c r="P13"/>
  <c r="N13"/>
  <c r="L13"/>
  <c r="J13"/>
  <c r="S13"/>
  <c r="Q13"/>
  <c r="O13"/>
  <c r="M13"/>
  <c r="K13"/>
  <c r="I13"/>
  <c r="U13" s="1"/>
  <c r="H25"/>
  <c r="P25"/>
  <c r="N25"/>
  <c r="Q25"/>
  <c r="O25"/>
  <c r="M25"/>
  <c r="U25" s="1"/>
  <c r="T12"/>
  <c r="Q12"/>
  <c r="O12"/>
  <c r="M12"/>
  <c r="K12"/>
  <c r="I12"/>
  <c r="S12"/>
  <c r="R12"/>
  <c r="P12"/>
  <c r="N12"/>
  <c r="L12"/>
  <c r="J12"/>
  <c r="H24"/>
  <c r="Q24"/>
  <c r="O24"/>
  <c r="M24"/>
  <c r="R24"/>
  <c r="P24"/>
  <c r="N24"/>
  <c r="H26"/>
  <c r="M26"/>
  <c r="U26" s="1"/>
  <c r="T29"/>
  <c r="R29"/>
  <c r="P29"/>
  <c r="N29"/>
  <c r="M29"/>
  <c r="L29"/>
  <c r="J29"/>
  <c r="S29"/>
  <c r="Q29"/>
  <c r="O29"/>
  <c r="K29"/>
  <c r="I29"/>
  <c r="H47"/>
  <c r="M47"/>
  <c r="Q47"/>
  <c r="H50"/>
  <c r="I50"/>
  <c r="U50" s="1"/>
  <c r="O50"/>
  <c r="H68"/>
  <c r="M68"/>
  <c r="U68" s="1"/>
  <c r="H70"/>
  <c r="M70"/>
  <c r="U70" s="1"/>
  <c r="T81"/>
  <c r="R81"/>
  <c r="P81"/>
  <c r="N81"/>
  <c r="M81"/>
  <c r="L81"/>
  <c r="S81"/>
  <c r="Q81"/>
  <c r="O81"/>
  <c r="K81"/>
  <c r="J81"/>
  <c r="I81"/>
  <c r="T11"/>
  <c r="R11"/>
  <c r="P11"/>
  <c r="N11"/>
  <c r="L11"/>
  <c r="J11"/>
  <c r="S11"/>
  <c r="Q11"/>
  <c r="O11"/>
  <c r="M11"/>
  <c r="K11"/>
  <c r="I11"/>
  <c r="H33"/>
  <c r="T33"/>
  <c r="Q33"/>
  <c r="O33"/>
  <c r="K33"/>
  <c r="I33"/>
  <c r="S33"/>
  <c r="R33"/>
  <c r="P33"/>
  <c r="N33"/>
  <c r="M33"/>
  <c r="L33"/>
  <c r="J33"/>
  <c r="H38"/>
  <c r="T38"/>
  <c r="L38"/>
  <c r="J38"/>
  <c r="I38"/>
  <c r="S38"/>
  <c r="K38"/>
  <c r="H40"/>
  <c r="H44"/>
  <c r="M44"/>
  <c r="U44" s="1"/>
  <c r="Q44"/>
  <c r="H46"/>
  <c r="M46"/>
  <c r="Q46"/>
  <c r="Q49"/>
  <c r="T49"/>
  <c r="M49"/>
  <c r="J49"/>
  <c r="I49"/>
  <c r="H67"/>
  <c r="M67"/>
  <c r="U67" s="1"/>
  <c r="H69"/>
  <c r="M69"/>
  <c r="U69" s="1"/>
  <c r="H71"/>
  <c r="M71"/>
  <c r="U71" s="1"/>
  <c r="H81"/>
  <c r="H83" s="1"/>
  <c r="H29"/>
  <c r="H34" s="1"/>
  <c r="H49"/>
  <c r="H55" s="1"/>
  <c r="H11"/>
  <c r="H12"/>
  <c r="H16"/>
  <c r="H13"/>
  <c r="H15"/>
  <c r="F84"/>
  <c r="H19"/>
  <c r="H42"/>
  <c r="U49" l="1"/>
  <c r="U46"/>
  <c r="U55" s="1"/>
  <c r="U38"/>
  <c r="U33"/>
  <c r="U11"/>
  <c r="U81"/>
  <c r="U47"/>
  <c r="U29"/>
  <c r="U40"/>
  <c r="U24"/>
  <c r="U12"/>
  <c r="U83"/>
  <c r="H79"/>
  <c r="U79"/>
  <c r="T84"/>
  <c r="Q84"/>
  <c r="Q116" s="1"/>
  <c r="O84"/>
  <c r="K84"/>
  <c r="J84"/>
  <c r="J116" s="1"/>
  <c r="I84"/>
  <c r="S84"/>
  <c r="R84"/>
  <c r="R116" s="1"/>
  <c r="P84"/>
  <c r="N84"/>
  <c r="N116" s="1"/>
  <c r="M84"/>
  <c r="M116" s="1"/>
  <c r="L84"/>
  <c r="L116" s="1"/>
  <c r="U42"/>
  <c r="K116"/>
  <c r="O116"/>
  <c r="S116"/>
  <c r="P116"/>
  <c r="T116"/>
  <c r="H22"/>
  <c r="H84"/>
  <c r="H85" s="1"/>
  <c r="C129"/>
  <c r="U34"/>
  <c r="U84" l="1"/>
  <c r="U22"/>
  <c r="U85"/>
  <c r="I116"/>
  <c r="H86"/>
  <c r="H89" s="1"/>
  <c r="G116" s="1"/>
  <c r="H116" s="1"/>
  <c r="U86" l="1"/>
  <c r="U116" s="1"/>
  <c r="C128" l="1"/>
</calcChain>
</file>

<file path=xl/sharedStrings.xml><?xml version="1.0" encoding="utf-8"?>
<sst xmlns="http://schemas.openxmlformats.org/spreadsheetml/2006/main" count="357" uniqueCount="258">
  <si>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</si>
  <si>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</si>
  <si>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</si>
  <si>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</si>
  <si>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</si>
  <si>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</si>
  <si>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</si>
  <si>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</si>
  <si>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</si>
  <si>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</si>
  <si>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</si>
  <si>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</si>
  <si>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</si>
  <si>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</si>
  <si>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</si>
  <si>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</si>
  <si>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</si>
  <si>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</si>
  <si>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</si>
  <si>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</si>
  <si>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</si>
  <si>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</si>
  <si>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</si>
  <si>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</si>
  <si>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</si>
  <si>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</si>
  <si>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</si>
  <si>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</si>
  <si>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</si>
  <si>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</si>
  <si>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</si>
  <si>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</si>
  <si>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</si>
  <si>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</si>
  <si>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</si>
  <si>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</si>
  <si>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</si>
  <si>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</si>
  <si>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</si>
  <si>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</si>
  <si>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</si>
  <si>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Выкашивание газонов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</si>
  <si>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</si>
  <si>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</si>
  <si>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</si>
  <si>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</si>
  <si>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</si>
  <si>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</si>
  <si>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</si>
  <si>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</si>
  <si>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</si>
  <si>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</si>
  <si>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</si>
  <si>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</si>
  <si>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</si>
  <si>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</si>
  <si>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</si>
  <si>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</si>
  <si>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</si>
  <si>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</si>
  <si>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</si>
  <si>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</si>
  <si>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</si>
  <si>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</si>
  <si>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</si>
  <si>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</si>
  <si>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 xml:space="preserve">Электротехнические измерения </t>
  </si>
  <si>
    <t>1 раза в 3 года</t>
  </si>
  <si>
    <t>Кровля</t>
  </si>
  <si>
    <t>Очистка кровли от мусора</t>
  </si>
  <si>
    <t>ТЭР 54-041 и 42</t>
  </si>
  <si>
    <t xml:space="preserve">6 раз за сезон </t>
  </si>
  <si>
    <t>Чердак, подвал, технический этаж</t>
  </si>
  <si>
    <t>м2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</si>
  <si>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</si>
  <si>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</si>
  <si>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</si>
  <si>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</si>
  <si>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</si>
  <si>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</si>
  <si>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</si>
  <si>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</si>
  <si>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</si>
  <si>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</si>
  <si>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</si>
  <si>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</si>
  <si>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</si>
  <si>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</si>
  <si>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</si>
  <si>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</si>
  <si>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</si>
  <si>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</si>
  <si>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</si>
  <si>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</si>
  <si>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</si>
  <si>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</si>
  <si>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</si>
  <si>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</si>
  <si>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</si>
  <si>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</si>
  <si>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</si>
  <si>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</si>
  <si>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</si>
  <si>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</si>
  <si>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Обслуживание внутридомовое газовое оборудование</t>
  </si>
  <si>
    <t>плита</t>
  </si>
  <si>
    <t>водонагреватель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</si>
  <si>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</si>
  <si>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</si>
  <si>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</si>
  <si>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</si>
  <si>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</si>
  <si>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</si>
  <si>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 xml:space="preserve">1 раз в месяц </t>
  </si>
  <si>
    <t>1 раз в месяц</t>
  </si>
  <si>
    <t>Очистка урн от мусора</t>
  </si>
  <si>
    <t>Дератизация</t>
  </si>
  <si>
    <t>Очистка  от мусора</t>
  </si>
  <si>
    <t>Влажная протирка шкафов для щитов и слаботочн.ус.</t>
  </si>
  <si>
    <t>Осмотр деревянных конструкций стропил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</si>
  <si>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</si>
  <si>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</si>
  <si>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</si>
  <si>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</si>
  <si>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</si>
  <si>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</si>
  <si>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</si>
  <si>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</si>
  <si>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</si>
  <si>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</si>
  <si>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</si>
  <si>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26 раз за сезон</t>
  </si>
  <si>
    <t>50 раз за сезон</t>
  </si>
  <si>
    <t>Снятие показаний эл.счетчика коммунального назначения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</si>
  <si>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</si>
  <si>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</si>
  <si>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</si>
  <si>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</si>
  <si>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</si>
  <si>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</si>
  <si>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</si>
  <si>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</si>
  <si>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</si>
  <si>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</si>
  <si>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</si>
  <si>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</si>
  <si>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</si>
  <si>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5 этажей, 4 подъезда</t>
  </si>
  <si>
    <t>Стоимость (руб.)</t>
  </si>
  <si>
    <t>договор</t>
  </si>
  <si>
    <t>ТО внутридомового газ.оборудования</t>
  </si>
  <si>
    <t>Подключение и отключение сварочного аппарата</t>
  </si>
  <si>
    <t>калькуляция</t>
  </si>
  <si>
    <t xml:space="preserve">Погрузка травы, ветвей 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</si>
  <si>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</si>
  <si>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</si>
  <si>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 xml:space="preserve">Пескопосыпка территории: крыльца и тротуары </t>
  </si>
  <si>
    <t>Очистка края кровли от слежавшегося снега со сбрасыванием сосулек (10% от S кровли)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</si>
  <si>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</si>
  <si>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</si>
  <si>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>Вывоз смета, травы, ветвей и т.п.- м/ч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</si>
  <si>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</si>
  <si>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Стоимость песка -100м2-0,002м3</t>
  </si>
  <si>
    <t>Осмотр кровли из штучных материалов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</si>
  <si>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</si>
  <si>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</si>
  <si>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</si>
  <si>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</si>
  <si>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</si>
  <si>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</si>
  <si>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</si>
  <si>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</si>
  <si>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</si>
  <si>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51-022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</si>
  <si>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</si>
  <si>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</si>
  <si>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</si>
  <si>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</si>
  <si>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</si>
  <si>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</si>
  <si>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</si>
  <si>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53-023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</si>
  <si>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</si>
  <si>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</si>
  <si>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</si>
  <si>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</si>
  <si>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</si>
  <si>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</si>
  <si>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</si>
  <si>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</si>
  <si>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</si>
  <si>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</si>
  <si>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</si>
  <si>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</si>
  <si>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</si>
  <si>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пр.ТЕР 54-041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</si>
  <si>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</si>
  <si>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</si>
  <si>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</si>
  <si>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</si>
  <si>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</si>
  <si>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</si>
  <si>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</si>
  <si>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</si>
  <si>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</si>
  <si>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</si>
  <si>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33-037</t>
  </si>
  <si>
    <t>ТЕР 33-060</t>
  </si>
  <si>
    <t>3м</t>
  </si>
  <si>
    <t>1 шт</t>
  </si>
  <si>
    <t>ТЕР 15-018</t>
  </si>
  <si>
    <t>Баланс выполненных работ на 01.01.2017 г. ( -долг за предприятием, +долг за населением)</t>
  </si>
  <si>
    <t>Лестничная клетка</t>
  </si>
  <si>
    <t>Установка пружин на входных дверях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</si>
  <si>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Строительная, 8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</si>
  <si>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С учетом показателя инфляции (К=1,054)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</si>
  <si>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</si>
  <si>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</si>
  <si>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</si>
  <si>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</si>
  <si>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Осмотр элекгросетей, арматуры и электрооборудования на чердаках и подвалах</t>
  </si>
  <si>
    <t>ТЕР 2-1-1б</t>
  </si>
  <si>
    <t>Внеплановая проверка вентканалов</t>
  </si>
  <si>
    <t>пр.ТЕР 32-083</t>
  </si>
  <si>
    <t>Смена полиэтиленовых канализационных труб 110×2000 мм</t>
  </si>
  <si>
    <t>ТЕР 15-051</t>
  </si>
  <si>
    <t>Смена дверных приборов (замки навесные)</t>
  </si>
  <si>
    <t>10 м2</t>
  </si>
  <si>
    <t>Разборка гипсокартона (для работ ВДИС)</t>
  </si>
  <si>
    <t>пр.ТЕР 12-048</t>
  </si>
  <si>
    <t>ТЕР 15-046</t>
  </si>
  <si>
    <t>Укрепление оконных и дверных приборов - пружин, ручек, петель, шпингалетов, проушин</t>
  </si>
  <si>
    <t>Смена дощатых полов с добавлением новых досок до 25%</t>
  </si>
  <si>
    <t>ТЕР 16-005</t>
  </si>
  <si>
    <t>счёт</t>
  </si>
  <si>
    <t>Поверка средств измерений: Комплекты термометров платиновые технические разностные КТПТР</t>
  </si>
  <si>
    <t>Поверка средств измерений: Счетчики холодной и горячей воды ВСХН, ВСХНд, ВСГН, ВСТН</t>
  </si>
  <si>
    <t>пр.ТЕР 2-2-1-2-17</t>
  </si>
  <si>
    <t xml:space="preserve">Герметизация стыков трубопроводов    </t>
  </si>
  <si>
    <t>1 место</t>
  </si>
  <si>
    <r>
      <t>Переход чугун-пластик 160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 xml:space="preserve">100 </t>
    </r>
  </si>
  <si>
    <t>пр.ТЕР 32-101</t>
  </si>
  <si>
    <t>Прочистка засоров канализации</t>
  </si>
  <si>
    <t>смета</t>
  </si>
  <si>
    <t>Установка приборов учёта на СО</t>
  </si>
  <si>
    <t>Смена полиэтиленовых канализационных труб 110×1000 мм</t>
  </si>
  <si>
    <t>Смена трубопроводов на полипропиленовые трубы PN25 диаметром 20 мм</t>
  </si>
  <si>
    <t>1 м</t>
  </si>
  <si>
    <t>ТЕР 32-027</t>
  </si>
  <si>
    <t>Смена арматуры - вентилей и клапанов обратных муфтовых диаметром до 20 мм</t>
  </si>
  <si>
    <r>
      <t>Патрубок компенсационный ПП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 xml:space="preserve"> 100</t>
    </r>
  </si>
  <si>
    <t>Тройник 100-90°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</si>
  <si>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</si>
  <si>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</si>
  <si>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руб.</t>
  </si>
  <si>
    <t>15 раз за сезон</t>
  </si>
  <si>
    <t>Сверхнормативы по ОДП за 1 полугодие</t>
  </si>
  <si>
    <r>
      <t>Поступило денежных средств за установку ОДПУ по договору №</t>
    </r>
    <r>
      <rPr>
        <u/>
        <sz val="12"/>
        <rFont val="Arial"/>
        <family val="2"/>
        <charset val="204"/>
      </rPr>
      <t>б/н</t>
    </r>
    <r>
      <rPr>
        <sz val="12"/>
        <rFont val="Arial"/>
        <family val="2"/>
        <charset val="204"/>
      </rPr>
      <t xml:space="preserve"> от </t>
    </r>
    <r>
      <rPr>
        <u/>
        <sz val="12"/>
        <rFont val="Arial"/>
        <family val="2"/>
        <charset val="204"/>
      </rPr>
      <t>06.09.2017г.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</si>
</sst>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4"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  <font>
      <u/>
      <sz val="12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Alignment="1"/>
    <xf numFmtId="0" fontId="0" fillId="3" borderId="0" xfId="0" applyFill="1"/>
    <xf numFmtId="4" fontId="0" fillId="0" borderId="0" xfId="0" applyNumberFormat="1"/>
    <xf numFmtId="4" fontId="7" fillId="0" borderId="0" xfId="0" applyNumberFormat="1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2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vertical="center"/>
    </xf>
    <xf numFmtId="4" fontId="2" fillId="9" borderId="7" xfId="0" applyNumberFormat="1" applyFont="1" applyFill="1" applyBorder="1" applyAlignment="1">
      <alignment vertical="center"/>
    </xf>
    <xf numFmtId="0" fontId="2" fillId="9" borderId="3" xfId="0" applyFont="1" applyFill="1" applyBorder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9" borderId="3" xfId="0" applyNumberFormat="1" applyFont="1" applyFill="1" applyBorder="1" applyAlignment="1">
      <alignment horizontal="center" vertical="center"/>
    </xf>
    <xf numFmtId="4" fontId="2" fillId="9" borderId="7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1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4" fontId="4" fillId="11" borderId="2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" fontId="2" fillId="1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0" borderId="0" xfId="0" applyFont="1"/>
    <xf numFmtId="0" fontId="4" fillId="4" borderId="3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4" fontId="2" fillId="8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11" borderId="7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4" fontId="2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left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/>
    <xf numFmtId="0" fontId="2" fillId="4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horizontal="center" vertical="center"/>
    </xf>
    <xf numFmtId="4" fontId="16" fillId="4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9" xfId="0" applyFont="1" applyBorder="1"/>
    <xf numFmtId="4" fontId="2" fillId="0" borderId="9" xfId="0" applyNumberFormat="1" applyFont="1" applyBorder="1" applyAlignment="1">
      <alignment horizontal="center" vertical="top" wrapText="1"/>
    </xf>
    <xf numFmtId="4" fontId="2" fillId="0" borderId="9" xfId="0" applyNumberFormat="1" applyFont="1" applyBorder="1"/>
    <xf numFmtId="4" fontId="2" fillId="0" borderId="9" xfId="0" applyNumberFormat="1" applyFont="1" applyBorder="1" applyAlignment="1">
      <alignment horizontal="center"/>
    </xf>
    <xf numFmtId="4" fontId="2" fillId="0" borderId="0" xfId="0" applyNumberFormat="1" applyFont="1"/>
    <xf numFmtId="0" fontId="2" fillId="0" borderId="0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0" fontId="2" fillId="7" borderId="1" xfId="0" applyFont="1" applyFill="1" applyBorder="1"/>
    <xf numFmtId="4" fontId="2" fillId="7" borderId="1" xfId="0" applyNumberFormat="1" applyFont="1" applyFill="1" applyBorder="1"/>
    <xf numFmtId="4" fontId="2" fillId="7" borderId="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 applyProtection="1">
      <alignment horizontal="left" vertical="top" wrapText="1"/>
      <protection hidden="1"/>
    </xf>
    <xf numFmtId="2" fontId="2" fillId="0" borderId="3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>
      <alignment horizontal="left" vertical="top" wrapText="1"/>
    </xf>
    <xf numFmtId="4" fontId="2" fillId="0" borderId="3" xfId="0" applyNumberFormat="1" applyFont="1" applyBorder="1" applyAlignment="1">
      <alignment horizontal="left" vertical="top" wrapText="1"/>
    </xf>
    <xf numFmtId="4" fontId="2" fillId="0" borderId="3" xfId="0" applyNumberFormat="1" applyFont="1" applyBorder="1"/>
    <xf numFmtId="4" fontId="2" fillId="0" borderId="3" xfId="0" applyNumberFormat="1" applyFont="1" applyFill="1" applyBorder="1" applyAlignment="1" applyProtection="1">
      <alignment horizontal="left" vertical="top" wrapText="1"/>
      <protection hidden="1"/>
    </xf>
    <xf numFmtId="4" fontId="2" fillId="0" borderId="3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17" fillId="0" borderId="0" xfId="0" applyNumberFormat="1" applyFont="1"/>
    <xf numFmtId="0" fontId="17" fillId="0" borderId="0" xfId="0" applyFont="1"/>
    <xf numFmtId="0" fontId="1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4" fontId="4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4" fontId="2" fillId="4" borderId="7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4" fontId="4" fillId="11" borderId="3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9" borderId="3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top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5" borderId="20" xfId="0" applyFont="1" applyFill="1" applyBorder="1"/>
    <xf numFmtId="0" fontId="2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 applyProtection="1">
      <alignment horizontal="center" vertical="center" wrapText="1"/>
    </xf>
    <xf numFmtId="0" fontId="2" fillId="0" borderId="13" xfId="0" applyFont="1" applyBorder="1"/>
    <xf numFmtId="4" fontId="2" fillId="2" borderId="22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vertical="center" wrapText="1"/>
    </xf>
    <xf numFmtId="165" fontId="2" fillId="4" borderId="3" xfId="0" applyNumberFormat="1" applyFont="1" applyFill="1" applyBorder="1" applyAlignment="1">
      <alignment horizontal="center" vertical="center"/>
    </xf>
    <xf numFmtId="165" fontId="2" fillId="4" borderId="7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4" fontId="2" fillId="8" borderId="13" xfId="0" applyNumberFormat="1" applyFont="1" applyFill="1" applyBorder="1" applyAlignment="1">
      <alignment horizontal="center" vertical="center"/>
    </xf>
    <xf numFmtId="4" fontId="2" fillId="9" borderId="1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4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K17" totalsRowShown="0">
  <autoFilter ref="A1:K17"/>
  <tableColumns count="11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37"/>
  <sheetViews>
    <sheetView tabSelected="1" view="pageBreakPreview" zoomScaleNormal="75" zoomScaleSheetLayoutView="100" workbookViewId="0">
      <pane ySplit="7" topLeftCell="A130" activePane="bottomLeft" state="frozen"/>
      <selection activeCell="B1" sqref="B1"/>
      <selection pane="bottomLeft" activeCell="B134" sqref="B134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>
      <c r="A1" s="24"/>
    </row>
    <row r="3" spans="1:21" ht="18">
      <c r="A3" s="1"/>
      <c r="B3" s="200" t="s">
        <v>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21" ht="33.75" customHeight="1">
      <c r="B4" s="201" t="s">
        <v>1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21" ht="18">
      <c r="B5" s="201" t="s">
        <v>214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21" ht="14.25">
      <c r="B6" s="202" t="s">
        <v>147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1:21" ht="48" customHeight="1">
      <c r="A7" s="157" t="s">
        <v>2</v>
      </c>
      <c r="B7" s="158" t="s">
        <v>3</v>
      </c>
      <c r="C7" s="158" t="s">
        <v>4</v>
      </c>
      <c r="D7" s="158" t="s">
        <v>5</v>
      </c>
      <c r="E7" s="158" t="s">
        <v>6</v>
      </c>
      <c r="F7" s="158" t="s">
        <v>7</v>
      </c>
      <c r="G7" s="158" t="s">
        <v>8</v>
      </c>
      <c r="H7" s="159" t="s">
        <v>9</v>
      </c>
      <c r="I7" s="25" t="s">
        <v>134</v>
      </c>
      <c r="J7" s="25" t="s">
        <v>135</v>
      </c>
      <c r="K7" s="25" t="s">
        <v>136</v>
      </c>
      <c r="L7" s="25" t="s">
        <v>137</v>
      </c>
      <c r="M7" s="25" t="s">
        <v>138</v>
      </c>
      <c r="N7" s="26" t="s">
        <v>139</v>
      </c>
      <c r="O7" s="26" t="s">
        <v>140</v>
      </c>
      <c r="P7" s="26" t="s">
        <v>141</v>
      </c>
      <c r="Q7" s="26" t="s">
        <v>142</v>
      </c>
      <c r="R7" s="26" t="s">
        <v>143</v>
      </c>
      <c r="S7" s="26" t="s">
        <v>144</v>
      </c>
      <c r="T7" s="26" t="s">
        <v>145</v>
      </c>
      <c r="U7" s="25" t="s">
        <v>148</v>
      </c>
    </row>
    <row r="8" spans="1:21">
      <c r="A8" s="160">
        <v>1</v>
      </c>
      <c r="B8" s="8">
        <v>2</v>
      </c>
      <c r="C8" s="27">
        <v>3</v>
      </c>
      <c r="D8" s="8">
        <v>4</v>
      </c>
      <c r="E8" s="8">
        <v>5</v>
      </c>
      <c r="F8" s="27">
        <v>6</v>
      </c>
      <c r="G8" s="27">
        <v>7</v>
      </c>
      <c r="H8" s="28">
        <v>8</v>
      </c>
      <c r="I8" s="29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9">
        <v>21</v>
      </c>
    </row>
    <row r="9" spans="1:21" ht="38.25">
      <c r="A9" s="160"/>
      <c r="B9" s="10" t="s">
        <v>10</v>
      </c>
      <c r="C9" s="27"/>
      <c r="D9" s="11"/>
      <c r="E9" s="11"/>
      <c r="F9" s="27"/>
      <c r="G9" s="27"/>
      <c r="H9" s="30"/>
      <c r="I9" s="31"/>
      <c r="J9" s="31"/>
      <c r="K9" s="31"/>
      <c r="L9" s="31"/>
      <c r="M9" s="32"/>
      <c r="N9" s="33"/>
      <c r="O9" s="33"/>
      <c r="P9" s="33"/>
      <c r="Q9" s="33"/>
      <c r="R9" s="33"/>
      <c r="S9" s="33"/>
      <c r="T9" s="33"/>
      <c r="U9" s="33"/>
    </row>
    <row r="10" spans="1:21">
      <c r="A10" s="160"/>
      <c r="B10" s="10" t="s">
        <v>11</v>
      </c>
      <c r="C10" s="27"/>
      <c r="D10" s="11"/>
      <c r="E10" s="11"/>
      <c r="F10" s="27"/>
      <c r="G10" s="27"/>
      <c r="H10" s="30"/>
      <c r="I10" s="31"/>
      <c r="J10" s="31"/>
      <c r="K10" s="31"/>
      <c r="L10" s="31"/>
      <c r="M10" s="32"/>
      <c r="N10" s="33"/>
      <c r="O10" s="33"/>
      <c r="P10" s="33"/>
      <c r="Q10" s="33"/>
      <c r="R10" s="33"/>
      <c r="S10" s="33"/>
      <c r="T10" s="33"/>
      <c r="U10" s="33"/>
    </row>
    <row r="11" spans="1:21" ht="25.5">
      <c r="A11" s="160" t="s">
        <v>164</v>
      </c>
      <c r="B11" s="11" t="s">
        <v>12</v>
      </c>
      <c r="C11" s="27" t="s">
        <v>13</v>
      </c>
      <c r="D11" s="11" t="s">
        <v>14</v>
      </c>
      <c r="E11" s="34">
        <v>62.28</v>
      </c>
      <c r="F11" s="35">
        <f>SUM(E11*156/100)</f>
        <v>97.156800000000004</v>
      </c>
      <c r="G11" s="35">
        <v>175.38</v>
      </c>
      <c r="H11" s="36">
        <f t="shared" ref="H11:H20" si="0">SUM(F11*G11/1000)</f>
        <v>17.039359584000003</v>
      </c>
      <c r="I11" s="37">
        <f>F11/12*G11</f>
        <v>1419.9466320000001</v>
      </c>
      <c r="J11" s="37">
        <f>F11/12*G11</f>
        <v>1419.9466320000001</v>
      </c>
      <c r="K11" s="37">
        <f>F11/12*G11</f>
        <v>1419.9466320000001</v>
      </c>
      <c r="L11" s="37">
        <f>F11/12*G11</f>
        <v>1419.9466320000001</v>
      </c>
      <c r="M11" s="37">
        <f>F11/12*G11</f>
        <v>1419.9466320000001</v>
      </c>
      <c r="N11" s="37">
        <f>F11/12*G11</f>
        <v>1419.9466320000001</v>
      </c>
      <c r="O11" s="37">
        <f>F11/12*G11</f>
        <v>1419.9466320000001</v>
      </c>
      <c r="P11" s="37">
        <f>F11/12*G11</f>
        <v>1419.9466320000001</v>
      </c>
      <c r="Q11" s="37">
        <f>F11/12*G11</f>
        <v>1419.9466320000001</v>
      </c>
      <c r="R11" s="37">
        <f>F11/12*G11</f>
        <v>1419.9466320000001</v>
      </c>
      <c r="S11" s="37">
        <f>F11/12*G11</f>
        <v>1419.9466320000001</v>
      </c>
      <c r="T11" s="37">
        <f>F11/12*G11</f>
        <v>1419.9466320000001</v>
      </c>
      <c r="U11" s="37">
        <f>SUM(I11:T11)</f>
        <v>17039.359583999998</v>
      </c>
    </row>
    <row r="12" spans="1:21" ht="25.5">
      <c r="A12" s="160" t="s">
        <v>164</v>
      </c>
      <c r="B12" s="11" t="s">
        <v>15</v>
      </c>
      <c r="C12" s="27" t="s">
        <v>13</v>
      </c>
      <c r="D12" s="11" t="s">
        <v>16</v>
      </c>
      <c r="E12" s="34">
        <v>311.42</v>
      </c>
      <c r="F12" s="35">
        <f>SUM(E12*104/100)</f>
        <v>323.8768</v>
      </c>
      <c r="G12" s="35">
        <v>175.38</v>
      </c>
      <c r="H12" s="36">
        <f t="shared" si="0"/>
        <v>56.801513183999994</v>
      </c>
      <c r="I12" s="37">
        <f>F12/12*G12</f>
        <v>4733.4594319999997</v>
      </c>
      <c r="J12" s="37">
        <f>F12/12*G12</f>
        <v>4733.4594319999997</v>
      </c>
      <c r="K12" s="37">
        <f>F12/12*G12</f>
        <v>4733.4594319999997</v>
      </c>
      <c r="L12" s="37">
        <f>F12/12*G12</f>
        <v>4733.4594319999997</v>
      </c>
      <c r="M12" s="37">
        <f>F12/12*G12</f>
        <v>4733.4594319999997</v>
      </c>
      <c r="N12" s="37">
        <f>F12/12*G12</f>
        <v>4733.4594319999997</v>
      </c>
      <c r="O12" s="37">
        <f>F12/12*G12</f>
        <v>4733.4594319999997</v>
      </c>
      <c r="P12" s="37">
        <f>F12/12*G12</f>
        <v>4733.4594319999997</v>
      </c>
      <c r="Q12" s="37">
        <f>F12/12*G12</f>
        <v>4733.4594319999997</v>
      </c>
      <c r="R12" s="37">
        <f>F12/12*G12</f>
        <v>4733.4594319999997</v>
      </c>
      <c r="S12" s="37">
        <f>F12/12*G12</f>
        <v>4733.4594319999997</v>
      </c>
      <c r="T12" s="37">
        <f>F12/12*G12</f>
        <v>4733.4594319999997</v>
      </c>
      <c r="U12" s="37">
        <f t="shared" ref="U12:U21" si="1">SUM(I12:T12)</f>
        <v>56801.51318400001</v>
      </c>
    </row>
    <row r="13" spans="1:21" ht="25.5">
      <c r="A13" s="160" t="s">
        <v>165</v>
      </c>
      <c r="B13" s="11" t="s">
        <v>17</v>
      </c>
      <c r="C13" s="27" t="s">
        <v>13</v>
      </c>
      <c r="D13" s="11" t="s">
        <v>18</v>
      </c>
      <c r="E13" s="34">
        <v>373.7</v>
      </c>
      <c r="F13" s="35">
        <f>SUM(E13*24/100)</f>
        <v>89.687999999999988</v>
      </c>
      <c r="G13" s="35">
        <v>504.5</v>
      </c>
      <c r="H13" s="36">
        <f t="shared" si="0"/>
        <v>45.247595999999987</v>
      </c>
      <c r="I13" s="37">
        <f>F13/12*G13</f>
        <v>3770.6329999999998</v>
      </c>
      <c r="J13" s="37">
        <f>F13/12*G13</f>
        <v>3770.6329999999998</v>
      </c>
      <c r="K13" s="37">
        <f>F13/12*G13</f>
        <v>3770.6329999999998</v>
      </c>
      <c r="L13" s="37">
        <f>F13/12*G13</f>
        <v>3770.6329999999998</v>
      </c>
      <c r="M13" s="37">
        <f>F13/12*G13</f>
        <v>3770.6329999999998</v>
      </c>
      <c r="N13" s="37">
        <f>F13/12*G13</f>
        <v>3770.6329999999998</v>
      </c>
      <c r="O13" s="37">
        <f>F13/12*G13</f>
        <v>3770.6329999999998</v>
      </c>
      <c r="P13" s="37">
        <f>F13/12*G13</f>
        <v>3770.6329999999998</v>
      </c>
      <c r="Q13" s="37">
        <f>F13/12*G13</f>
        <v>3770.6329999999998</v>
      </c>
      <c r="R13" s="37">
        <f>F13/12*G13</f>
        <v>3770.6329999999998</v>
      </c>
      <c r="S13" s="37">
        <f>F13/12*G13</f>
        <v>3770.6329999999998</v>
      </c>
      <c r="T13" s="37">
        <f>F13/12*G13</f>
        <v>3770.6329999999998</v>
      </c>
      <c r="U13" s="37">
        <f t="shared" si="1"/>
        <v>45247.596000000012</v>
      </c>
    </row>
    <row r="14" spans="1:21">
      <c r="A14" s="160" t="s">
        <v>166</v>
      </c>
      <c r="B14" s="11" t="s">
        <v>19</v>
      </c>
      <c r="C14" s="27" t="s">
        <v>20</v>
      </c>
      <c r="D14" s="11" t="s">
        <v>107</v>
      </c>
      <c r="E14" s="34">
        <v>38.4</v>
      </c>
      <c r="F14" s="35">
        <f>SUM(E14/10)</f>
        <v>3.84</v>
      </c>
      <c r="G14" s="35">
        <v>170.16</v>
      </c>
      <c r="H14" s="36">
        <f t="shared" si="0"/>
        <v>0.65341439999999995</v>
      </c>
      <c r="I14" s="37">
        <v>0</v>
      </c>
      <c r="J14" s="37">
        <v>0</v>
      </c>
      <c r="K14" s="37">
        <v>0</v>
      </c>
      <c r="L14" s="37">
        <v>0</v>
      </c>
      <c r="M14" s="37">
        <f>F14/2*G14</f>
        <v>326.7072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f t="shared" si="1"/>
        <v>326.7072</v>
      </c>
    </row>
    <row r="15" spans="1:21">
      <c r="A15" s="160" t="s">
        <v>167</v>
      </c>
      <c r="B15" s="11" t="s">
        <v>21</v>
      </c>
      <c r="C15" s="27" t="s">
        <v>13</v>
      </c>
      <c r="D15" s="11" t="s">
        <v>113</v>
      </c>
      <c r="E15" s="34">
        <v>35.04</v>
      </c>
      <c r="F15" s="35">
        <f>SUM(E15*12/100)</f>
        <v>4.2048000000000005</v>
      </c>
      <c r="G15" s="35">
        <v>217.88</v>
      </c>
      <c r="H15" s="36">
        <f t="shared" si="0"/>
        <v>0.91614182399999999</v>
      </c>
      <c r="I15" s="37">
        <f>F15/12*G15</f>
        <v>76.345152000000013</v>
      </c>
      <c r="J15" s="37">
        <f>F15/12*G15</f>
        <v>76.345152000000013</v>
      </c>
      <c r="K15" s="37">
        <f>F15/12*G15</f>
        <v>76.345152000000013</v>
      </c>
      <c r="L15" s="37">
        <f>F15/12*G15</f>
        <v>76.345152000000013</v>
      </c>
      <c r="M15" s="37">
        <f>F15/12*G15</f>
        <v>76.345152000000013</v>
      </c>
      <c r="N15" s="37">
        <f>F15/12*G15</f>
        <v>76.345152000000013</v>
      </c>
      <c r="O15" s="37">
        <f>F15/12*G15</f>
        <v>76.345152000000013</v>
      </c>
      <c r="P15" s="37">
        <f>F15/12*G15</f>
        <v>76.345152000000013</v>
      </c>
      <c r="Q15" s="37">
        <f>F15/12*G15</f>
        <v>76.345152000000013</v>
      </c>
      <c r="R15" s="37">
        <f>F15/12*G15</f>
        <v>76.345152000000013</v>
      </c>
      <c r="S15" s="37">
        <f>F15/12*G15</f>
        <v>76.345152000000013</v>
      </c>
      <c r="T15" s="37">
        <f>F15/12*G15</f>
        <v>76.345152000000013</v>
      </c>
      <c r="U15" s="37">
        <f t="shared" si="1"/>
        <v>916.14182399999993</v>
      </c>
    </row>
    <row r="16" spans="1:21">
      <c r="A16" s="160" t="s">
        <v>168</v>
      </c>
      <c r="B16" s="11" t="s">
        <v>22</v>
      </c>
      <c r="C16" s="27" t="s">
        <v>13</v>
      </c>
      <c r="D16" s="11" t="s">
        <v>114</v>
      </c>
      <c r="E16" s="34">
        <v>9.08</v>
      </c>
      <c r="F16" s="35">
        <f>SUM(E16*12/100)</f>
        <v>1.0896000000000001</v>
      </c>
      <c r="G16" s="35">
        <v>216.12</v>
      </c>
      <c r="H16" s="36">
        <f t="shared" si="0"/>
        <v>0.23548435200000004</v>
      </c>
      <c r="I16" s="37">
        <f>F16/12*G16</f>
        <v>19.623696000000002</v>
      </c>
      <c r="J16" s="37">
        <f>F16/12*G16</f>
        <v>19.623696000000002</v>
      </c>
      <c r="K16" s="37">
        <f>F16/12*G16</f>
        <v>19.623696000000002</v>
      </c>
      <c r="L16" s="37">
        <f>F16/12*G16</f>
        <v>19.623696000000002</v>
      </c>
      <c r="M16" s="37">
        <f>F16/12*G16</f>
        <v>19.623696000000002</v>
      </c>
      <c r="N16" s="37">
        <f>F16/12*G16</f>
        <v>19.623696000000002</v>
      </c>
      <c r="O16" s="37">
        <f>F16/12*G16</f>
        <v>19.623696000000002</v>
      </c>
      <c r="P16" s="37">
        <f>F16/12*G16</f>
        <v>19.623696000000002</v>
      </c>
      <c r="Q16" s="37">
        <f>F16/12*G16</f>
        <v>19.623696000000002</v>
      </c>
      <c r="R16" s="37">
        <f>F16/12*G16</f>
        <v>19.623696000000002</v>
      </c>
      <c r="S16" s="37">
        <f>F16/12*G16</f>
        <v>19.623696000000002</v>
      </c>
      <c r="T16" s="37">
        <f>F16/12*G16</f>
        <v>19.623696000000002</v>
      </c>
      <c r="U16" s="37">
        <f t="shared" si="1"/>
        <v>235.48435199999997</v>
      </c>
    </row>
    <row r="17" spans="1:21">
      <c r="A17" s="160" t="s">
        <v>169</v>
      </c>
      <c r="B17" s="11" t="s">
        <v>23</v>
      </c>
      <c r="C17" s="27" t="s">
        <v>24</v>
      </c>
      <c r="D17" s="11" t="s">
        <v>107</v>
      </c>
      <c r="E17" s="34">
        <v>629</v>
      </c>
      <c r="F17" s="35">
        <f>SUM(E17/100)</f>
        <v>6.29</v>
      </c>
      <c r="G17" s="35">
        <v>269.26</v>
      </c>
      <c r="H17" s="36">
        <f t="shared" si="0"/>
        <v>1.6936453999999999</v>
      </c>
      <c r="I17" s="37">
        <v>0</v>
      </c>
      <c r="J17" s="37">
        <v>0</v>
      </c>
      <c r="K17" s="37">
        <v>0</v>
      </c>
      <c r="L17" s="37">
        <v>0</v>
      </c>
      <c r="M17" s="37">
        <f>F17*G17</f>
        <v>1693.6453999999999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f t="shared" si="1"/>
        <v>1693.6453999999999</v>
      </c>
    </row>
    <row r="18" spans="1:21">
      <c r="A18" s="160" t="s">
        <v>170</v>
      </c>
      <c r="B18" s="11" t="s">
        <v>25</v>
      </c>
      <c r="C18" s="27" t="s">
        <v>24</v>
      </c>
      <c r="D18" s="11" t="s">
        <v>107</v>
      </c>
      <c r="E18" s="39">
        <v>58</v>
      </c>
      <c r="F18" s="35">
        <f>SUM(E18/100)</f>
        <v>0.57999999999999996</v>
      </c>
      <c r="G18" s="35">
        <v>44.29</v>
      </c>
      <c r="H18" s="36">
        <f t="shared" si="0"/>
        <v>2.5688199999999998E-2</v>
      </c>
      <c r="I18" s="37">
        <v>0</v>
      </c>
      <c r="J18" s="37">
        <v>0</v>
      </c>
      <c r="K18" s="37">
        <v>0</v>
      </c>
      <c r="L18" s="37">
        <v>0</v>
      </c>
      <c r="M18" s="37">
        <f>F18*G18</f>
        <v>25.688199999999998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f t="shared" si="1"/>
        <v>25.688199999999998</v>
      </c>
    </row>
    <row r="19" spans="1:21">
      <c r="A19" s="160" t="s">
        <v>171</v>
      </c>
      <c r="B19" s="11" t="s">
        <v>26</v>
      </c>
      <c r="C19" s="27" t="s">
        <v>24</v>
      </c>
      <c r="D19" s="11" t="s">
        <v>114</v>
      </c>
      <c r="E19" s="34">
        <v>24</v>
      </c>
      <c r="F19" s="35">
        <f>E19*12/100</f>
        <v>2.88</v>
      </c>
      <c r="G19" s="35">
        <v>389.72</v>
      </c>
      <c r="H19" s="36">
        <f t="shared" si="0"/>
        <v>1.1223936000000001</v>
      </c>
      <c r="I19" s="37">
        <f>F19/12*G19</f>
        <v>93.532800000000009</v>
      </c>
      <c r="J19" s="37">
        <f>F19/12*G19</f>
        <v>93.532800000000009</v>
      </c>
      <c r="K19" s="37">
        <f>F19/12*G19</f>
        <v>93.532800000000009</v>
      </c>
      <c r="L19" s="37">
        <f>F19/12*G19</f>
        <v>93.532800000000009</v>
      </c>
      <c r="M19" s="37">
        <f>F19/12*G19</f>
        <v>93.532800000000009</v>
      </c>
      <c r="N19" s="37">
        <f>F19/12*G19</f>
        <v>93.532800000000009</v>
      </c>
      <c r="O19" s="37">
        <f>F19/12*G19</f>
        <v>93.532800000000009</v>
      </c>
      <c r="P19" s="37">
        <f>F19/12*G19</f>
        <v>93.532800000000009</v>
      </c>
      <c r="Q19" s="37">
        <f>F19/12*G19</f>
        <v>93.532800000000009</v>
      </c>
      <c r="R19" s="37">
        <f>F19/12*G19</f>
        <v>93.532800000000009</v>
      </c>
      <c r="S19" s="37">
        <f>F19/12*G19</f>
        <v>93.532800000000009</v>
      </c>
      <c r="T19" s="37">
        <f>F19/12*G19</f>
        <v>93.532800000000009</v>
      </c>
      <c r="U19" s="37">
        <f t="shared" si="1"/>
        <v>1122.3935999999999</v>
      </c>
    </row>
    <row r="20" spans="1:21">
      <c r="A20" s="160" t="s">
        <v>172</v>
      </c>
      <c r="B20" s="11" t="s">
        <v>27</v>
      </c>
      <c r="C20" s="27" t="s">
        <v>24</v>
      </c>
      <c r="D20" s="11" t="s">
        <v>34</v>
      </c>
      <c r="E20" s="34">
        <v>17</v>
      </c>
      <c r="F20" s="35">
        <f>SUM(E20/100)</f>
        <v>0.17</v>
      </c>
      <c r="G20" s="35">
        <v>520.79999999999995</v>
      </c>
      <c r="H20" s="36">
        <f t="shared" si="0"/>
        <v>8.8536000000000004E-2</v>
      </c>
      <c r="I20" s="37">
        <v>0</v>
      </c>
      <c r="J20" s="37">
        <v>0</v>
      </c>
      <c r="K20" s="37">
        <v>0</v>
      </c>
      <c r="L20" s="37">
        <v>0</v>
      </c>
      <c r="M20" s="37">
        <f>F20*G20</f>
        <v>88.536000000000001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f t="shared" si="1"/>
        <v>88.536000000000001</v>
      </c>
    </row>
    <row r="21" spans="1:21" ht="25.5">
      <c r="A21" s="160" t="s">
        <v>173</v>
      </c>
      <c r="B21" s="11" t="s">
        <v>118</v>
      </c>
      <c r="C21" s="27" t="s">
        <v>24</v>
      </c>
      <c r="D21" s="11" t="s">
        <v>34</v>
      </c>
      <c r="E21" s="34">
        <v>24</v>
      </c>
      <c r="F21" s="35">
        <v>0.24</v>
      </c>
      <c r="G21" s="35">
        <v>216.12</v>
      </c>
      <c r="H21" s="36">
        <f>G21*F21/1000</f>
        <v>5.18688E-2</v>
      </c>
      <c r="I21" s="37">
        <v>0</v>
      </c>
      <c r="J21" s="37">
        <v>0</v>
      </c>
      <c r="K21" s="37">
        <v>0</v>
      </c>
      <c r="L21" s="37">
        <v>0</v>
      </c>
      <c r="M21" s="37">
        <f>F21*G21</f>
        <v>51.8688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f t="shared" si="1"/>
        <v>51.8688</v>
      </c>
    </row>
    <row r="22" spans="1:21" s="19" customFormat="1">
      <c r="A22" s="161"/>
      <c r="B22" s="20" t="s">
        <v>28</v>
      </c>
      <c r="C22" s="40"/>
      <c r="D22" s="20"/>
      <c r="E22" s="41"/>
      <c r="F22" s="42"/>
      <c r="G22" s="42"/>
      <c r="H22" s="43">
        <f>SUM(H11:H21)</f>
        <v>123.87564134399997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>
        <f>SUM(U11:U21)</f>
        <v>123548.93414400001</v>
      </c>
    </row>
    <row r="23" spans="1:21">
      <c r="A23" s="160"/>
      <c r="B23" s="12" t="s">
        <v>29</v>
      </c>
      <c r="C23" s="27"/>
      <c r="D23" s="11"/>
      <c r="E23" s="34"/>
      <c r="F23" s="35"/>
      <c r="G23" s="35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ht="25.5" customHeight="1">
      <c r="A24" s="160" t="s">
        <v>174</v>
      </c>
      <c r="B24" s="11" t="s">
        <v>158</v>
      </c>
      <c r="C24" s="27" t="s">
        <v>31</v>
      </c>
      <c r="D24" s="11" t="s">
        <v>30</v>
      </c>
      <c r="E24" s="35">
        <v>748</v>
      </c>
      <c r="F24" s="35">
        <f>SUM(E24*52/1000)</f>
        <v>38.896000000000001</v>
      </c>
      <c r="G24" s="35">
        <v>155.88999999999999</v>
      </c>
      <c r="H24" s="36">
        <f t="shared" ref="H24:H33" si="2">SUM(F24*G24/1000)</f>
        <v>6.063497439999999</v>
      </c>
      <c r="I24" s="37">
        <v>0</v>
      </c>
      <c r="J24" s="37">
        <v>0</v>
      </c>
      <c r="K24" s="37">
        <v>0</v>
      </c>
      <c r="L24" s="37">
        <v>0</v>
      </c>
      <c r="M24" s="37">
        <f>F24/6*G24</f>
        <v>1010.5829066666666</v>
      </c>
      <c r="N24" s="37">
        <f>F24/6*G24</f>
        <v>1010.5829066666666</v>
      </c>
      <c r="O24" s="37">
        <f>F24/6*G24</f>
        <v>1010.5829066666666</v>
      </c>
      <c r="P24" s="37">
        <f>F24/6*G24</f>
        <v>1010.5829066666666</v>
      </c>
      <c r="Q24" s="37">
        <f>F24/6*G24</f>
        <v>1010.5829066666666</v>
      </c>
      <c r="R24" s="37">
        <f>F24/6*G24</f>
        <v>1010.5829066666666</v>
      </c>
      <c r="S24" s="37">
        <v>0</v>
      </c>
      <c r="T24" s="37">
        <v>0</v>
      </c>
      <c r="U24" s="37">
        <f t="shared" ref="U24:U33" si="3">SUM(I24:T24)</f>
        <v>6063.4974400000001</v>
      </c>
    </row>
    <row r="25" spans="1:21" ht="38.25" customHeight="1">
      <c r="A25" s="160" t="s">
        <v>175</v>
      </c>
      <c r="B25" s="11" t="s">
        <v>159</v>
      </c>
      <c r="C25" s="27" t="s">
        <v>31</v>
      </c>
      <c r="D25" s="11" t="s">
        <v>32</v>
      </c>
      <c r="E25" s="35">
        <v>374</v>
      </c>
      <c r="F25" s="35">
        <f>SUM(E25*78/1000)</f>
        <v>29.172000000000001</v>
      </c>
      <c r="G25" s="35">
        <v>258.63</v>
      </c>
      <c r="H25" s="36">
        <f t="shared" si="2"/>
        <v>7.5447543599999998</v>
      </c>
      <c r="I25" s="37">
        <v>0</v>
      </c>
      <c r="J25" s="37">
        <v>0</v>
      </c>
      <c r="K25" s="37">
        <v>0</v>
      </c>
      <c r="L25" s="37">
        <v>0</v>
      </c>
      <c r="M25" s="37">
        <f>F25/6*G25</f>
        <v>1257.4590599999999</v>
      </c>
      <c r="N25" s="37">
        <f>F25/6*G25</f>
        <v>1257.4590599999999</v>
      </c>
      <c r="O25" s="37">
        <f>F25/6*G25</f>
        <v>1257.4590599999999</v>
      </c>
      <c r="P25" s="37">
        <f>F25/6*G25</f>
        <v>1257.4590599999999</v>
      </c>
      <c r="Q25" s="37">
        <f>F25/6*G25</f>
        <v>1257.4590599999999</v>
      </c>
      <c r="R25" s="37">
        <f>F25/6*G25</f>
        <v>1257.4590599999999</v>
      </c>
      <c r="S25" s="37">
        <v>0</v>
      </c>
      <c r="T25" s="37">
        <v>0</v>
      </c>
      <c r="U25" s="37">
        <f t="shared" si="3"/>
        <v>7544.7543599999999</v>
      </c>
    </row>
    <row r="26" spans="1:21">
      <c r="A26" s="160" t="s">
        <v>176</v>
      </c>
      <c r="B26" s="11" t="s">
        <v>33</v>
      </c>
      <c r="C26" s="27" t="s">
        <v>31</v>
      </c>
      <c r="D26" s="11" t="s">
        <v>34</v>
      </c>
      <c r="E26" s="35">
        <v>748</v>
      </c>
      <c r="F26" s="35">
        <f>SUM(E26/1000)</f>
        <v>0.748</v>
      </c>
      <c r="G26" s="35">
        <v>3020.33</v>
      </c>
      <c r="H26" s="36">
        <f t="shared" si="2"/>
        <v>2.25920684</v>
      </c>
      <c r="I26" s="37">
        <v>0</v>
      </c>
      <c r="J26" s="37">
        <v>0</v>
      </c>
      <c r="K26" s="37">
        <v>0</v>
      </c>
      <c r="L26" s="37">
        <v>0</v>
      </c>
      <c r="M26" s="37">
        <f>F26*G26</f>
        <v>2259.2068399999998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f t="shared" si="3"/>
        <v>2259.2068399999998</v>
      </c>
    </row>
    <row r="27" spans="1:21">
      <c r="A27" s="160" t="s">
        <v>177</v>
      </c>
      <c r="B27" s="11" t="s">
        <v>115</v>
      </c>
      <c r="C27" s="27" t="s">
        <v>62</v>
      </c>
      <c r="D27" s="11" t="s">
        <v>37</v>
      </c>
      <c r="E27" s="35">
        <v>1</v>
      </c>
      <c r="F27" s="35">
        <f>E27*155/100</f>
        <v>1.55</v>
      </c>
      <c r="G27" s="35">
        <v>1302.02</v>
      </c>
      <c r="H27" s="36">
        <f>G27*F27/1000</f>
        <v>2.0181309999999999</v>
      </c>
      <c r="I27" s="37">
        <v>0</v>
      </c>
      <c r="J27" s="37">
        <v>0</v>
      </c>
      <c r="K27" s="37">
        <v>0</v>
      </c>
      <c r="L27" s="37">
        <v>0</v>
      </c>
      <c r="M27" s="37">
        <f>F27/6*G27</f>
        <v>336.35516666666672</v>
      </c>
      <c r="N27" s="37">
        <f>F27/6*G27</f>
        <v>336.35516666666672</v>
      </c>
      <c r="O27" s="37">
        <f>F27/6*G27</f>
        <v>336.35516666666672</v>
      </c>
      <c r="P27" s="37">
        <f>F27/6*G27</f>
        <v>336.35516666666672</v>
      </c>
      <c r="Q27" s="37">
        <f>F27/6*G27</f>
        <v>336.35516666666672</v>
      </c>
      <c r="R27" s="37">
        <f>F27/6*G27</f>
        <v>336.35516666666672</v>
      </c>
      <c r="S27" s="37">
        <v>0</v>
      </c>
      <c r="T27" s="37">
        <v>0</v>
      </c>
      <c r="U27" s="37">
        <f t="shared" si="3"/>
        <v>2018.1310000000003</v>
      </c>
    </row>
    <row r="28" spans="1:21">
      <c r="A28" s="160" t="s">
        <v>178</v>
      </c>
      <c r="B28" s="11" t="s">
        <v>35</v>
      </c>
      <c r="C28" s="27" t="s">
        <v>36</v>
      </c>
      <c r="D28" s="11" t="s">
        <v>37</v>
      </c>
      <c r="E28" s="46">
        <v>0.33333333333333331</v>
      </c>
      <c r="F28" s="35">
        <f>155/3</f>
        <v>51.666666666666664</v>
      </c>
      <c r="G28" s="35">
        <v>56.69</v>
      </c>
      <c r="H28" s="36">
        <f>SUM(G28*155/3/1000)</f>
        <v>2.9289833333333331</v>
      </c>
      <c r="I28" s="37">
        <v>0</v>
      </c>
      <c r="J28" s="37">
        <v>0</v>
      </c>
      <c r="K28" s="37">
        <v>0</v>
      </c>
      <c r="L28" s="37">
        <v>0</v>
      </c>
      <c r="M28" s="37">
        <f>F28/6*G28</f>
        <v>488.16388888888883</v>
      </c>
      <c r="N28" s="37">
        <f>F28/6*G28</f>
        <v>488.16388888888883</v>
      </c>
      <c r="O28" s="37">
        <f>F28/6*G28</f>
        <v>488.16388888888883</v>
      </c>
      <c r="P28" s="37">
        <f>F28/6*G28</f>
        <v>488.16388888888883</v>
      </c>
      <c r="Q28" s="37">
        <f>F28/6*G28</f>
        <v>488.16388888888883</v>
      </c>
      <c r="R28" s="37">
        <f>F28/6*G28</f>
        <v>488.16388888888883</v>
      </c>
      <c r="S28" s="37">
        <v>0</v>
      </c>
      <c r="T28" s="37">
        <v>0</v>
      </c>
      <c r="U28" s="37">
        <f t="shared" si="3"/>
        <v>2928.9833333333331</v>
      </c>
    </row>
    <row r="29" spans="1:21" ht="12.75" customHeight="1">
      <c r="A29" s="160" t="s">
        <v>179</v>
      </c>
      <c r="B29" s="11" t="s">
        <v>38</v>
      </c>
      <c r="C29" s="27" t="s">
        <v>39</v>
      </c>
      <c r="D29" s="11" t="s">
        <v>40</v>
      </c>
      <c r="E29" s="47">
        <v>0.1</v>
      </c>
      <c r="F29" s="35">
        <f>SUM(E29*365)</f>
        <v>36.5</v>
      </c>
      <c r="G29" s="35">
        <v>147.03</v>
      </c>
      <c r="H29" s="36">
        <f t="shared" si="2"/>
        <v>5.3665950000000002</v>
      </c>
      <c r="I29" s="37">
        <f>F29/12*G29</f>
        <v>447.21625</v>
      </c>
      <c r="J29" s="37">
        <f>F29/12*G29</f>
        <v>447.21625</v>
      </c>
      <c r="K29" s="37">
        <f>F29/12*G29</f>
        <v>447.21625</v>
      </c>
      <c r="L29" s="37">
        <f>F29/12*G29</f>
        <v>447.21625</v>
      </c>
      <c r="M29" s="37">
        <f>F29/12*G29</f>
        <v>447.21625</v>
      </c>
      <c r="N29" s="37">
        <f>F29/12*G29</f>
        <v>447.21625</v>
      </c>
      <c r="O29" s="37">
        <f>F29/12*G29</f>
        <v>447.21625</v>
      </c>
      <c r="P29" s="37">
        <f>F29/12*G29</f>
        <v>447.21625</v>
      </c>
      <c r="Q29" s="37">
        <f>F29/12*G29</f>
        <v>447.21625</v>
      </c>
      <c r="R29" s="37">
        <f>F29/12*G29</f>
        <v>447.21625</v>
      </c>
      <c r="S29" s="37">
        <f>F29/12*G29</f>
        <v>447.21625</v>
      </c>
      <c r="T29" s="37">
        <f>F29/12*G29</f>
        <v>447.21625</v>
      </c>
      <c r="U29" s="37">
        <f t="shared" si="3"/>
        <v>5366.5950000000012</v>
      </c>
    </row>
    <row r="30" spans="1:21" ht="12.75" customHeight="1">
      <c r="A30" s="160" t="s">
        <v>180</v>
      </c>
      <c r="B30" s="11" t="s">
        <v>153</v>
      </c>
      <c r="C30" s="27" t="s">
        <v>39</v>
      </c>
      <c r="D30" s="11" t="s">
        <v>42</v>
      </c>
      <c r="E30" s="34"/>
      <c r="F30" s="35">
        <v>2</v>
      </c>
      <c r="G30" s="35">
        <v>191.32</v>
      </c>
      <c r="H30" s="36">
        <f t="shared" si="2"/>
        <v>0.38263999999999998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f t="shared" si="3"/>
        <v>0</v>
      </c>
    </row>
    <row r="31" spans="1:21" ht="12.75" customHeight="1">
      <c r="A31" s="160" t="s">
        <v>152</v>
      </c>
      <c r="B31" s="11" t="s">
        <v>160</v>
      </c>
      <c r="C31" s="27" t="s">
        <v>43</v>
      </c>
      <c r="D31" s="11" t="s">
        <v>42</v>
      </c>
      <c r="E31" s="34"/>
      <c r="F31" s="35">
        <v>1</v>
      </c>
      <c r="G31" s="35">
        <v>1136.33</v>
      </c>
      <c r="H31" s="36">
        <f t="shared" si="2"/>
        <v>1.1363299999999998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f t="shared" si="3"/>
        <v>0</v>
      </c>
    </row>
    <row r="32" spans="1:21" ht="13.5" customHeight="1">
      <c r="A32" s="160" t="s">
        <v>181</v>
      </c>
      <c r="B32" s="11" t="s">
        <v>41</v>
      </c>
      <c r="C32" s="27" t="s">
        <v>49</v>
      </c>
      <c r="D32" s="11"/>
      <c r="E32" s="34">
        <v>932.2</v>
      </c>
      <c r="F32" s="35">
        <v>0.93220000000000003</v>
      </c>
      <c r="G32" s="35">
        <v>1305.02</v>
      </c>
      <c r="H32" s="36">
        <f t="shared" si="2"/>
        <v>1.216539644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f t="shared" si="3"/>
        <v>0</v>
      </c>
    </row>
    <row r="33" spans="1:21">
      <c r="A33" s="160"/>
      <c r="B33" s="48" t="s">
        <v>44</v>
      </c>
      <c r="C33" s="27" t="s">
        <v>45</v>
      </c>
      <c r="D33" s="48" t="s">
        <v>46</v>
      </c>
      <c r="E33" s="34">
        <v>5367.6</v>
      </c>
      <c r="F33" s="35">
        <f>SUM(E33*12)</f>
        <v>64411.200000000004</v>
      </c>
      <c r="G33" s="35">
        <v>3.18</v>
      </c>
      <c r="H33" s="36">
        <f t="shared" si="2"/>
        <v>204.82761600000003</v>
      </c>
      <c r="I33" s="37">
        <f>F33/12*G33</f>
        <v>17068.968000000001</v>
      </c>
      <c r="J33" s="37">
        <f>F33/12*G33</f>
        <v>17068.968000000001</v>
      </c>
      <c r="K33" s="37">
        <f>F33/12*G33</f>
        <v>17068.968000000001</v>
      </c>
      <c r="L33" s="37">
        <f>F33/12*G33</f>
        <v>17068.968000000001</v>
      </c>
      <c r="M33" s="37">
        <f>F33/12*G33</f>
        <v>17068.968000000001</v>
      </c>
      <c r="N33" s="37">
        <f>F33/12*G33</f>
        <v>17068.968000000001</v>
      </c>
      <c r="O33" s="37">
        <f>F33/12*G33</f>
        <v>17068.968000000001</v>
      </c>
      <c r="P33" s="37">
        <f>F33/12*G33</f>
        <v>17068.968000000001</v>
      </c>
      <c r="Q33" s="37">
        <f>F33/12*G33</f>
        <v>17068.968000000001</v>
      </c>
      <c r="R33" s="37">
        <f>F33/12*G33</f>
        <v>17068.968000000001</v>
      </c>
      <c r="S33" s="37">
        <f>F33/12*G33</f>
        <v>17068.968000000001</v>
      </c>
      <c r="T33" s="37">
        <f>F33/12*G33</f>
        <v>17068.968000000001</v>
      </c>
      <c r="U33" s="37">
        <f t="shared" si="3"/>
        <v>204827.61599999995</v>
      </c>
    </row>
    <row r="34" spans="1:21" s="19" customFormat="1">
      <c r="A34" s="161"/>
      <c r="B34" s="20" t="s">
        <v>28</v>
      </c>
      <c r="C34" s="40"/>
      <c r="D34" s="20"/>
      <c r="E34" s="41"/>
      <c r="F34" s="42"/>
      <c r="G34" s="42"/>
      <c r="H34" s="49">
        <f>SUM(H24:H33)</f>
        <v>233.74429361733337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>
        <f>SUM(U24:U33)</f>
        <v>231008.78397333328</v>
      </c>
    </row>
    <row r="35" spans="1:21">
      <c r="A35" s="160"/>
      <c r="B35" s="12" t="s">
        <v>47</v>
      </c>
      <c r="C35" s="27"/>
      <c r="D35" s="11"/>
      <c r="E35" s="34"/>
      <c r="F35" s="35"/>
      <c r="G35" s="35"/>
      <c r="H35" s="36" t="s">
        <v>46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2.75" customHeight="1">
      <c r="A36" s="160" t="s">
        <v>152</v>
      </c>
      <c r="B36" s="13" t="s">
        <v>48</v>
      </c>
      <c r="C36" s="27" t="s">
        <v>43</v>
      </c>
      <c r="D36" s="11"/>
      <c r="E36" s="34"/>
      <c r="F36" s="35">
        <v>6</v>
      </c>
      <c r="G36" s="35">
        <v>1527.22</v>
      </c>
      <c r="H36" s="36">
        <f t="shared" ref="H36:H41" si="4">SUM(F36*G36/1000)</f>
        <v>9.1633200000000006</v>
      </c>
      <c r="I36" s="37">
        <f t="shared" ref="I36:I41" si="5">F36/6*G36</f>
        <v>1527.22</v>
      </c>
      <c r="J36" s="37">
        <f t="shared" ref="J36:J41" si="6">F36/6*G36</f>
        <v>1527.22</v>
      </c>
      <c r="K36" s="37">
        <f t="shared" ref="K36:K41" si="7">F36/6*G36</f>
        <v>1527.22</v>
      </c>
      <c r="L36" s="37">
        <f t="shared" ref="L36:L41" si="8">F36/6*G36</f>
        <v>1527.22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f t="shared" ref="S36:S41" si="9">F36/6*G36</f>
        <v>1527.22</v>
      </c>
      <c r="T36" s="37">
        <f t="shared" ref="T36:T41" si="10">F36/6*G36</f>
        <v>1527.22</v>
      </c>
      <c r="U36" s="37">
        <f t="shared" ref="U36:U41" si="11">SUM(I36:T36)</f>
        <v>9163.32</v>
      </c>
    </row>
    <row r="37" spans="1:21" ht="25.5">
      <c r="A37" s="162" t="s">
        <v>182</v>
      </c>
      <c r="B37" s="13" t="s">
        <v>154</v>
      </c>
      <c r="C37" s="51" t="s">
        <v>49</v>
      </c>
      <c r="D37" s="11" t="s">
        <v>131</v>
      </c>
      <c r="E37" s="34">
        <v>374</v>
      </c>
      <c r="F37" s="50">
        <f>E37*26/1000</f>
        <v>9.7240000000000002</v>
      </c>
      <c r="G37" s="35">
        <v>2102.71</v>
      </c>
      <c r="H37" s="36">
        <f t="shared" si="4"/>
        <v>20.44675204</v>
      </c>
      <c r="I37" s="37">
        <f t="shared" si="5"/>
        <v>3407.792006666667</v>
      </c>
      <c r="J37" s="37">
        <f t="shared" si="6"/>
        <v>3407.792006666667</v>
      </c>
      <c r="K37" s="37">
        <f t="shared" si="7"/>
        <v>3407.792006666667</v>
      </c>
      <c r="L37" s="37">
        <f t="shared" si="8"/>
        <v>3407.792006666667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f t="shared" si="9"/>
        <v>3407.792006666667</v>
      </c>
      <c r="T37" s="37">
        <f t="shared" si="10"/>
        <v>3407.792006666667</v>
      </c>
      <c r="U37" s="37">
        <f t="shared" si="11"/>
        <v>20446.752040000003</v>
      </c>
    </row>
    <row r="38" spans="1:21" ht="24.75" customHeight="1">
      <c r="A38" s="160" t="s">
        <v>183</v>
      </c>
      <c r="B38" s="11" t="s">
        <v>155</v>
      </c>
      <c r="C38" s="27" t="s">
        <v>49</v>
      </c>
      <c r="D38" s="11" t="s">
        <v>50</v>
      </c>
      <c r="E38" s="35">
        <v>160</v>
      </c>
      <c r="F38" s="50">
        <f>SUM(E38*155/1000)</f>
        <v>24.8</v>
      </c>
      <c r="G38" s="35">
        <v>350.75</v>
      </c>
      <c r="H38" s="36">
        <f t="shared" si="4"/>
        <v>8.6986000000000008</v>
      </c>
      <c r="I38" s="37">
        <f t="shared" si="5"/>
        <v>1449.7666666666669</v>
      </c>
      <c r="J38" s="37">
        <f t="shared" si="6"/>
        <v>1449.7666666666669</v>
      </c>
      <c r="K38" s="37">
        <f t="shared" si="7"/>
        <v>1449.7666666666669</v>
      </c>
      <c r="L38" s="37">
        <f t="shared" si="8"/>
        <v>1449.7666666666669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f t="shared" si="9"/>
        <v>1449.7666666666669</v>
      </c>
      <c r="T38" s="37">
        <f t="shared" si="10"/>
        <v>1449.7666666666669</v>
      </c>
      <c r="U38" s="37">
        <f t="shared" si="11"/>
        <v>8698.6</v>
      </c>
    </row>
    <row r="39" spans="1:21" ht="51" customHeight="1">
      <c r="A39" s="160" t="s">
        <v>184</v>
      </c>
      <c r="B39" s="11" t="s">
        <v>161</v>
      </c>
      <c r="C39" s="27" t="s">
        <v>31</v>
      </c>
      <c r="D39" s="11" t="s">
        <v>132</v>
      </c>
      <c r="E39" s="35">
        <v>76</v>
      </c>
      <c r="F39" s="50">
        <f>SUM(E39*50/1000)</f>
        <v>3.8</v>
      </c>
      <c r="G39" s="35">
        <v>5803.28</v>
      </c>
      <c r="H39" s="36">
        <f t="shared" si="4"/>
        <v>22.052463999999997</v>
      </c>
      <c r="I39" s="37">
        <f t="shared" si="5"/>
        <v>3675.4106666666662</v>
      </c>
      <c r="J39" s="37">
        <f t="shared" si="6"/>
        <v>3675.4106666666662</v>
      </c>
      <c r="K39" s="37">
        <f t="shared" si="7"/>
        <v>3675.4106666666662</v>
      </c>
      <c r="L39" s="37">
        <f t="shared" si="8"/>
        <v>3675.4106666666662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f t="shared" si="9"/>
        <v>3675.4106666666662</v>
      </c>
      <c r="T39" s="37">
        <f t="shared" si="10"/>
        <v>3675.4106666666662</v>
      </c>
      <c r="U39" s="37">
        <f t="shared" si="11"/>
        <v>22052.463999999996</v>
      </c>
    </row>
    <row r="40" spans="1:21" ht="12.75" customHeight="1">
      <c r="A40" s="160" t="s">
        <v>185</v>
      </c>
      <c r="B40" s="11" t="s">
        <v>156</v>
      </c>
      <c r="C40" s="27" t="s">
        <v>31</v>
      </c>
      <c r="D40" s="11" t="s">
        <v>255</v>
      </c>
      <c r="E40" s="35">
        <v>76</v>
      </c>
      <c r="F40" s="50">
        <f>SUM(E40*15/1000)</f>
        <v>1.1399999999999999</v>
      </c>
      <c r="G40" s="35">
        <v>428.7</v>
      </c>
      <c r="H40" s="36">
        <f t="shared" si="4"/>
        <v>0.48871799999999999</v>
      </c>
      <c r="I40" s="37">
        <v>0</v>
      </c>
      <c r="J40" s="37">
        <v>0</v>
      </c>
      <c r="K40" s="37">
        <f>F40/2*G40</f>
        <v>244.35899999999998</v>
      </c>
      <c r="L40" s="37">
        <f>F40/2*G40</f>
        <v>244.35899999999998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f t="shared" si="11"/>
        <v>488.71799999999996</v>
      </c>
    </row>
    <row r="41" spans="1:21" s="2" customFormat="1">
      <c r="A41" s="162"/>
      <c r="B41" s="13" t="s">
        <v>162</v>
      </c>
      <c r="C41" s="51" t="s">
        <v>39</v>
      </c>
      <c r="D41" s="13"/>
      <c r="E41" s="47"/>
      <c r="F41" s="50">
        <v>0.9</v>
      </c>
      <c r="G41" s="50">
        <v>798</v>
      </c>
      <c r="H41" s="36">
        <f t="shared" si="4"/>
        <v>0.71820000000000006</v>
      </c>
      <c r="I41" s="52">
        <f t="shared" si="5"/>
        <v>119.69999999999999</v>
      </c>
      <c r="J41" s="52">
        <f t="shared" si="6"/>
        <v>119.69999999999999</v>
      </c>
      <c r="K41" s="52">
        <f t="shared" si="7"/>
        <v>119.69999999999999</v>
      </c>
      <c r="L41" s="52">
        <f t="shared" si="8"/>
        <v>119.69999999999999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f t="shared" si="9"/>
        <v>119.69999999999999</v>
      </c>
      <c r="T41" s="52">
        <f t="shared" si="10"/>
        <v>119.69999999999999</v>
      </c>
      <c r="U41" s="37">
        <f t="shared" si="11"/>
        <v>718.2</v>
      </c>
    </row>
    <row r="42" spans="1:21" s="19" customFormat="1">
      <c r="A42" s="161"/>
      <c r="B42" s="20" t="s">
        <v>28</v>
      </c>
      <c r="C42" s="40"/>
      <c r="D42" s="20"/>
      <c r="E42" s="41"/>
      <c r="F42" s="42" t="s">
        <v>46</v>
      </c>
      <c r="G42" s="42"/>
      <c r="H42" s="49">
        <f>SUM(H36:H41)</f>
        <v>61.568054039999993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f>SUM(U36:U41)</f>
        <v>61568.054039999995</v>
      </c>
    </row>
    <row r="43" spans="1:21">
      <c r="A43" s="160"/>
      <c r="B43" s="14" t="s">
        <v>51</v>
      </c>
      <c r="C43" s="27"/>
      <c r="D43" s="11"/>
      <c r="E43" s="34"/>
      <c r="F43" s="35"/>
      <c r="G43" s="35"/>
      <c r="H43" s="36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>
      <c r="A44" s="160" t="s">
        <v>186</v>
      </c>
      <c r="B44" s="11" t="s">
        <v>163</v>
      </c>
      <c r="C44" s="27" t="s">
        <v>31</v>
      </c>
      <c r="D44" s="11" t="s">
        <v>52</v>
      </c>
      <c r="E44" s="34">
        <v>1099.7</v>
      </c>
      <c r="F44" s="35">
        <f>SUM(E44*2/1000)</f>
        <v>2.1994000000000002</v>
      </c>
      <c r="G44" s="53">
        <v>809.74</v>
      </c>
      <c r="H44" s="36">
        <f t="shared" ref="H44:H54" si="12">SUM(F44*G44/1000)</f>
        <v>1.7809421560000003</v>
      </c>
      <c r="I44" s="37">
        <v>0</v>
      </c>
      <c r="J44" s="37">
        <v>0</v>
      </c>
      <c r="K44" s="37">
        <v>0</v>
      </c>
      <c r="L44" s="37">
        <v>0</v>
      </c>
      <c r="M44" s="37">
        <f>F44/2*G44</f>
        <v>890.47107800000015</v>
      </c>
      <c r="N44" s="37">
        <v>0</v>
      </c>
      <c r="O44" s="37">
        <v>0</v>
      </c>
      <c r="P44" s="37">
        <v>0</v>
      </c>
      <c r="Q44" s="37">
        <f>F44/2*G44</f>
        <v>890.47107800000015</v>
      </c>
      <c r="R44" s="37">
        <v>0</v>
      </c>
      <c r="S44" s="37">
        <v>0</v>
      </c>
      <c r="T44" s="37">
        <v>0</v>
      </c>
      <c r="U44" s="37">
        <f t="shared" ref="U44:U53" si="13">SUM(I44:T44)</f>
        <v>1780.9421560000003</v>
      </c>
    </row>
    <row r="45" spans="1:21">
      <c r="A45" s="160" t="s">
        <v>187</v>
      </c>
      <c r="B45" s="11" t="s">
        <v>53</v>
      </c>
      <c r="C45" s="27" t="s">
        <v>31</v>
      </c>
      <c r="D45" s="11" t="s">
        <v>52</v>
      </c>
      <c r="E45" s="34">
        <v>52</v>
      </c>
      <c r="F45" s="35">
        <f>E45*2/1000</f>
        <v>0.104</v>
      </c>
      <c r="G45" s="53">
        <v>579.48</v>
      </c>
      <c r="H45" s="36">
        <f t="shared" si="12"/>
        <v>6.0265920000000001E-2</v>
      </c>
      <c r="I45" s="37">
        <v>0</v>
      </c>
      <c r="J45" s="37">
        <v>0</v>
      </c>
      <c r="K45" s="37">
        <v>0</v>
      </c>
      <c r="L45" s="37">
        <v>0</v>
      </c>
      <c r="M45" s="37">
        <f>F45/2*G45</f>
        <v>30.132960000000001</v>
      </c>
      <c r="N45" s="37">
        <v>0</v>
      </c>
      <c r="O45" s="37">
        <v>0</v>
      </c>
      <c r="P45" s="37">
        <v>0</v>
      </c>
      <c r="Q45" s="37">
        <f>F45/2*G45</f>
        <v>30.132960000000001</v>
      </c>
      <c r="R45" s="37">
        <v>0</v>
      </c>
      <c r="S45" s="37">
        <v>0</v>
      </c>
      <c r="T45" s="37">
        <v>0</v>
      </c>
      <c r="U45" s="37">
        <f t="shared" si="13"/>
        <v>60.265920000000001</v>
      </c>
    </row>
    <row r="46" spans="1:21" ht="12.75" customHeight="1">
      <c r="A46" s="160" t="s">
        <v>188</v>
      </c>
      <c r="B46" s="11" t="s">
        <v>54</v>
      </c>
      <c r="C46" s="27" t="s">
        <v>31</v>
      </c>
      <c r="D46" s="11" t="s">
        <v>52</v>
      </c>
      <c r="E46" s="34">
        <v>917.78</v>
      </c>
      <c r="F46" s="35">
        <f>SUM(E46*2/1000)</f>
        <v>1.8355599999999999</v>
      </c>
      <c r="G46" s="53">
        <v>579.48</v>
      </c>
      <c r="H46" s="36">
        <f t="shared" si="12"/>
        <v>1.0636703087999999</v>
      </c>
      <c r="I46" s="37">
        <v>0</v>
      </c>
      <c r="J46" s="37">
        <v>0</v>
      </c>
      <c r="K46" s="37">
        <v>0</v>
      </c>
      <c r="L46" s="37">
        <v>0</v>
      </c>
      <c r="M46" s="37">
        <f t="shared" ref="M46:M48" si="14">F46/2*G46</f>
        <v>531.83515439999996</v>
      </c>
      <c r="N46" s="37">
        <v>0</v>
      </c>
      <c r="O46" s="37">
        <v>0</v>
      </c>
      <c r="P46" s="37">
        <v>0</v>
      </c>
      <c r="Q46" s="37">
        <f>F46/2*G46</f>
        <v>531.83515439999996</v>
      </c>
      <c r="R46" s="37">
        <v>0</v>
      </c>
      <c r="S46" s="37">
        <v>0</v>
      </c>
      <c r="T46" s="37">
        <v>0</v>
      </c>
      <c r="U46" s="37">
        <f t="shared" si="13"/>
        <v>1063.6703087999999</v>
      </c>
    </row>
    <row r="47" spans="1:21">
      <c r="A47" s="160" t="s">
        <v>189</v>
      </c>
      <c r="B47" s="11" t="s">
        <v>55</v>
      </c>
      <c r="C47" s="27" t="s">
        <v>31</v>
      </c>
      <c r="D47" s="11" t="s">
        <v>52</v>
      </c>
      <c r="E47" s="34">
        <v>3930</v>
      </c>
      <c r="F47" s="35">
        <f>SUM(E47*2/1000)</f>
        <v>7.86</v>
      </c>
      <c r="G47" s="53">
        <v>606.77</v>
      </c>
      <c r="H47" s="36">
        <f t="shared" si="12"/>
        <v>4.7692122000000001</v>
      </c>
      <c r="I47" s="37">
        <v>0</v>
      </c>
      <c r="J47" s="37">
        <v>0</v>
      </c>
      <c r="K47" s="37">
        <v>0</v>
      </c>
      <c r="L47" s="37">
        <v>0</v>
      </c>
      <c r="M47" s="37">
        <f t="shared" si="14"/>
        <v>2384.6061</v>
      </c>
      <c r="N47" s="37">
        <v>0</v>
      </c>
      <c r="O47" s="37">
        <v>0</v>
      </c>
      <c r="P47" s="37">
        <v>0</v>
      </c>
      <c r="Q47" s="37">
        <f>F47/2*G47</f>
        <v>2384.6061</v>
      </c>
      <c r="R47" s="37">
        <v>0</v>
      </c>
      <c r="S47" s="37">
        <v>0</v>
      </c>
      <c r="T47" s="37">
        <v>0</v>
      </c>
      <c r="U47" s="37">
        <f t="shared" si="13"/>
        <v>4769.2121999999999</v>
      </c>
    </row>
    <row r="48" spans="1:21">
      <c r="A48" s="160" t="s">
        <v>190</v>
      </c>
      <c r="B48" s="11" t="s">
        <v>119</v>
      </c>
      <c r="C48" s="27" t="s">
        <v>24</v>
      </c>
      <c r="D48" s="11" t="s">
        <v>52</v>
      </c>
      <c r="E48" s="34">
        <v>142.38999999999999</v>
      </c>
      <c r="F48" s="35">
        <f>E48*2/100</f>
        <v>2.8477999999999999</v>
      </c>
      <c r="G48" s="53">
        <v>72.81</v>
      </c>
      <c r="H48" s="36">
        <f t="shared" si="12"/>
        <v>0.207348318</v>
      </c>
      <c r="I48" s="37">
        <v>0</v>
      </c>
      <c r="J48" s="37">
        <v>0</v>
      </c>
      <c r="K48" s="37">
        <v>0</v>
      </c>
      <c r="L48" s="37">
        <v>0</v>
      </c>
      <c r="M48" s="37">
        <f t="shared" si="14"/>
        <v>103.674159</v>
      </c>
      <c r="N48" s="37">
        <v>0</v>
      </c>
      <c r="O48" s="37">
        <v>0</v>
      </c>
      <c r="P48" s="37">
        <v>0</v>
      </c>
      <c r="Q48" s="37">
        <f>F48/2*G48</f>
        <v>103.674159</v>
      </c>
      <c r="R48" s="37">
        <v>0</v>
      </c>
      <c r="S48" s="37">
        <v>0</v>
      </c>
      <c r="T48" s="37">
        <v>0</v>
      </c>
      <c r="U48" s="37">
        <f t="shared" si="13"/>
        <v>207.34831800000001</v>
      </c>
    </row>
    <row r="49" spans="1:21" ht="25.5">
      <c r="A49" s="160" t="s">
        <v>191</v>
      </c>
      <c r="B49" s="11" t="s">
        <v>56</v>
      </c>
      <c r="C49" s="27" t="s">
        <v>31</v>
      </c>
      <c r="D49" s="11" t="s">
        <v>57</v>
      </c>
      <c r="E49" s="34">
        <v>1914</v>
      </c>
      <c r="F49" s="35">
        <f>SUM(E49*5/1000)</f>
        <v>9.57</v>
      </c>
      <c r="G49" s="53">
        <v>1213.55</v>
      </c>
      <c r="H49" s="36">
        <f t="shared" si="12"/>
        <v>11.613673500000001</v>
      </c>
      <c r="I49" s="37">
        <f>F49/5*G49</f>
        <v>2322.7347</v>
      </c>
      <c r="J49" s="37">
        <f>F49/5*G49</f>
        <v>2322.7347</v>
      </c>
      <c r="K49" s="37">
        <v>0</v>
      </c>
      <c r="L49" s="37">
        <f>0</f>
        <v>0</v>
      </c>
      <c r="M49" s="37">
        <f>F49/5*G49</f>
        <v>2322.7347</v>
      </c>
      <c r="N49" s="37">
        <v>0</v>
      </c>
      <c r="O49" s="37">
        <v>0</v>
      </c>
      <c r="P49" s="37">
        <v>0</v>
      </c>
      <c r="Q49" s="37">
        <f>F49/5*G49</f>
        <v>2322.7347</v>
      </c>
      <c r="R49" s="37">
        <v>0</v>
      </c>
      <c r="S49" s="37">
        <v>0</v>
      </c>
      <c r="T49" s="37">
        <f>F49/5*G49</f>
        <v>2322.7347</v>
      </c>
      <c r="U49" s="37">
        <f t="shared" si="13"/>
        <v>11613.673500000001</v>
      </c>
    </row>
    <row r="50" spans="1:21" ht="38.25" customHeight="1">
      <c r="A50" s="160" t="s">
        <v>192</v>
      </c>
      <c r="B50" s="11" t="s">
        <v>58</v>
      </c>
      <c r="C50" s="27" t="s">
        <v>31</v>
      </c>
      <c r="D50" s="11" t="s">
        <v>52</v>
      </c>
      <c r="E50" s="34">
        <v>1914</v>
      </c>
      <c r="F50" s="35">
        <f>SUM(E50*2/1000)</f>
        <v>3.8279999999999998</v>
      </c>
      <c r="G50" s="53">
        <v>1213.55</v>
      </c>
      <c r="H50" s="36">
        <f t="shared" si="12"/>
        <v>4.6454693999999996</v>
      </c>
      <c r="I50" s="37">
        <f>F50/2*G50</f>
        <v>2322.7347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f>F50/2*G50</f>
        <v>2322.7347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f t="shared" si="13"/>
        <v>4645.4694</v>
      </c>
    </row>
    <row r="51" spans="1:21" ht="25.5" customHeight="1">
      <c r="A51" s="160" t="s">
        <v>193</v>
      </c>
      <c r="B51" s="11" t="s">
        <v>59</v>
      </c>
      <c r="C51" s="27" t="s">
        <v>60</v>
      </c>
      <c r="D51" s="11" t="s">
        <v>52</v>
      </c>
      <c r="E51" s="34">
        <v>20</v>
      </c>
      <c r="F51" s="35">
        <f>SUM(E51*2/100)</f>
        <v>0.4</v>
      </c>
      <c r="G51" s="53">
        <v>2730.49</v>
      </c>
      <c r="H51" s="36">
        <f>SUM(F51*G51/1000)</f>
        <v>1.0921959999999999</v>
      </c>
      <c r="I51" s="37">
        <f>F51/2*G51</f>
        <v>546.09799999999996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f>F51/2*G51</f>
        <v>546.09799999999996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f t="shared" si="13"/>
        <v>1092.1959999999999</v>
      </c>
    </row>
    <row r="52" spans="1:21">
      <c r="A52" s="160" t="s">
        <v>194</v>
      </c>
      <c r="B52" s="11" t="s">
        <v>61</v>
      </c>
      <c r="C52" s="27" t="s">
        <v>62</v>
      </c>
      <c r="D52" s="11" t="s">
        <v>52</v>
      </c>
      <c r="E52" s="34">
        <v>1</v>
      </c>
      <c r="F52" s="35">
        <v>0.02</v>
      </c>
      <c r="G52" s="53">
        <v>5652.13</v>
      </c>
      <c r="H52" s="36">
        <f t="shared" si="12"/>
        <v>0.11304260000000001</v>
      </c>
      <c r="I52" s="37">
        <v>0</v>
      </c>
      <c r="J52" s="37">
        <v>0</v>
      </c>
      <c r="K52" s="37">
        <v>0</v>
      </c>
      <c r="L52" s="37">
        <f>F52/2*G52</f>
        <v>56.521300000000004</v>
      </c>
      <c r="M52" s="37">
        <v>0</v>
      </c>
      <c r="N52" s="37">
        <v>0</v>
      </c>
      <c r="O52" s="37">
        <v>0</v>
      </c>
      <c r="P52" s="37">
        <v>0</v>
      </c>
      <c r="Q52" s="37">
        <f>F52/2*G52</f>
        <v>56.521300000000004</v>
      </c>
      <c r="R52" s="37">
        <v>0</v>
      </c>
      <c r="S52" s="37">
        <v>0</v>
      </c>
      <c r="T52" s="37">
        <v>0</v>
      </c>
      <c r="U52" s="37">
        <f t="shared" si="13"/>
        <v>113.04260000000001</v>
      </c>
    </row>
    <row r="53" spans="1:21" ht="13.5" customHeight="1">
      <c r="A53" s="160" t="s">
        <v>64</v>
      </c>
      <c r="B53" s="11" t="s">
        <v>65</v>
      </c>
      <c r="C53" s="27" t="s">
        <v>63</v>
      </c>
      <c r="D53" s="11" t="s">
        <v>146</v>
      </c>
      <c r="E53" s="34">
        <v>120</v>
      </c>
      <c r="F53" s="35">
        <f>SUM(E53)*3</f>
        <v>360</v>
      </c>
      <c r="G53" s="54">
        <v>65.67</v>
      </c>
      <c r="H53" s="36">
        <f t="shared" si="12"/>
        <v>23.641200000000001</v>
      </c>
      <c r="I53" s="37">
        <v>0</v>
      </c>
      <c r="J53" s="37">
        <v>0</v>
      </c>
      <c r="K53" s="37">
        <v>0</v>
      </c>
      <c r="L53" s="37">
        <f>E53*G53</f>
        <v>7880.4000000000005</v>
      </c>
      <c r="M53" s="37">
        <v>0</v>
      </c>
      <c r="N53" s="37">
        <v>0</v>
      </c>
      <c r="O53" s="37">
        <v>0</v>
      </c>
      <c r="P53" s="37">
        <f>E53*G53</f>
        <v>7880.4000000000005</v>
      </c>
      <c r="Q53" s="37">
        <v>0</v>
      </c>
      <c r="R53" s="37">
        <v>0</v>
      </c>
      <c r="S53" s="37">
        <v>0</v>
      </c>
      <c r="T53" s="37">
        <f>E53*G53</f>
        <v>7880.4000000000005</v>
      </c>
      <c r="U53" s="37">
        <f t="shared" si="13"/>
        <v>23641.200000000001</v>
      </c>
    </row>
    <row r="54" spans="1:21" s="2" customFormat="1" hidden="1">
      <c r="A54" s="163"/>
      <c r="B54" s="13" t="s">
        <v>66</v>
      </c>
      <c r="C54" s="51"/>
      <c r="D54" s="11" t="s">
        <v>67</v>
      </c>
      <c r="E54" s="47"/>
      <c r="F54" s="50"/>
      <c r="G54" s="50">
        <v>5750</v>
      </c>
      <c r="H54" s="55">
        <f t="shared" si="12"/>
        <v>0</v>
      </c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37">
        <f t="shared" ref="U54" si="15">SUM(I54:P54)</f>
        <v>0</v>
      </c>
    </row>
    <row r="55" spans="1:21" s="21" customFormat="1">
      <c r="A55" s="163"/>
      <c r="B55" s="20" t="s">
        <v>28</v>
      </c>
      <c r="C55" s="56"/>
      <c r="D55" s="20"/>
      <c r="E55" s="57"/>
      <c r="F55" s="58"/>
      <c r="G55" s="58"/>
      <c r="H55" s="49">
        <f>SUM(H44:H53)</f>
        <v>48.987020402799999</v>
      </c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>
        <f>SUM(U44:U53)</f>
        <v>48987.020402800001</v>
      </c>
    </row>
    <row r="56" spans="1:21">
      <c r="A56" s="160"/>
      <c r="B56" s="77" t="s">
        <v>68</v>
      </c>
      <c r="C56" s="27"/>
      <c r="D56" s="11"/>
      <c r="E56" s="34"/>
      <c r="F56" s="35"/>
      <c r="G56" s="35"/>
      <c r="H56" s="36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25.5" hidden="1">
      <c r="A57" s="164" t="s">
        <v>70</v>
      </c>
      <c r="B57" s="11" t="s">
        <v>69</v>
      </c>
      <c r="C57" s="27" t="s">
        <v>13</v>
      </c>
      <c r="D57" s="11" t="s">
        <v>52</v>
      </c>
      <c r="E57" s="34">
        <v>946</v>
      </c>
      <c r="F57" s="35">
        <f>SUM(E57*2/100)</f>
        <v>18.920000000000002</v>
      </c>
      <c r="G57" s="53">
        <v>0</v>
      </c>
      <c r="H57" s="36">
        <f>SUM(F57*G57/1000)</f>
        <v>0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25.5" customHeight="1">
      <c r="A58" s="172" t="s">
        <v>195</v>
      </c>
      <c r="B58" s="11" t="s">
        <v>157</v>
      </c>
      <c r="C58" s="27" t="s">
        <v>13</v>
      </c>
      <c r="D58" s="11" t="s">
        <v>71</v>
      </c>
      <c r="E58" s="34">
        <v>66</v>
      </c>
      <c r="F58" s="35">
        <f>SUM(E58*6/100)</f>
        <v>3.96</v>
      </c>
      <c r="G58" s="53">
        <v>1547.28</v>
      </c>
      <c r="H58" s="36">
        <f>SUM(F58*G58/1000)</f>
        <v>6.1272288000000001</v>
      </c>
      <c r="I58" s="37">
        <f>F58/6*G58</f>
        <v>1021.2048</v>
      </c>
      <c r="J58" s="37">
        <f>F58/6*G58</f>
        <v>1021.2048</v>
      </c>
      <c r="K58" s="37">
        <f>F58/6*G58</f>
        <v>1021.2048</v>
      </c>
      <c r="L58" s="37">
        <f>F58/6*G58</f>
        <v>1021.2048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f>F58/6*G58</f>
        <v>1021.2048</v>
      </c>
      <c r="T58" s="37">
        <f>F58/6*G58</f>
        <v>1021.2048</v>
      </c>
      <c r="U58" s="37">
        <f t="shared" ref="U58:U81" si="16">SUM(I58:T58)</f>
        <v>6127.228799999999</v>
      </c>
    </row>
    <row r="59" spans="1:21" ht="12.75" customHeight="1">
      <c r="A59" s="165"/>
      <c r="B59" s="23" t="s">
        <v>72</v>
      </c>
      <c r="C59" s="60"/>
      <c r="D59" s="22"/>
      <c r="E59" s="61"/>
      <c r="F59" s="62"/>
      <c r="G59" s="53"/>
      <c r="H59" s="63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2.75" customHeight="1">
      <c r="A60" s="160" t="s">
        <v>196</v>
      </c>
      <c r="B60" s="22" t="s">
        <v>117</v>
      </c>
      <c r="C60" s="60" t="s">
        <v>24</v>
      </c>
      <c r="D60" s="22" t="s">
        <v>34</v>
      </c>
      <c r="E60" s="61">
        <v>1387</v>
      </c>
      <c r="F60" s="62">
        <f>E60/100</f>
        <v>13.87</v>
      </c>
      <c r="G60" s="53">
        <v>793.61</v>
      </c>
      <c r="H60" s="63">
        <f>F60*G60/1000</f>
        <v>11.007370699999999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f t="shared" si="16"/>
        <v>0</v>
      </c>
    </row>
    <row r="61" spans="1:21" ht="12.75" customHeight="1">
      <c r="A61" s="160"/>
      <c r="B61" s="22" t="s">
        <v>116</v>
      </c>
      <c r="C61" s="60" t="s">
        <v>73</v>
      </c>
      <c r="D61" s="22" t="s">
        <v>114</v>
      </c>
      <c r="E61" s="61">
        <v>286.8</v>
      </c>
      <c r="F61" s="64">
        <f>E61*12</f>
        <v>3441.6000000000004</v>
      </c>
      <c r="G61" s="65">
        <v>2.6</v>
      </c>
      <c r="H61" s="62">
        <f>F61*G61/1000</f>
        <v>8.9481600000000014</v>
      </c>
      <c r="I61" s="37">
        <f>F61/12*G61</f>
        <v>745.68000000000006</v>
      </c>
      <c r="J61" s="37">
        <f>F61/12*G61</f>
        <v>745.68000000000006</v>
      </c>
      <c r="K61" s="37">
        <f>F61/12*G61</f>
        <v>745.68000000000006</v>
      </c>
      <c r="L61" s="37">
        <f>F61/12*G61</f>
        <v>745.68000000000006</v>
      </c>
      <c r="M61" s="37">
        <f>F61/12*G61</f>
        <v>745.68000000000006</v>
      </c>
      <c r="N61" s="37">
        <f>F61/12*G61</f>
        <v>745.68000000000006</v>
      </c>
      <c r="O61" s="37">
        <f>F61/12*G61</f>
        <v>745.68000000000006</v>
      </c>
      <c r="P61" s="37">
        <f>F61/12*G61</f>
        <v>745.68000000000006</v>
      </c>
      <c r="Q61" s="37">
        <f>F61/12*G61</f>
        <v>745.68000000000006</v>
      </c>
      <c r="R61" s="37">
        <f>F61/12*G61</f>
        <v>745.68000000000006</v>
      </c>
      <c r="S61" s="37">
        <f>F61/12*G61</f>
        <v>745.68000000000006</v>
      </c>
      <c r="T61" s="37">
        <f>F61/12*G61</f>
        <v>745.68000000000006</v>
      </c>
      <c r="U61" s="37">
        <f t="shared" si="16"/>
        <v>8948.1600000000017</v>
      </c>
    </row>
    <row r="62" spans="1:21" ht="12.75" customHeight="1">
      <c r="A62" s="165"/>
      <c r="B62" s="23" t="s">
        <v>212</v>
      </c>
      <c r="C62" s="60"/>
      <c r="D62" s="22"/>
      <c r="E62" s="61"/>
      <c r="F62" s="64"/>
      <c r="G62" s="64"/>
      <c r="H62" s="62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2.75" customHeight="1">
      <c r="A63" s="165" t="s">
        <v>210</v>
      </c>
      <c r="B63" s="22" t="s">
        <v>213</v>
      </c>
      <c r="C63" s="60" t="s">
        <v>63</v>
      </c>
      <c r="D63" s="22" t="s">
        <v>34</v>
      </c>
      <c r="E63" s="61">
        <v>4</v>
      </c>
      <c r="F63" s="64">
        <v>4</v>
      </c>
      <c r="G63" s="64">
        <v>237.75</v>
      </c>
      <c r="H63" s="62">
        <f t="shared" ref="H63" si="17">F63*G63/1000</f>
        <v>0.95099999999999996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f>G63</f>
        <v>237.75</v>
      </c>
      <c r="T63" s="37">
        <v>0</v>
      </c>
      <c r="U63" s="37">
        <f t="shared" si="16"/>
        <v>237.75</v>
      </c>
    </row>
    <row r="64" spans="1:21">
      <c r="A64" s="165"/>
      <c r="B64" s="15" t="s">
        <v>74</v>
      </c>
      <c r="C64" s="60"/>
      <c r="D64" s="22"/>
      <c r="E64" s="61"/>
      <c r="F64" s="64"/>
      <c r="G64" s="64"/>
      <c r="H64" s="62" t="s">
        <v>46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2" customHeight="1">
      <c r="A65" s="66" t="s">
        <v>197</v>
      </c>
      <c r="B65" s="16" t="s">
        <v>75</v>
      </c>
      <c r="C65" s="66" t="s">
        <v>63</v>
      </c>
      <c r="D65" s="9" t="s">
        <v>42</v>
      </c>
      <c r="E65" s="67">
        <v>10</v>
      </c>
      <c r="F65" s="35">
        <v>10</v>
      </c>
      <c r="G65" s="53">
        <v>222.4</v>
      </c>
      <c r="H65" s="144">
        <f t="shared" ref="H65:H78" si="18">SUM(F65*G65/1000)</f>
        <v>2.2240000000000002</v>
      </c>
      <c r="I65" s="37">
        <f>G65*2</f>
        <v>444.8</v>
      </c>
      <c r="J65" s="37">
        <f>G65*2</f>
        <v>444.8</v>
      </c>
      <c r="K65" s="37">
        <v>0</v>
      </c>
      <c r="L65" s="37">
        <v>0</v>
      </c>
      <c r="M65" s="37">
        <v>0</v>
      </c>
      <c r="N65" s="37">
        <v>0</v>
      </c>
      <c r="O65" s="37">
        <f>G65*10</f>
        <v>2224</v>
      </c>
      <c r="P65" s="37">
        <f>G65</f>
        <v>222.4</v>
      </c>
      <c r="Q65" s="37">
        <f>G65*2</f>
        <v>444.8</v>
      </c>
      <c r="R65" s="37">
        <f>G65*2</f>
        <v>444.8</v>
      </c>
      <c r="S65" s="37">
        <f>0</f>
        <v>0</v>
      </c>
      <c r="T65" s="37">
        <f>0</f>
        <v>0</v>
      </c>
      <c r="U65" s="37">
        <f t="shared" si="16"/>
        <v>4225.6000000000004</v>
      </c>
    </row>
    <row r="66" spans="1:21" ht="12.75" customHeight="1">
      <c r="A66" s="66" t="s">
        <v>198</v>
      </c>
      <c r="B66" s="16" t="s">
        <v>76</v>
      </c>
      <c r="C66" s="66" t="s">
        <v>63</v>
      </c>
      <c r="D66" s="9" t="s">
        <v>42</v>
      </c>
      <c r="E66" s="67">
        <v>5</v>
      </c>
      <c r="F66" s="35">
        <v>5</v>
      </c>
      <c r="G66" s="53">
        <v>76.25</v>
      </c>
      <c r="H66" s="144">
        <f t="shared" si="18"/>
        <v>0.38124999999999998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f t="shared" si="16"/>
        <v>0</v>
      </c>
    </row>
    <row r="67" spans="1:21" s="2" customFormat="1">
      <c r="A67" s="68" t="s">
        <v>199</v>
      </c>
      <c r="B67" s="16" t="s">
        <v>77</v>
      </c>
      <c r="C67" s="68" t="s">
        <v>78</v>
      </c>
      <c r="D67" s="9" t="s">
        <v>34</v>
      </c>
      <c r="E67" s="34">
        <v>19138</v>
      </c>
      <c r="F67" s="54">
        <f>SUM(E67/100)</f>
        <v>191.38</v>
      </c>
      <c r="G67" s="53">
        <v>212.15</v>
      </c>
      <c r="H67" s="144">
        <f t="shared" si="18"/>
        <v>40.601267</v>
      </c>
      <c r="I67" s="52">
        <v>0</v>
      </c>
      <c r="J67" s="37">
        <v>0</v>
      </c>
      <c r="K67" s="52">
        <v>0</v>
      </c>
      <c r="L67" s="52">
        <v>0</v>
      </c>
      <c r="M67" s="52">
        <f>F67*G67</f>
        <v>40601.267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37">
        <f t="shared" si="16"/>
        <v>40601.267</v>
      </c>
    </row>
    <row r="68" spans="1:21" ht="12.75" customHeight="1">
      <c r="A68" s="66" t="s">
        <v>200</v>
      </c>
      <c r="B68" s="16" t="s">
        <v>79</v>
      </c>
      <c r="C68" s="66" t="s">
        <v>80</v>
      </c>
      <c r="D68" s="9"/>
      <c r="E68" s="34">
        <v>19138</v>
      </c>
      <c r="F68" s="53">
        <f>SUM(E68/1000)</f>
        <v>19.138000000000002</v>
      </c>
      <c r="G68" s="53">
        <v>165.21</v>
      </c>
      <c r="H68" s="144">
        <f t="shared" si="18"/>
        <v>3.1617889800000003</v>
      </c>
      <c r="I68" s="37">
        <v>0</v>
      </c>
      <c r="J68" s="37">
        <v>0</v>
      </c>
      <c r="K68" s="37">
        <v>0</v>
      </c>
      <c r="L68" s="37">
        <v>0</v>
      </c>
      <c r="M68" s="37">
        <f>F68*G68</f>
        <v>3161.7889800000003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f t="shared" si="16"/>
        <v>3161.7889800000003</v>
      </c>
    </row>
    <row r="69" spans="1:21">
      <c r="A69" s="66" t="s">
        <v>201</v>
      </c>
      <c r="B69" s="16" t="s">
        <v>81</v>
      </c>
      <c r="C69" s="66" t="s">
        <v>82</v>
      </c>
      <c r="D69" s="9" t="s">
        <v>34</v>
      </c>
      <c r="E69" s="34">
        <v>2730</v>
      </c>
      <c r="F69" s="53">
        <f>SUM(E69/100)</f>
        <v>27.3</v>
      </c>
      <c r="G69" s="53">
        <v>2074.63</v>
      </c>
      <c r="H69" s="144">
        <f t="shared" si="18"/>
        <v>56.637399000000002</v>
      </c>
      <c r="I69" s="37">
        <v>0</v>
      </c>
      <c r="J69" s="37">
        <v>0</v>
      </c>
      <c r="K69" s="37">
        <v>0</v>
      </c>
      <c r="L69" s="37">
        <v>0</v>
      </c>
      <c r="M69" s="37">
        <f>F69*G69</f>
        <v>56637.399000000005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f t="shared" si="16"/>
        <v>56637.399000000005</v>
      </c>
    </row>
    <row r="70" spans="1:21">
      <c r="A70" s="66"/>
      <c r="B70" s="17" t="s">
        <v>108</v>
      </c>
      <c r="C70" s="66" t="s">
        <v>39</v>
      </c>
      <c r="D70" s="9"/>
      <c r="E70" s="34">
        <v>13</v>
      </c>
      <c r="F70" s="53">
        <f>SUM(E70)</f>
        <v>13</v>
      </c>
      <c r="G70" s="53">
        <v>45.32</v>
      </c>
      <c r="H70" s="144">
        <f t="shared" si="18"/>
        <v>0.58916000000000002</v>
      </c>
      <c r="I70" s="37">
        <v>0</v>
      </c>
      <c r="J70" s="37">
        <v>0</v>
      </c>
      <c r="K70" s="37">
        <v>0</v>
      </c>
      <c r="L70" s="37">
        <v>0</v>
      </c>
      <c r="M70" s="37">
        <f>F70*G70</f>
        <v>589.16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f t="shared" si="16"/>
        <v>589.16</v>
      </c>
    </row>
    <row r="71" spans="1:21" ht="12.75" customHeight="1">
      <c r="A71" s="166"/>
      <c r="B71" s="17" t="s">
        <v>109</v>
      </c>
      <c r="C71" s="66" t="s">
        <v>39</v>
      </c>
      <c r="D71" s="9"/>
      <c r="E71" s="34">
        <v>13</v>
      </c>
      <c r="F71" s="53">
        <f>SUM(E71)</f>
        <v>13</v>
      </c>
      <c r="G71" s="53">
        <v>42.28</v>
      </c>
      <c r="H71" s="144">
        <f t="shared" si="18"/>
        <v>0.54964000000000002</v>
      </c>
      <c r="I71" s="37">
        <v>0</v>
      </c>
      <c r="J71" s="37">
        <v>0</v>
      </c>
      <c r="K71" s="37">
        <v>0</v>
      </c>
      <c r="L71" s="37">
        <v>0</v>
      </c>
      <c r="M71" s="37">
        <f>F71*G71</f>
        <v>549.64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f t="shared" si="16"/>
        <v>549.64</v>
      </c>
    </row>
    <row r="72" spans="1:21">
      <c r="A72" s="66" t="s">
        <v>202</v>
      </c>
      <c r="B72" s="9" t="s">
        <v>83</v>
      </c>
      <c r="C72" s="66" t="s">
        <v>84</v>
      </c>
      <c r="D72" s="9" t="s">
        <v>34</v>
      </c>
      <c r="E72" s="67">
        <v>8</v>
      </c>
      <c r="F72" s="35">
        <v>8</v>
      </c>
      <c r="G72" s="53">
        <v>49.88</v>
      </c>
      <c r="H72" s="144">
        <f t="shared" si="18"/>
        <v>0.39904000000000001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f>F72*G72</f>
        <v>399.04</v>
      </c>
      <c r="R72" s="37">
        <v>0</v>
      </c>
      <c r="S72" s="37">
        <v>0</v>
      </c>
      <c r="T72" s="37">
        <v>0</v>
      </c>
      <c r="U72" s="37">
        <f t="shared" si="16"/>
        <v>399.04</v>
      </c>
    </row>
    <row r="73" spans="1:21">
      <c r="A73" s="166"/>
      <c r="B73" s="18" t="s">
        <v>85</v>
      </c>
      <c r="C73" s="66"/>
      <c r="D73" s="9"/>
      <c r="E73" s="67"/>
      <c r="F73" s="53"/>
      <c r="G73" s="53"/>
      <c r="H73" s="144" t="s">
        <v>46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>
      <c r="A74" s="66" t="s">
        <v>203</v>
      </c>
      <c r="B74" s="9" t="s">
        <v>86</v>
      </c>
      <c r="C74" s="66" t="s">
        <v>87</v>
      </c>
      <c r="D74" s="9"/>
      <c r="E74" s="67">
        <v>4</v>
      </c>
      <c r="F74" s="53">
        <v>0.4</v>
      </c>
      <c r="G74" s="53">
        <v>501.62</v>
      </c>
      <c r="H74" s="144">
        <f t="shared" si="18"/>
        <v>0.20064800000000002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f>G74*0.1</f>
        <v>50.162000000000006</v>
      </c>
      <c r="T74" s="37">
        <v>0</v>
      </c>
      <c r="U74" s="37">
        <f t="shared" si="16"/>
        <v>50.162000000000006</v>
      </c>
    </row>
    <row r="75" spans="1:21">
      <c r="A75" s="66" t="s">
        <v>204</v>
      </c>
      <c r="B75" s="9" t="s">
        <v>110</v>
      </c>
      <c r="C75" s="66" t="s">
        <v>36</v>
      </c>
      <c r="D75" s="9"/>
      <c r="E75" s="67">
        <v>1</v>
      </c>
      <c r="F75" s="65">
        <v>1</v>
      </c>
      <c r="G75" s="53">
        <v>852.99</v>
      </c>
      <c r="H75" s="144">
        <f>F75*G75/1000</f>
        <v>0.85299000000000003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f t="shared" si="16"/>
        <v>0</v>
      </c>
    </row>
    <row r="76" spans="1:21">
      <c r="A76" s="66" t="s">
        <v>205</v>
      </c>
      <c r="B76" s="9" t="s">
        <v>112</v>
      </c>
      <c r="C76" s="66" t="s">
        <v>36</v>
      </c>
      <c r="D76" s="9"/>
      <c r="E76" s="67">
        <v>1</v>
      </c>
      <c r="F76" s="53">
        <v>1</v>
      </c>
      <c r="G76" s="53">
        <v>358.51</v>
      </c>
      <c r="H76" s="144">
        <f>G76*F76/1000</f>
        <v>0.35851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f t="shared" si="16"/>
        <v>0</v>
      </c>
    </row>
    <row r="77" spans="1:21">
      <c r="A77" s="166"/>
      <c r="B77" s="70" t="s">
        <v>88</v>
      </c>
      <c r="C77" s="66"/>
      <c r="D77" s="9"/>
      <c r="E77" s="67"/>
      <c r="F77" s="53"/>
      <c r="G77" s="53" t="s">
        <v>46</v>
      </c>
      <c r="H77" s="144" t="s">
        <v>46</v>
      </c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s="2" customFormat="1">
      <c r="A78" s="68" t="s">
        <v>89</v>
      </c>
      <c r="B78" s="71" t="s">
        <v>90</v>
      </c>
      <c r="C78" s="68" t="s">
        <v>82</v>
      </c>
      <c r="D78" s="16"/>
      <c r="E78" s="72"/>
      <c r="F78" s="54">
        <v>0.1</v>
      </c>
      <c r="G78" s="54">
        <v>2759.44</v>
      </c>
      <c r="H78" s="144">
        <f t="shared" si="18"/>
        <v>0.27594400000000002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37">
        <f t="shared" si="16"/>
        <v>0</v>
      </c>
    </row>
    <row r="79" spans="1:21" s="21" customFormat="1">
      <c r="A79" s="167"/>
      <c r="B79" s="20" t="s">
        <v>28</v>
      </c>
      <c r="C79" s="73"/>
      <c r="D79" s="74"/>
      <c r="E79" s="75"/>
      <c r="F79" s="59"/>
      <c r="G79" s="59"/>
      <c r="H79" s="76">
        <f>SUM(H58:H78)</f>
        <v>133.26539648000002</v>
      </c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>
        <f>SUM(U58:U78)</f>
        <v>121527.19577999999</v>
      </c>
    </row>
    <row r="80" spans="1:21">
      <c r="A80" s="168" t="s">
        <v>149</v>
      </c>
      <c r="B80" s="11" t="s">
        <v>150</v>
      </c>
      <c r="C80" s="78"/>
      <c r="D80" s="79"/>
      <c r="E80" s="150"/>
      <c r="F80" s="80">
        <v>1</v>
      </c>
      <c r="G80" s="81">
        <v>14584.4</v>
      </c>
      <c r="H80" s="144">
        <f>G80*F80/1000</f>
        <v>14.5844</v>
      </c>
      <c r="I80" s="37">
        <v>0</v>
      </c>
      <c r="J80" s="37">
        <v>0</v>
      </c>
      <c r="K80" s="37">
        <v>0</v>
      </c>
      <c r="L80" s="37">
        <v>0</v>
      </c>
      <c r="M80" s="38">
        <v>0</v>
      </c>
      <c r="N80" s="37">
        <v>0</v>
      </c>
      <c r="O80" s="37">
        <v>0</v>
      </c>
      <c r="P80" s="37">
        <v>0</v>
      </c>
      <c r="Q80" s="37">
        <v>0</v>
      </c>
      <c r="R80" s="37">
        <v>2083.4</v>
      </c>
      <c r="S80" s="37">
        <v>0</v>
      </c>
      <c r="T80" s="37">
        <v>0</v>
      </c>
      <c r="U80" s="37">
        <f t="shared" si="16"/>
        <v>2083.4</v>
      </c>
    </row>
    <row r="81" spans="1:26" ht="12.75" customHeight="1">
      <c r="A81" s="66"/>
      <c r="B81" s="77" t="s">
        <v>91</v>
      </c>
      <c r="C81" s="66" t="s">
        <v>92</v>
      </c>
      <c r="D81" s="82"/>
      <c r="E81" s="53">
        <v>5367.6</v>
      </c>
      <c r="F81" s="53">
        <f>SUM(E81*12)</f>
        <v>64411.200000000004</v>
      </c>
      <c r="G81" s="83">
        <v>2.1</v>
      </c>
      <c r="H81" s="144">
        <f>SUM(F81*G81/1000)</f>
        <v>135.26352000000003</v>
      </c>
      <c r="I81" s="37">
        <f>F81/12*G81</f>
        <v>11271.960000000001</v>
      </c>
      <c r="J81" s="37">
        <f>F81/12*G81</f>
        <v>11271.960000000001</v>
      </c>
      <c r="K81" s="37">
        <f>F81/12*G81</f>
        <v>11271.960000000001</v>
      </c>
      <c r="L81" s="37">
        <f>F81/12*G81</f>
        <v>11271.960000000001</v>
      </c>
      <c r="M81" s="37">
        <f>F81/12*G81</f>
        <v>11271.960000000001</v>
      </c>
      <c r="N81" s="37">
        <f>F81/12*G81</f>
        <v>11271.960000000001</v>
      </c>
      <c r="O81" s="37">
        <f>F81/12*G81</f>
        <v>11271.960000000001</v>
      </c>
      <c r="P81" s="37">
        <f>F81/12*G81</f>
        <v>11271.960000000001</v>
      </c>
      <c r="Q81" s="37">
        <f>F81/12*G81</f>
        <v>11271.960000000001</v>
      </c>
      <c r="R81" s="37">
        <f>F81/12*G81</f>
        <v>11271.960000000001</v>
      </c>
      <c r="S81" s="37">
        <f>F81/12*G81</f>
        <v>11271.960000000001</v>
      </c>
      <c r="T81" s="37">
        <f>F81/12*G81</f>
        <v>11271.960000000001</v>
      </c>
      <c r="U81" s="37">
        <f t="shared" si="16"/>
        <v>135263.52000000005</v>
      </c>
    </row>
    <row r="82" spans="1:26" hidden="1">
      <c r="A82" s="84"/>
      <c r="B82" s="9" t="s">
        <v>93</v>
      </c>
      <c r="C82" s="60" t="s">
        <v>13</v>
      </c>
      <c r="D82" s="9"/>
      <c r="E82" s="67">
        <v>30</v>
      </c>
      <c r="F82" s="53">
        <f>E82/100</f>
        <v>0.3</v>
      </c>
      <c r="G82" s="53">
        <v>0</v>
      </c>
      <c r="H82" s="144">
        <f>F82*G82/1000</f>
        <v>0</v>
      </c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>
        <f t="shared" ref="U82" si="19">SUM(I82:M82)</f>
        <v>0</v>
      </c>
    </row>
    <row r="83" spans="1:26" s="19" customFormat="1">
      <c r="A83" s="84"/>
      <c r="B83" s="20" t="s">
        <v>28</v>
      </c>
      <c r="C83" s="85"/>
      <c r="D83" s="86"/>
      <c r="E83" s="87"/>
      <c r="F83" s="44"/>
      <c r="G83" s="88"/>
      <c r="H83" s="45">
        <f>SUM(H80:H82)</f>
        <v>149.84792000000002</v>
      </c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>
        <f>SUM(U80:U82)</f>
        <v>137346.92000000004</v>
      </c>
    </row>
    <row r="84" spans="1:26" ht="25.5" customHeight="1">
      <c r="A84" s="89"/>
      <c r="B84" s="9" t="s">
        <v>94</v>
      </c>
      <c r="C84" s="66"/>
      <c r="D84" s="90"/>
      <c r="E84" s="34">
        <f>E81</f>
        <v>5367.6</v>
      </c>
      <c r="F84" s="53">
        <f>E84*12</f>
        <v>64411.200000000004</v>
      </c>
      <c r="G84" s="53">
        <v>1.63</v>
      </c>
      <c r="H84" s="144">
        <f>F84*G84/1000</f>
        <v>104.99025599999999</v>
      </c>
      <c r="I84" s="37">
        <f>F84/12*G84</f>
        <v>8749.1880000000001</v>
      </c>
      <c r="J84" s="37">
        <f>F84/12*G84</f>
        <v>8749.1880000000001</v>
      </c>
      <c r="K84" s="37">
        <f>F84/12*G84</f>
        <v>8749.1880000000001</v>
      </c>
      <c r="L84" s="37">
        <f>F84/12*G84</f>
        <v>8749.1880000000001</v>
      </c>
      <c r="M84" s="37">
        <f>F84/12*G84</f>
        <v>8749.1880000000001</v>
      </c>
      <c r="N84" s="37">
        <f>F84/12*G84</f>
        <v>8749.1880000000001</v>
      </c>
      <c r="O84" s="37">
        <f>F84/12*G84</f>
        <v>8749.1880000000001</v>
      </c>
      <c r="P84" s="37">
        <f>F84/12*G84</f>
        <v>8749.1880000000001</v>
      </c>
      <c r="Q84" s="37">
        <f>F84/12*G84</f>
        <v>8749.1880000000001</v>
      </c>
      <c r="R84" s="37">
        <f>F84/12*G84</f>
        <v>8749.1880000000001</v>
      </c>
      <c r="S84" s="37">
        <f>F84/12*G84</f>
        <v>8749.1880000000001</v>
      </c>
      <c r="T84" s="37">
        <f>F84/12*G84</f>
        <v>8749.1880000000001</v>
      </c>
      <c r="U84" s="37">
        <f t="shared" ref="U84" si="20">SUM(I84:T84)</f>
        <v>104990.25599999998</v>
      </c>
    </row>
    <row r="85" spans="1:26" s="19" customFormat="1">
      <c r="A85" s="84"/>
      <c r="B85" s="91" t="s">
        <v>95</v>
      </c>
      <c r="C85" s="92"/>
      <c r="D85" s="91"/>
      <c r="E85" s="44"/>
      <c r="F85" s="44"/>
      <c r="G85" s="44"/>
      <c r="H85" s="76">
        <f>H84</f>
        <v>104.99025599999999</v>
      </c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146">
        <f>U84</f>
        <v>104990.25599999998</v>
      </c>
    </row>
    <row r="86" spans="1:26" s="19" customFormat="1">
      <c r="A86" s="84"/>
      <c r="B86" s="91" t="s">
        <v>96</v>
      </c>
      <c r="C86" s="93"/>
      <c r="D86" s="94"/>
      <c r="E86" s="95"/>
      <c r="F86" s="95"/>
      <c r="G86" s="95"/>
      <c r="H86" s="76">
        <f>SUM(H85+H83+H79+H55+H42+H34+H22)</f>
        <v>856.27858188413336</v>
      </c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146">
        <f>SUM(U85+U83+U79+U55+U42+U34+U22)*1.054</f>
        <v>873741.93121450068</v>
      </c>
    </row>
    <row r="87" spans="1:26" s="143" customFormat="1" ht="51" customHeight="1">
      <c r="A87" s="169"/>
      <c r="B87" s="70"/>
      <c r="C87" s="66"/>
      <c r="D87" s="90"/>
      <c r="E87" s="53"/>
      <c r="F87" s="53"/>
      <c r="G87" s="53"/>
      <c r="H87" s="142"/>
      <c r="I87" s="53"/>
      <c r="J87" s="53"/>
      <c r="K87" s="53"/>
      <c r="L87" s="53"/>
      <c r="M87" s="53"/>
      <c r="N87" s="53"/>
      <c r="O87" s="53"/>
      <c r="P87" s="53"/>
      <c r="Q87" s="53"/>
      <c r="R87" s="151"/>
      <c r="S87" s="151"/>
      <c r="T87" s="151"/>
      <c r="U87" s="152" t="s">
        <v>215</v>
      </c>
      <c r="W87" s="206"/>
      <c r="X87" s="206"/>
      <c r="Y87" s="206"/>
      <c r="Z87" s="206"/>
    </row>
    <row r="88" spans="1:26">
      <c r="A88" s="89"/>
      <c r="B88" s="90" t="s">
        <v>97</v>
      </c>
      <c r="C88" s="66"/>
      <c r="D88" s="90"/>
      <c r="E88" s="53"/>
      <c r="F88" s="53"/>
      <c r="G88" s="53" t="s">
        <v>98</v>
      </c>
      <c r="H88" s="96">
        <f>E84</f>
        <v>5367.6</v>
      </c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W88" s="206"/>
      <c r="X88" s="206"/>
      <c r="Y88" s="206"/>
      <c r="Z88" s="206"/>
    </row>
    <row r="89" spans="1:26" s="19" customFormat="1">
      <c r="A89" s="84"/>
      <c r="B89" s="94" t="s">
        <v>99</v>
      </c>
      <c r="C89" s="93"/>
      <c r="D89" s="94"/>
      <c r="E89" s="95"/>
      <c r="F89" s="95"/>
      <c r="G89" s="95"/>
      <c r="H89" s="97">
        <f>SUM(H86/H88/12*1000)</f>
        <v>13.293939282052396</v>
      </c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147"/>
    </row>
    <row r="90" spans="1:26">
      <c r="A90" s="98"/>
      <c r="B90" s="90"/>
      <c r="C90" s="66"/>
      <c r="D90" s="90"/>
      <c r="E90" s="53"/>
      <c r="F90" s="53"/>
      <c r="G90" s="53"/>
      <c r="H90" s="99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148"/>
    </row>
    <row r="91" spans="1:26">
      <c r="A91" s="166"/>
      <c r="B91" s="70" t="s">
        <v>100</v>
      </c>
      <c r="C91" s="66"/>
      <c r="D91" s="90"/>
      <c r="E91" s="53"/>
      <c r="F91" s="53"/>
      <c r="G91" s="53"/>
      <c r="H91" s="53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6" ht="25.5">
      <c r="A92" s="153" t="s">
        <v>206</v>
      </c>
      <c r="B92" s="154" t="s">
        <v>133</v>
      </c>
      <c r="C92" s="153" t="s">
        <v>63</v>
      </c>
      <c r="D92" s="90"/>
      <c r="E92" s="53"/>
      <c r="F92" s="53">
        <v>732</v>
      </c>
      <c r="G92" s="53">
        <v>53.42</v>
      </c>
      <c r="H92" s="144">
        <f t="shared" ref="H92" si="21">G92*F92/1000</f>
        <v>39.103439999999999</v>
      </c>
      <c r="I92" s="37">
        <f>G92*61</f>
        <v>3258.62</v>
      </c>
      <c r="J92" s="37">
        <f>G92*61</f>
        <v>3258.62</v>
      </c>
      <c r="K92" s="37">
        <f>G92*61</f>
        <v>3258.62</v>
      </c>
      <c r="L92" s="37">
        <f>G92*61</f>
        <v>3258.62</v>
      </c>
      <c r="M92" s="37">
        <f>G92*61</f>
        <v>3258.62</v>
      </c>
      <c r="N92" s="37">
        <f>G92*61</f>
        <v>3258.62</v>
      </c>
      <c r="O92" s="37">
        <f>G92*61</f>
        <v>3258.62</v>
      </c>
      <c r="P92" s="37">
        <f>G92*61</f>
        <v>3258.62</v>
      </c>
      <c r="Q92" s="37">
        <f>G92*61</f>
        <v>3258.62</v>
      </c>
      <c r="R92" s="37">
        <f>G92*61</f>
        <v>3258.62</v>
      </c>
      <c r="S92" s="37">
        <f>G92*61</f>
        <v>3258.62</v>
      </c>
      <c r="T92" s="37">
        <f>G92*61</f>
        <v>3258.62</v>
      </c>
      <c r="U92" s="37">
        <f t="shared" ref="U92:U108" si="22">SUM(I92:T92)</f>
        <v>39103.439999999995</v>
      </c>
    </row>
    <row r="93" spans="1:26" ht="25.5">
      <c r="A93" s="173" t="s">
        <v>192</v>
      </c>
      <c r="B93" s="174" t="s">
        <v>220</v>
      </c>
      <c r="C93" s="173" t="s">
        <v>49</v>
      </c>
      <c r="D93" s="9"/>
      <c r="E93" s="67"/>
      <c r="F93" s="175">
        <v>2E-3</v>
      </c>
      <c r="G93" s="53">
        <v>1591.6</v>
      </c>
      <c r="H93" s="176">
        <f>G93*F93/1000</f>
        <v>3.1831999999999997E-3</v>
      </c>
      <c r="I93" s="37">
        <v>0</v>
      </c>
      <c r="J93" s="37">
        <f>G93*0.001</f>
        <v>1.5915999999999999</v>
      </c>
      <c r="K93" s="37">
        <f>G93*0.001</f>
        <v>1.5915999999999999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f t="shared" si="22"/>
        <v>3.1831999999999998</v>
      </c>
    </row>
    <row r="94" spans="1:26">
      <c r="A94" s="177" t="s">
        <v>221</v>
      </c>
      <c r="B94" s="178" t="s">
        <v>222</v>
      </c>
      <c r="C94" s="179" t="s">
        <v>63</v>
      </c>
      <c r="D94" s="22"/>
      <c r="E94" s="61"/>
      <c r="F94" s="64">
        <v>2</v>
      </c>
      <c r="G94" s="180">
        <v>86.15</v>
      </c>
      <c r="H94" s="144">
        <f t="shared" ref="H94:H106" si="23">G94*F94/1000</f>
        <v>0.17230000000000001</v>
      </c>
      <c r="I94" s="37">
        <v>0</v>
      </c>
      <c r="J94" s="37">
        <f>G94</f>
        <v>86.15</v>
      </c>
      <c r="K94" s="37">
        <v>0</v>
      </c>
      <c r="L94" s="37">
        <v>0</v>
      </c>
      <c r="M94" s="37">
        <v>0</v>
      </c>
      <c r="N94" s="37">
        <v>0</v>
      </c>
      <c r="O94" s="37">
        <f>G94</f>
        <v>86.15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f t="shared" si="22"/>
        <v>172.3</v>
      </c>
    </row>
    <row r="95" spans="1:26" ht="25.5">
      <c r="A95" s="173" t="s">
        <v>223</v>
      </c>
      <c r="B95" s="174" t="s">
        <v>224</v>
      </c>
      <c r="C95" s="173" t="s">
        <v>209</v>
      </c>
      <c r="D95" s="90"/>
      <c r="E95" s="53"/>
      <c r="F95" s="53">
        <v>8</v>
      </c>
      <c r="G95" s="53">
        <v>1046.06</v>
      </c>
      <c r="H95" s="144">
        <f t="shared" si="23"/>
        <v>8.3684799999999999</v>
      </c>
      <c r="I95" s="181">
        <v>0</v>
      </c>
      <c r="J95" s="181">
        <v>0</v>
      </c>
      <c r="K95" s="181">
        <f>G95</f>
        <v>1046.06</v>
      </c>
      <c r="L95" s="181">
        <v>0</v>
      </c>
      <c r="M95" s="181">
        <v>0</v>
      </c>
      <c r="N95" s="181">
        <v>0</v>
      </c>
      <c r="O95" s="181">
        <v>0</v>
      </c>
      <c r="P95" s="181">
        <v>0</v>
      </c>
      <c r="Q95" s="37">
        <v>0</v>
      </c>
      <c r="R95" s="37">
        <f>G95*7</f>
        <v>7322.42</v>
      </c>
      <c r="S95" s="37">
        <v>0</v>
      </c>
      <c r="T95" s="37">
        <v>0</v>
      </c>
      <c r="U95" s="37">
        <f t="shared" si="22"/>
        <v>8368.48</v>
      </c>
    </row>
    <row r="96" spans="1:26" ht="12.75" customHeight="1">
      <c r="A96" s="182" t="s">
        <v>225</v>
      </c>
      <c r="B96" s="183" t="s">
        <v>226</v>
      </c>
      <c r="C96" s="153" t="s">
        <v>63</v>
      </c>
      <c r="D96" s="184"/>
      <c r="E96" s="185"/>
      <c r="F96" s="185">
        <v>1</v>
      </c>
      <c r="G96" s="185">
        <v>189.67</v>
      </c>
      <c r="H96" s="186">
        <f t="shared" si="23"/>
        <v>0.18966999999999998</v>
      </c>
      <c r="I96" s="37">
        <v>0</v>
      </c>
      <c r="J96" s="37">
        <v>0</v>
      </c>
      <c r="K96" s="37">
        <f>G96</f>
        <v>189.67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f t="shared" si="22"/>
        <v>189.67</v>
      </c>
    </row>
    <row r="97" spans="1:25" ht="12.75" customHeight="1">
      <c r="A97" s="187" t="s">
        <v>229</v>
      </c>
      <c r="B97" s="188" t="s">
        <v>228</v>
      </c>
      <c r="C97" s="189" t="s">
        <v>227</v>
      </c>
      <c r="D97" s="184"/>
      <c r="E97" s="185"/>
      <c r="F97" s="185">
        <f>4/10</f>
        <v>0.4</v>
      </c>
      <c r="G97" s="185">
        <v>381.08</v>
      </c>
      <c r="H97" s="186">
        <f t="shared" si="23"/>
        <v>0.15243199999999998</v>
      </c>
      <c r="I97" s="37">
        <v>0</v>
      </c>
      <c r="J97" s="37">
        <v>0</v>
      </c>
      <c r="K97" s="37">
        <f>G97*0.4</f>
        <v>152.43199999999999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f t="shared" si="22"/>
        <v>152.43199999999999</v>
      </c>
    </row>
    <row r="98" spans="1:25" ht="25.5" customHeight="1">
      <c r="A98" s="190" t="s">
        <v>230</v>
      </c>
      <c r="B98" s="174" t="s">
        <v>231</v>
      </c>
      <c r="C98" s="173" t="s">
        <v>63</v>
      </c>
      <c r="D98" s="184"/>
      <c r="E98" s="185"/>
      <c r="F98" s="185">
        <v>1</v>
      </c>
      <c r="G98" s="185">
        <v>193.62</v>
      </c>
      <c r="H98" s="186">
        <f t="shared" si="23"/>
        <v>0.19362000000000001</v>
      </c>
      <c r="I98" s="37">
        <v>0</v>
      </c>
      <c r="J98" s="37">
        <v>0</v>
      </c>
      <c r="K98" s="37">
        <f>G98</f>
        <v>193.62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>
        <f t="shared" si="22"/>
        <v>193.62</v>
      </c>
    </row>
    <row r="99" spans="1:25" ht="25.5" customHeight="1">
      <c r="A99" s="191" t="s">
        <v>234</v>
      </c>
      <c r="B99" s="192" t="s">
        <v>236</v>
      </c>
      <c r="C99" s="193" t="s">
        <v>63</v>
      </c>
      <c r="D99" s="90"/>
      <c r="E99" s="53"/>
      <c r="F99" s="53">
        <v>2</v>
      </c>
      <c r="G99" s="53">
        <v>715.08</v>
      </c>
      <c r="H99" s="186">
        <f t="shared" ref="H99:H100" si="24">F99*G99/1000</f>
        <v>1.4301600000000001</v>
      </c>
      <c r="I99" s="37">
        <v>0</v>
      </c>
      <c r="J99" s="37">
        <v>0</v>
      </c>
      <c r="K99" s="37">
        <f>G99*2</f>
        <v>1430.16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f t="shared" si="22"/>
        <v>1430.16</v>
      </c>
    </row>
    <row r="100" spans="1:25" ht="38.25">
      <c r="A100" s="191" t="s">
        <v>234</v>
      </c>
      <c r="B100" s="192" t="s">
        <v>235</v>
      </c>
      <c r="C100" s="193" t="s">
        <v>63</v>
      </c>
      <c r="D100" s="90"/>
      <c r="E100" s="53"/>
      <c r="F100" s="53">
        <v>1</v>
      </c>
      <c r="G100" s="53">
        <v>1787.7</v>
      </c>
      <c r="H100" s="186">
        <f t="shared" si="24"/>
        <v>1.7877000000000001</v>
      </c>
      <c r="I100" s="37">
        <v>0</v>
      </c>
      <c r="J100" s="37">
        <v>0</v>
      </c>
      <c r="K100" s="37">
        <f>G100</f>
        <v>1787.7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f t="shared" si="22"/>
        <v>1787.7</v>
      </c>
    </row>
    <row r="101" spans="1:25" ht="25.5">
      <c r="A101" s="153" t="s">
        <v>207</v>
      </c>
      <c r="B101" s="154" t="s">
        <v>151</v>
      </c>
      <c r="C101" s="153" t="s">
        <v>63</v>
      </c>
      <c r="D101" s="90"/>
      <c r="E101" s="53"/>
      <c r="F101" s="53">
        <v>3</v>
      </c>
      <c r="G101" s="53">
        <v>189.88</v>
      </c>
      <c r="H101" s="144">
        <f>G101*F101/1000</f>
        <v>0.56964000000000004</v>
      </c>
      <c r="I101" s="37">
        <v>0</v>
      </c>
      <c r="J101" s="37">
        <v>0</v>
      </c>
      <c r="K101" s="37">
        <v>0</v>
      </c>
      <c r="L101" s="37">
        <v>0</v>
      </c>
      <c r="M101" s="37">
        <f>G101</f>
        <v>189.88</v>
      </c>
      <c r="N101" s="37">
        <f>G101</f>
        <v>189.88</v>
      </c>
      <c r="O101" s="37">
        <v>0</v>
      </c>
      <c r="P101" s="37">
        <f>G101</f>
        <v>189.88</v>
      </c>
      <c r="Q101" s="37">
        <v>0</v>
      </c>
      <c r="R101" s="37">
        <v>0</v>
      </c>
      <c r="S101" s="37">
        <v>0</v>
      </c>
      <c r="T101" s="37">
        <v>0</v>
      </c>
      <c r="U101" s="37">
        <f t="shared" si="22"/>
        <v>569.64</v>
      </c>
    </row>
    <row r="102" spans="1:25" ht="25.5" customHeight="1">
      <c r="A102" s="190" t="s">
        <v>233</v>
      </c>
      <c r="B102" s="174" t="s">
        <v>232</v>
      </c>
      <c r="C102" s="173" t="s">
        <v>92</v>
      </c>
      <c r="D102" s="184"/>
      <c r="E102" s="185"/>
      <c r="F102" s="185">
        <v>2.8</v>
      </c>
      <c r="G102" s="185">
        <v>645.96</v>
      </c>
      <c r="H102" s="186">
        <f t="shared" si="23"/>
        <v>1.8086879999999999</v>
      </c>
      <c r="I102" s="37">
        <v>0</v>
      </c>
      <c r="J102" s="37">
        <v>0</v>
      </c>
      <c r="K102" s="37">
        <v>0</v>
      </c>
      <c r="L102" s="37">
        <v>0</v>
      </c>
      <c r="M102" s="37">
        <f>G102*2.8</f>
        <v>1808.6879999999999</v>
      </c>
      <c r="N102" s="37">
        <v>0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f t="shared" si="22"/>
        <v>1808.6879999999999</v>
      </c>
    </row>
    <row r="103" spans="1:25">
      <c r="A103" s="153" t="s">
        <v>152</v>
      </c>
      <c r="B103" s="154" t="s">
        <v>256</v>
      </c>
      <c r="C103" s="153" t="s">
        <v>39</v>
      </c>
      <c r="D103" s="9"/>
      <c r="E103" s="67"/>
      <c r="F103" s="53">
        <f>((32.11+33.48)-(7.47*6))+(((39.73-(7.47*6))*44.31)/42.61)</f>
        <v>15.476925604318236</v>
      </c>
      <c r="G103" s="53">
        <v>42.61</v>
      </c>
      <c r="H103" s="186">
        <f t="shared" si="23"/>
        <v>0.65947180000000005</v>
      </c>
      <c r="I103" s="181">
        <v>0</v>
      </c>
      <c r="J103" s="181">
        <v>0</v>
      </c>
      <c r="K103" s="181">
        <v>0</v>
      </c>
      <c r="L103" s="181">
        <v>0</v>
      </c>
      <c r="M103" s="181">
        <v>0</v>
      </c>
      <c r="N103" s="37">
        <f>G103*F103</f>
        <v>659.47180000000003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f t="shared" si="22"/>
        <v>659.47180000000003</v>
      </c>
    </row>
    <row r="104" spans="1:25">
      <c r="A104" s="196" t="s">
        <v>241</v>
      </c>
      <c r="B104" s="197" t="s">
        <v>242</v>
      </c>
      <c r="C104" s="196" t="s">
        <v>208</v>
      </c>
      <c r="D104" s="90"/>
      <c r="E104" s="53"/>
      <c r="F104" s="53">
        <f>58/3</f>
        <v>19.333333333333332</v>
      </c>
      <c r="G104" s="53">
        <v>1120.8900000000001</v>
      </c>
      <c r="H104" s="186">
        <f t="shared" si="23"/>
        <v>21.670540000000003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f>G104*(20/3)</f>
        <v>7472.6000000000013</v>
      </c>
      <c r="P104" s="37">
        <f>G104*(10/3)</f>
        <v>3736.3000000000006</v>
      </c>
      <c r="Q104" s="37">
        <v>0</v>
      </c>
      <c r="R104" s="37">
        <f>G104*(10/3)</f>
        <v>3736.3000000000006</v>
      </c>
      <c r="S104" s="37">
        <f>G104*(8/3)</f>
        <v>2989.04</v>
      </c>
      <c r="T104" s="37">
        <f>G104*(10/3)</f>
        <v>3736.3000000000006</v>
      </c>
      <c r="U104" s="37">
        <f t="shared" si="22"/>
        <v>21670.54</v>
      </c>
    </row>
    <row r="105" spans="1:25" ht="25.5">
      <c r="A105" s="153" t="s">
        <v>237</v>
      </c>
      <c r="B105" s="154" t="s">
        <v>238</v>
      </c>
      <c r="C105" s="194" t="s">
        <v>239</v>
      </c>
      <c r="D105" s="90"/>
      <c r="E105" s="53"/>
      <c r="F105" s="53">
        <v>0.5</v>
      </c>
      <c r="G105" s="53">
        <v>294.45</v>
      </c>
      <c r="H105" s="186">
        <f t="shared" si="23"/>
        <v>0.14722499999999999</v>
      </c>
      <c r="I105" s="181">
        <v>0</v>
      </c>
      <c r="J105" s="181">
        <v>0</v>
      </c>
      <c r="K105" s="181">
        <v>0</v>
      </c>
      <c r="L105" s="181">
        <v>0</v>
      </c>
      <c r="M105" s="181">
        <v>0</v>
      </c>
      <c r="N105" s="181">
        <v>0</v>
      </c>
      <c r="O105" s="181">
        <v>0</v>
      </c>
      <c r="P105" s="181">
        <v>0</v>
      </c>
      <c r="Q105" s="181">
        <f>G105*0.5</f>
        <v>147.22499999999999</v>
      </c>
      <c r="R105" s="181">
        <v>0</v>
      </c>
      <c r="S105" s="181">
        <v>0</v>
      </c>
      <c r="T105" s="181">
        <v>0</v>
      </c>
      <c r="U105" s="37">
        <f t="shared" si="22"/>
        <v>147.22499999999999</v>
      </c>
      <c r="V105" s="195"/>
      <c r="W105" s="195"/>
      <c r="X105" s="195"/>
      <c r="Y105" s="195"/>
    </row>
    <row r="106" spans="1:25">
      <c r="A106" s="153" t="s">
        <v>234</v>
      </c>
      <c r="B106" s="154" t="s">
        <v>240</v>
      </c>
      <c r="C106" s="153" t="s">
        <v>63</v>
      </c>
      <c r="D106" s="9"/>
      <c r="E106" s="67"/>
      <c r="F106" s="53">
        <v>1</v>
      </c>
      <c r="G106" s="53">
        <v>190</v>
      </c>
      <c r="H106" s="186">
        <f t="shared" si="23"/>
        <v>0.19</v>
      </c>
      <c r="I106" s="181">
        <v>0</v>
      </c>
      <c r="J106" s="181">
        <v>0</v>
      </c>
      <c r="K106" s="181">
        <v>0</v>
      </c>
      <c r="L106" s="181">
        <v>0</v>
      </c>
      <c r="M106" s="181">
        <v>0</v>
      </c>
      <c r="N106" s="181">
        <v>0</v>
      </c>
      <c r="O106" s="181">
        <v>0</v>
      </c>
      <c r="P106" s="181">
        <v>0</v>
      </c>
      <c r="Q106" s="37">
        <f>G106</f>
        <v>190</v>
      </c>
      <c r="R106" s="37">
        <v>0</v>
      </c>
      <c r="S106" s="37">
        <v>0</v>
      </c>
      <c r="T106" s="37">
        <v>0</v>
      </c>
      <c r="U106" s="37">
        <f t="shared" si="22"/>
        <v>190</v>
      </c>
    </row>
    <row r="107" spans="1:25">
      <c r="A107" s="153" t="s">
        <v>243</v>
      </c>
      <c r="B107" s="154" t="s">
        <v>244</v>
      </c>
      <c r="C107" s="153" t="s">
        <v>254</v>
      </c>
      <c r="D107" s="9"/>
      <c r="E107" s="67"/>
      <c r="F107" s="53">
        <v>1</v>
      </c>
      <c r="G107" s="53">
        <v>78197</v>
      </c>
      <c r="H107" s="144">
        <f t="shared" ref="H107" si="25">G107*F107/1000</f>
        <v>78.197000000000003</v>
      </c>
      <c r="I107" s="181">
        <v>0</v>
      </c>
      <c r="J107" s="181">
        <v>0</v>
      </c>
      <c r="K107" s="181">
        <v>0</v>
      </c>
      <c r="L107" s="181">
        <v>0</v>
      </c>
      <c r="M107" s="181">
        <v>0</v>
      </c>
      <c r="N107" s="181">
        <v>0</v>
      </c>
      <c r="O107" s="181">
        <v>0</v>
      </c>
      <c r="P107" s="181">
        <v>0</v>
      </c>
      <c r="Q107" s="37">
        <v>0</v>
      </c>
      <c r="R107" s="37">
        <f>G107</f>
        <v>78197</v>
      </c>
      <c r="S107" s="37">
        <v>0</v>
      </c>
      <c r="T107" s="37">
        <v>0</v>
      </c>
      <c r="U107" s="37">
        <f t="shared" si="22"/>
        <v>78197</v>
      </c>
    </row>
    <row r="108" spans="1:25" ht="25.5">
      <c r="A108" s="173" t="s">
        <v>223</v>
      </c>
      <c r="B108" s="174" t="s">
        <v>245</v>
      </c>
      <c r="C108" s="173" t="s">
        <v>209</v>
      </c>
      <c r="D108" s="90"/>
      <c r="E108" s="53"/>
      <c r="F108" s="53">
        <v>2</v>
      </c>
      <c r="G108" s="53">
        <v>832.06</v>
      </c>
      <c r="H108" s="144">
        <f t="shared" ref="H108:H110" si="26">G108*F108/1000</f>
        <v>1.6641199999999998</v>
      </c>
      <c r="I108" s="181">
        <v>0</v>
      </c>
      <c r="J108" s="181">
        <v>0</v>
      </c>
      <c r="K108" s="181">
        <v>0</v>
      </c>
      <c r="L108" s="181">
        <v>0</v>
      </c>
      <c r="M108" s="181">
        <v>0</v>
      </c>
      <c r="N108" s="181">
        <v>0</v>
      </c>
      <c r="O108" s="181">
        <v>0</v>
      </c>
      <c r="P108" s="181">
        <v>0</v>
      </c>
      <c r="Q108" s="181">
        <v>0</v>
      </c>
      <c r="R108" s="181">
        <f>G108*2</f>
        <v>1664.12</v>
      </c>
      <c r="S108" s="37">
        <v>0</v>
      </c>
      <c r="T108" s="37">
        <v>0</v>
      </c>
      <c r="U108" s="37">
        <f t="shared" si="22"/>
        <v>1664.12</v>
      </c>
    </row>
    <row r="109" spans="1:25" ht="25.5" customHeight="1">
      <c r="A109" s="182" t="s">
        <v>243</v>
      </c>
      <c r="B109" s="198" t="s">
        <v>246</v>
      </c>
      <c r="C109" s="199" t="s">
        <v>247</v>
      </c>
      <c r="D109" s="9"/>
      <c r="E109" s="67"/>
      <c r="F109" s="53">
        <v>4</v>
      </c>
      <c r="G109" s="185">
        <v>1187</v>
      </c>
      <c r="H109" s="144">
        <f t="shared" si="26"/>
        <v>4.7480000000000002</v>
      </c>
      <c r="I109" s="181">
        <v>0</v>
      </c>
      <c r="J109" s="181">
        <v>0</v>
      </c>
      <c r="K109" s="181">
        <v>0</v>
      </c>
      <c r="L109" s="181">
        <v>0</v>
      </c>
      <c r="M109" s="181">
        <v>0</v>
      </c>
      <c r="N109" s="181">
        <v>0</v>
      </c>
      <c r="O109" s="181">
        <v>0</v>
      </c>
      <c r="P109" s="181">
        <v>0</v>
      </c>
      <c r="Q109" s="181">
        <v>0</v>
      </c>
      <c r="R109" s="181">
        <v>0</v>
      </c>
      <c r="S109" s="181">
        <f>G109*4</f>
        <v>4748</v>
      </c>
      <c r="T109" s="181">
        <v>0</v>
      </c>
      <c r="U109" s="37">
        <f t="shared" ref="U109:U112" si="27">SUM(I109:T109)</f>
        <v>4748</v>
      </c>
    </row>
    <row r="110" spans="1:25" ht="25.5">
      <c r="A110" s="194" t="s">
        <v>248</v>
      </c>
      <c r="B110" s="154" t="s">
        <v>249</v>
      </c>
      <c r="C110" s="153" t="s">
        <v>209</v>
      </c>
      <c r="D110" s="9"/>
      <c r="E110" s="67"/>
      <c r="F110" s="53">
        <v>4</v>
      </c>
      <c r="G110" s="53">
        <v>589.54</v>
      </c>
      <c r="H110" s="144">
        <f t="shared" si="26"/>
        <v>2.3581599999999998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f>G110*4</f>
        <v>2358.16</v>
      </c>
      <c r="T110" s="37">
        <v>0</v>
      </c>
      <c r="U110" s="37">
        <f t="shared" si="27"/>
        <v>2358.16</v>
      </c>
    </row>
    <row r="111" spans="1:25" ht="12.75" customHeight="1">
      <c r="A111" s="173" t="s">
        <v>234</v>
      </c>
      <c r="B111" s="174" t="s">
        <v>250</v>
      </c>
      <c r="C111" s="173" t="s">
        <v>63</v>
      </c>
      <c r="D111" s="184"/>
      <c r="E111" s="53"/>
      <c r="F111" s="53">
        <v>1</v>
      </c>
      <c r="G111" s="53">
        <v>108</v>
      </c>
      <c r="H111" s="144">
        <f>G111*F111/1000</f>
        <v>0.108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37">
        <f>G111</f>
        <v>108</v>
      </c>
      <c r="U111" s="37">
        <f t="shared" si="27"/>
        <v>108</v>
      </c>
    </row>
    <row r="112" spans="1:25">
      <c r="A112" s="173" t="s">
        <v>234</v>
      </c>
      <c r="B112" s="174" t="s">
        <v>251</v>
      </c>
      <c r="C112" s="173" t="s">
        <v>63</v>
      </c>
      <c r="D112" s="90"/>
      <c r="E112" s="53"/>
      <c r="F112" s="53">
        <v>3</v>
      </c>
      <c r="G112" s="53">
        <v>112</v>
      </c>
      <c r="H112" s="144">
        <f t="shared" ref="H112" si="28">G112*F112/1000</f>
        <v>0.33600000000000002</v>
      </c>
      <c r="I112" s="181">
        <v>0</v>
      </c>
      <c r="J112" s="181">
        <v>0</v>
      </c>
      <c r="K112" s="181">
        <v>0</v>
      </c>
      <c r="L112" s="181">
        <v>0</v>
      </c>
      <c r="M112" s="181">
        <v>0</v>
      </c>
      <c r="N112" s="181">
        <v>0</v>
      </c>
      <c r="O112" s="181">
        <v>0</v>
      </c>
      <c r="P112" s="181">
        <v>0</v>
      </c>
      <c r="Q112" s="181">
        <v>0</v>
      </c>
      <c r="R112" s="181">
        <v>0</v>
      </c>
      <c r="S112" s="181">
        <v>0</v>
      </c>
      <c r="T112" s="181">
        <f>G112*3</f>
        <v>336</v>
      </c>
      <c r="U112" s="37">
        <f t="shared" si="27"/>
        <v>336</v>
      </c>
    </row>
    <row r="113" spans="1:21" s="19" customFormat="1">
      <c r="A113" s="100"/>
      <c r="B113" s="101" t="s">
        <v>101</v>
      </c>
      <c r="C113" s="100"/>
      <c r="D113" s="100"/>
      <c r="E113" s="95"/>
      <c r="F113" s="95"/>
      <c r="G113" s="95"/>
      <c r="H113" s="45">
        <f>SUM(H91:H112)</f>
        <v>163.85783000000001</v>
      </c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44">
        <f>SUM(U91:U112)</f>
        <v>163857.83000000002</v>
      </c>
    </row>
    <row r="114" spans="1:21">
      <c r="A114" s="166"/>
      <c r="B114" s="102"/>
      <c r="C114" s="103"/>
      <c r="D114" s="103"/>
      <c r="E114" s="53"/>
      <c r="F114" s="53"/>
      <c r="G114" s="53"/>
      <c r="H114" s="104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149"/>
    </row>
    <row r="115" spans="1:21" ht="12" customHeight="1">
      <c r="A115" s="170"/>
      <c r="B115" s="18" t="s">
        <v>102</v>
      </c>
      <c r="C115" s="66"/>
      <c r="D115" s="90"/>
      <c r="E115" s="53"/>
      <c r="F115" s="53"/>
      <c r="G115" s="53"/>
      <c r="H115" s="105">
        <f>H113/E116/12*1000</f>
        <v>2.5439338189631617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149"/>
    </row>
    <row r="116" spans="1:21" s="19" customFormat="1">
      <c r="A116" s="84"/>
      <c r="B116" s="106" t="s">
        <v>103</v>
      </c>
      <c r="C116" s="107"/>
      <c r="D116" s="106"/>
      <c r="E116" s="171">
        <v>5367.6</v>
      </c>
      <c r="F116" s="108">
        <f>SUM(E116*12)</f>
        <v>64411.200000000004</v>
      </c>
      <c r="G116" s="109">
        <f>H89+H115</f>
        <v>15.837873101015557</v>
      </c>
      <c r="H116" s="110">
        <f>SUM(F116*G116/1000)</f>
        <v>1020.1364118841334</v>
      </c>
      <c r="I116" s="95">
        <f t="shared" ref="I116:R116" si="29">SUM(I11:I115)</f>
        <v>68492.634502000001</v>
      </c>
      <c r="J116" s="95">
        <f t="shared" si="29"/>
        <v>65711.543401999996</v>
      </c>
      <c r="K116" s="95">
        <f t="shared" si="29"/>
        <v>67901.859701999987</v>
      </c>
      <c r="L116" s="95">
        <f t="shared" si="29"/>
        <v>71037.547401999982</v>
      </c>
      <c r="M116" s="95">
        <f t="shared" si="29"/>
        <v>168994.66355562222</v>
      </c>
      <c r="N116" s="95">
        <f t="shared" si="29"/>
        <v>55597.085784222225</v>
      </c>
      <c r="O116" s="95">
        <f t="shared" si="29"/>
        <v>67399.316684222227</v>
      </c>
      <c r="P116" s="95">
        <f t="shared" si="29"/>
        <v>66776.713984222224</v>
      </c>
      <c r="Q116" s="95">
        <f t="shared" si="29"/>
        <v>62248.774435622232</v>
      </c>
      <c r="R116" s="95">
        <f t="shared" si="29"/>
        <v>148195.77398422221</v>
      </c>
      <c r="S116" s="95">
        <f>SUM(S11:S115)</f>
        <v>73239.379101999992</v>
      </c>
      <c r="T116" s="95">
        <f>SUM(T11:T115)</f>
        <v>77239.701801999996</v>
      </c>
      <c r="U116" s="44">
        <f>U86+U113</f>
        <v>1037599.7612145008</v>
      </c>
    </row>
    <row r="117" spans="1:21" hidden="1">
      <c r="A117" s="156"/>
      <c r="B117" s="112"/>
      <c r="C117" s="112"/>
      <c r="D117" s="112"/>
      <c r="E117" s="113"/>
      <c r="F117" s="114"/>
      <c r="G117" s="115"/>
      <c r="H117" s="115"/>
      <c r="I117" s="116"/>
      <c r="J117" s="116"/>
      <c r="K117" s="116"/>
      <c r="L117" s="116"/>
      <c r="M117" s="116"/>
      <c r="N117" s="117"/>
      <c r="O117" s="69"/>
      <c r="P117" s="69"/>
      <c r="Q117" s="69"/>
      <c r="R117" s="69"/>
      <c r="S117" s="69"/>
      <c r="T117" s="69"/>
      <c r="U117" s="69"/>
    </row>
    <row r="118" spans="1:21" hidden="1">
      <c r="A118" s="111"/>
      <c r="B118" s="118"/>
      <c r="C118" s="119"/>
      <c r="D118" s="120"/>
      <c r="E118" s="121"/>
      <c r="F118" s="122"/>
      <c r="G118" s="122"/>
      <c r="H118" s="123"/>
      <c r="I118" s="116"/>
      <c r="J118" s="116"/>
      <c r="K118" s="116"/>
      <c r="L118" s="116"/>
      <c r="M118" s="116"/>
      <c r="N118" s="117"/>
      <c r="O118" s="69"/>
      <c r="P118" s="69"/>
      <c r="Q118" s="69"/>
      <c r="R118" s="69"/>
      <c r="S118" s="69"/>
      <c r="T118" s="69"/>
      <c r="U118" s="69"/>
    </row>
    <row r="119" spans="1:21" hidden="1">
      <c r="A119" s="111"/>
      <c r="B119" s="124" t="s">
        <v>104</v>
      </c>
      <c r="C119" s="124" t="s">
        <v>63</v>
      </c>
      <c r="D119" s="124" t="s">
        <v>105</v>
      </c>
      <c r="E119" s="125">
        <v>64</v>
      </c>
      <c r="F119" s="125">
        <v>64</v>
      </c>
      <c r="G119" s="126">
        <v>11.41</v>
      </c>
      <c r="H119" s="126">
        <f>G119*12*F119/1000</f>
        <v>8.7628800000000009</v>
      </c>
      <c r="I119" s="116"/>
      <c r="J119" s="116"/>
      <c r="K119" s="116"/>
      <c r="L119" s="116"/>
      <c r="M119" s="116"/>
      <c r="N119" s="117"/>
      <c r="O119" s="69"/>
      <c r="P119" s="69"/>
      <c r="Q119" s="69"/>
      <c r="R119" s="69"/>
      <c r="S119" s="69"/>
      <c r="T119" s="69"/>
      <c r="U119" s="69"/>
    </row>
    <row r="120" spans="1:21" hidden="1">
      <c r="A120" s="111"/>
      <c r="B120" s="124" t="s">
        <v>104</v>
      </c>
      <c r="C120" s="124" t="s">
        <v>63</v>
      </c>
      <c r="D120" s="124" t="s">
        <v>106</v>
      </c>
      <c r="E120" s="125">
        <v>64</v>
      </c>
      <c r="F120" s="125">
        <v>64</v>
      </c>
      <c r="G120" s="126">
        <v>18.98</v>
      </c>
      <c r="H120" s="126">
        <f>G120*12*F120/1000</f>
        <v>14.576639999999999</v>
      </c>
      <c r="I120" s="116"/>
      <c r="J120" s="116"/>
      <c r="K120" s="116"/>
      <c r="L120" s="116"/>
      <c r="M120" s="116"/>
      <c r="N120" s="117"/>
      <c r="O120" s="69"/>
      <c r="P120" s="69"/>
      <c r="Q120" s="69"/>
      <c r="R120" s="69"/>
      <c r="S120" s="69"/>
      <c r="T120" s="69"/>
      <c r="U120" s="69"/>
    </row>
    <row r="121" spans="1:21" hidden="1">
      <c r="A121" s="111"/>
      <c r="B121" s="127"/>
      <c r="C121" s="128"/>
      <c r="D121" s="129"/>
      <c r="E121" s="130"/>
      <c r="F121" s="131"/>
      <c r="G121" s="132"/>
      <c r="H121" s="133"/>
      <c r="I121" s="116"/>
      <c r="J121" s="116"/>
      <c r="K121" s="116"/>
      <c r="L121" s="116"/>
      <c r="M121" s="116"/>
      <c r="N121" s="117"/>
      <c r="O121" s="69"/>
      <c r="P121" s="69"/>
      <c r="Q121" s="69"/>
      <c r="R121" s="69"/>
      <c r="S121" s="69"/>
      <c r="T121" s="69"/>
      <c r="U121" s="69"/>
    </row>
    <row r="122" spans="1:21" hidden="1">
      <c r="A122" s="69"/>
      <c r="B122" s="127"/>
      <c r="C122" s="128"/>
      <c r="D122" s="129"/>
      <c r="E122" s="130"/>
      <c r="F122" s="131"/>
      <c r="G122" s="132"/>
      <c r="H122" s="133"/>
      <c r="I122" s="116"/>
      <c r="J122" s="116"/>
      <c r="K122" s="116"/>
      <c r="L122" s="116"/>
      <c r="M122" s="116"/>
      <c r="N122" s="117"/>
      <c r="O122" s="69"/>
      <c r="P122" s="69"/>
      <c r="Q122" s="69"/>
      <c r="R122" s="69"/>
      <c r="S122" s="69"/>
      <c r="T122" s="69"/>
      <c r="U122" s="69"/>
    </row>
    <row r="123" spans="1:21" hidden="1">
      <c r="A123" s="69"/>
      <c r="B123" s="127"/>
      <c r="C123" s="128"/>
      <c r="D123" s="129"/>
      <c r="E123" s="130"/>
      <c r="F123" s="131"/>
      <c r="G123" s="132"/>
      <c r="H123" s="133"/>
      <c r="I123" s="116"/>
      <c r="J123" s="116"/>
      <c r="K123" s="116"/>
      <c r="L123" s="116"/>
      <c r="M123" s="116"/>
      <c r="N123" s="117"/>
      <c r="O123" s="69"/>
      <c r="P123" s="69"/>
      <c r="Q123" s="69"/>
      <c r="R123" s="69"/>
      <c r="S123" s="69"/>
      <c r="T123" s="69"/>
      <c r="U123" s="69"/>
    </row>
    <row r="124" spans="1:21">
      <c r="A124" s="69"/>
      <c r="B124" s="69"/>
      <c r="C124" s="69"/>
      <c r="D124" s="69"/>
      <c r="E124" s="116"/>
      <c r="F124" s="116"/>
      <c r="G124" s="116"/>
      <c r="H124" s="116"/>
      <c r="I124" s="116"/>
      <c r="J124" s="116"/>
      <c r="K124" s="116"/>
      <c r="L124" s="116"/>
      <c r="M124" s="69"/>
      <c r="N124" s="134"/>
      <c r="O124" s="69"/>
      <c r="P124" s="69"/>
      <c r="Q124" s="69"/>
      <c r="R124" s="69"/>
      <c r="S124" s="69"/>
      <c r="T124" s="69"/>
      <c r="U124" s="69"/>
    </row>
    <row r="125" spans="1:21">
      <c r="A125" s="69"/>
      <c r="B125" s="69"/>
      <c r="C125" s="69"/>
      <c r="D125" s="69"/>
      <c r="E125" s="116"/>
      <c r="F125" s="116"/>
      <c r="G125" s="116"/>
      <c r="H125" s="116"/>
      <c r="I125" s="116"/>
      <c r="J125" s="135"/>
      <c r="K125" s="136"/>
      <c r="L125" s="135"/>
      <c r="M125" s="116"/>
      <c r="N125" s="69"/>
      <c r="O125" s="69"/>
      <c r="P125" s="69"/>
      <c r="Q125" s="69"/>
      <c r="R125" s="69"/>
      <c r="S125" s="69"/>
      <c r="T125" s="69"/>
      <c r="U125" s="69"/>
    </row>
    <row r="126" spans="1:21" ht="45">
      <c r="A126" s="69"/>
      <c r="B126" s="141" t="s">
        <v>211</v>
      </c>
      <c r="C126" s="203">
        <v>181663.02</v>
      </c>
      <c r="D126" s="204"/>
      <c r="E126" s="204"/>
      <c r="F126" s="205"/>
      <c r="G126" s="116"/>
      <c r="H126" s="116"/>
      <c r="I126" s="116"/>
      <c r="J126" s="135"/>
      <c r="K126" s="136"/>
      <c r="L126" s="135"/>
      <c r="M126" s="116"/>
      <c r="N126" s="69"/>
      <c r="O126" s="69"/>
      <c r="P126" s="69"/>
      <c r="Q126" s="69"/>
      <c r="R126" s="69"/>
      <c r="S126" s="69"/>
      <c r="T126" s="69"/>
      <c r="U126" s="69"/>
    </row>
    <row r="127" spans="1:21" ht="30">
      <c r="A127" s="69"/>
      <c r="B127" s="141" t="s">
        <v>216</v>
      </c>
      <c r="C127" s="208">
        <f>71456.48*12</f>
        <v>857477.76</v>
      </c>
      <c r="D127" s="209"/>
      <c r="E127" s="209"/>
      <c r="F127" s="210"/>
      <c r="G127" s="116"/>
      <c r="H127" s="116"/>
      <c r="I127" s="116"/>
      <c r="J127" s="135"/>
      <c r="K127" s="136"/>
      <c r="L127" s="135"/>
      <c r="M127" s="116"/>
      <c r="N127" s="69"/>
      <c r="O127" s="69"/>
      <c r="P127" s="69"/>
      <c r="Q127" s="69"/>
      <c r="R127" s="69"/>
      <c r="S127" s="69"/>
      <c r="T127" s="69"/>
      <c r="U127" s="69"/>
    </row>
    <row r="128" spans="1:21" ht="30">
      <c r="A128" s="69"/>
      <c r="B128" s="141" t="s">
        <v>217</v>
      </c>
      <c r="C128" s="208">
        <f>SUM(U116-U113)</f>
        <v>873741.93121450068</v>
      </c>
      <c r="D128" s="209"/>
      <c r="E128" s="209"/>
      <c r="F128" s="210"/>
      <c r="G128" s="116"/>
      <c r="H128" s="116"/>
      <c r="I128" s="116"/>
      <c r="J128" s="135"/>
      <c r="K128" s="136"/>
      <c r="L128" s="135"/>
      <c r="M128" s="116"/>
      <c r="N128" s="69"/>
      <c r="O128" s="69"/>
      <c r="P128" s="69"/>
      <c r="Q128" s="69"/>
      <c r="R128" s="69"/>
      <c r="S128" s="69"/>
      <c r="T128" s="69"/>
      <c r="U128" s="69"/>
    </row>
    <row r="129" spans="1:21" ht="30">
      <c r="A129" s="69"/>
      <c r="B129" s="141" t="s">
        <v>218</v>
      </c>
      <c r="C129" s="208">
        <f>SUM(U113)</f>
        <v>163857.83000000002</v>
      </c>
      <c r="D129" s="209"/>
      <c r="E129" s="209"/>
      <c r="F129" s="210"/>
      <c r="G129" s="116"/>
      <c r="H129" s="116"/>
      <c r="I129" s="116"/>
      <c r="J129" s="135"/>
      <c r="K129" s="136"/>
      <c r="L129" s="135"/>
      <c r="M129" s="116"/>
      <c r="N129" s="69"/>
      <c r="O129" s="69"/>
      <c r="P129" s="69"/>
      <c r="Q129" s="69"/>
      <c r="R129" s="69"/>
      <c r="S129" s="69"/>
      <c r="T129" s="69"/>
      <c r="U129" s="69"/>
    </row>
    <row r="130" spans="1:21" ht="18">
      <c r="A130" s="69"/>
      <c r="B130" s="145" t="s">
        <v>219</v>
      </c>
      <c r="C130" s="203">
        <f>70086.84+60747.26+82244.72+65109.87+64908.41+58573.52+79029.31+68311.26+70018.43+79781.98+91463.86+88345.57</f>
        <v>878621.0299999998</v>
      </c>
      <c r="D130" s="204"/>
      <c r="E130" s="204"/>
      <c r="F130" s="205"/>
      <c r="J130" s="138"/>
      <c r="K130" s="139"/>
      <c r="L130" s="140"/>
      <c r="M130" s="137"/>
      <c r="N130" s="137"/>
      <c r="O130" s="69"/>
      <c r="P130" s="69"/>
      <c r="Q130" s="69"/>
      <c r="R130" s="69"/>
      <c r="S130" s="69"/>
      <c r="T130" s="69"/>
      <c r="U130" s="69"/>
    </row>
    <row r="131" spans="1:21" ht="47.25" customHeight="1">
      <c r="A131" s="69"/>
      <c r="B131" s="145" t="s">
        <v>257</v>
      </c>
      <c r="C131" s="208">
        <v>78197</v>
      </c>
      <c r="D131" s="214"/>
      <c r="E131" s="214"/>
      <c r="F131" s="215"/>
      <c r="I131" s="137"/>
      <c r="J131" s="138"/>
      <c r="K131" s="139"/>
      <c r="L131" s="140"/>
      <c r="M131" s="137"/>
      <c r="N131" s="137"/>
      <c r="O131" s="69"/>
      <c r="P131" s="69"/>
      <c r="Q131" s="69"/>
      <c r="R131" s="69"/>
      <c r="S131" s="69"/>
      <c r="T131" s="69"/>
      <c r="U131" s="69"/>
    </row>
    <row r="132" spans="1:21" ht="78.75">
      <c r="A132" s="69"/>
      <c r="B132" s="155" t="s">
        <v>252</v>
      </c>
      <c r="C132" s="211">
        <v>147479.25</v>
      </c>
      <c r="D132" s="212"/>
      <c r="E132" s="212"/>
      <c r="F132" s="213"/>
      <c r="G132" s="69"/>
      <c r="H132" s="137" t="s">
        <v>111</v>
      </c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</row>
    <row r="133" spans="1:21" ht="45">
      <c r="A133" s="69"/>
      <c r="B133" s="141" t="s">
        <v>253</v>
      </c>
      <c r="C133" s="207">
        <f>SUM(U116-C127)-C131+C126</f>
        <v>283588.02121450077</v>
      </c>
      <c r="D133" s="204"/>
      <c r="E133" s="204"/>
      <c r="F133" s="205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</row>
    <row r="135" spans="1:21">
      <c r="J135" s="4"/>
      <c r="K135" s="5"/>
      <c r="L135" s="5"/>
      <c r="M135" s="3"/>
    </row>
    <row r="136" spans="1:21">
      <c r="G136" s="6"/>
      <c r="H136" s="6"/>
    </row>
    <row r="137" spans="1:21">
      <c r="G137" s="7"/>
    </row>
  </sheetData>
  <mergeCells count="13">
    <mergeCell ref="W87:Z88"/>
    <mergeCell ref="C133:F133"/>
    <mergeCell ref="C127:F127"/>
    <mergeCell ref="C128:F128"/>
    <mergeCell ref="C129:F129"/>
    <mergeCell ref="C130:F130"/>
    <mergeCell ref="C132:F132"/>
    <mergeCell ref="C131:F131"/>
    <mergeCell ref="B3:L3"/>
    <mergeCell ref="B4:L4"/>
    <mergeCell ref="B5:L5"/>
    <mergeCell ref="B6:L6"/>
    <mergeCell ref="C126:F126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"/>
  <sheetViews>
    <sheetView workbookViewId="0">
      <selection sqref="A1:K17"/>
    </sheetView>
  </sheetViews>
  <sheetFormatPr defaultRowHeight="12.75"/>
  <cols>
    <col min="1" max="9" width="11.140625" customWidth="1"/>
    <col min="10" max="11" width="12.140625" customWidth="1"/>
  </cols>
  <sheetData>
    <row r="1" spans="1:11">
      <c r="A1" t="s">
        <v>120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  <c r="I1" t="s">
        <v>128</v>
      </c>
      <c r="J1" t="s">
        <v>129</v>
      </c>
      <c r="K1" t="s">
        <v>130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Стр.,8</vt:lpstr>
      <vt:lpstr>Лист1</vt:lpstr>
      <vt:lpstr>'Стр.,8'!Область_печати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2018-03-21T07:36:25Z</cp:lastPrinted>
  <dcterms:created xsi:type="dcterms:W3CDTF">2014-02-05T12:20:20Z</dcterms:created>
  <dcterms:modified xsi:type="dcterms:W3CDTF">2018-04-19T06:47:21Z</dcterms:modified>
</cp:coreProperties>
</file>