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45" windowWidth="15480" windowHeight="11280" activeTab="11"/>
  </bookViews>
  <sheets>
    <sheet name="01.21" sheetId="32" r:id="rId1"/>
    <sheet name="02.21" sheetId="33" r:id="rId2"/>
    <sheet name="03.21" sheetId="34" r:id="rId3"/>
    <sheet name="04.21" sheetId="35" r:id="rId4"/>
    <sheet name="05.21" sheetId="36" r:id="rId5"/>
    <sheet name="06.21" sheetId="23" r:id="rId6"/>
    <sheet name="07.21" sheetId="37" r:id="rId7"/>
    <sheet name="08.21" sheetId="27" r:id="rId8"/>
    <sheet name="09.21" sheetId="28" r:id="rId9"/>
    <sheet name="10.21" sheetId="29" r:id="rId10"/>
    <sheet name="11.21" sheetId="30" r:id="rId11"/>
    <sheet name="12.21" sheetId="31" r:id="rId12"/>
  </sheets>
  <definedNames>
    <definedName name="_xlnm._FilterDatabase" localSheetId="0" hidden="1">'01.21'!$I$12:$I$61</definedName>
    <definedName name="_xlnm._FilterDatabase" localSheetId="1" hidden="1">'02.21'!$I$12:$I$61</definedName>
    <definedName name="_xlnm._FilterDatabase" localSheetId="2" hidden="1">'03.21'!$I$12:$I$61</definedName>
    <definedName name="_xlnm._FilterDatabase" localSheetId="5" hidden="1">'06.21'!$I$12:$I$60</definedName>
    <definedName name="_xlnm._FilterDatabase" localSheetId="7" hidden="1">'08.21'!$I$12:$I$60</definedName>
    <definedName name="_xlnm._FilterDatabase" localSheetId="8" hidden="1">'09.21'!$I$12:$I$60</definedName>
    <definedName name="_xlnm._FilterDatabase" localSheetId="9" hidden="1">'10.21'!$I$12:$I$60</definedName>
    <definedName name="_xlnm._FilterDatabase" localSheetId="10" hidden="1">'11.21'!$I$12:$I$62</definedName>
    <definedName name="_xlnm._FilterDatabase" localSheetId="11" hidden="1">'12.21'!$I$12:$I$62</definedName>
    <definedName name="_xlnm.Print_Area" localSheetId="0">'01.21'!$A$1:$I$120</definedName>
    <definedName name="_xlnm.Print_Area" localSheetId="1">'02.21'!$A$1:$I$115</definedName>
    <definedName name="_xlnm.Print_Area" localSheetId="2">'03.21'!$A$1:$I$116</definedName>
    <definedName name="_xlnm.Print_Area" localSheetId="5">'06.21'!$A$1:$I$119</definedName>
    <definedName name="_xlnm.Print_Area" localSheetId="7">'08.21'!$A$1:$I$115</definedName>
    <definedName name="_xlnm.Print_Area" localSheetId="8">'09.21'!$A$1:$I$115</definedName>
    <definedName name="_xlnm.Print_Area" localSheetId="9">'10.21'!$A$1:$I$112</definedName>
    <definedName name="_xlnm.Print_Area" localSheetId="10">'11.21'!$A$1:$I$117</definedName>
    <definedName name="_xlnm.Print_Area" localSheetId="11">'12.21'!$A$1:$I$115</definedName>
  </definedNames>
  <calcPr calcId="125725"/>
</workbook>
</file>

<file path=xl/calcChain.xml><?xml version="1.0" encoding="utf-8"?>
<calcChain xmlns="http://schemas.openxmlformats.org/spreadsheetml/2006/main">
  <c r="I88" i="31"/>
  <c r="I92"/>
  <c r="I91"/>
  <c r="I59"/>
  <c r="I39"/>
  <c r="I39" i="30"/>
  <c r="I88" l="1"/>
  <c r="I90"/>
  <c r="I94" s="1"/>
  <c r="I93"/>
  <c r="I92"/>
  <c r="I91"/>
  <c r="F27"/>
  <c r="I27" s="1"/>
  <c r="I86" i="29"/>
  <c r="H27" i="30" l="1"/>
  <c r="I86" i="28"/>
  <c r="I92"/>
  <c r="I91"/>
  <c r="I90"/>
  <c r="I86" i="27" l="1"/>
  <c r="I91"/>
  <c r="I90"/>
  <c r="I89"/>
  <c r="I88"/>
  <c r="I63"/>
  <c r="I86" i="37" l="1"/>
  <c r="I91"/>
  <c r="I89"/>
  <c r="I88"/>
  <c r="I26"/>
  <c r="I25"/>
  <c r="I24"/>
  <c r="I23"/>
  <c r="F26"/>
  <c r="F25"/>
  <c r="F24"/>
  <c r="F23"/>
  <c r="F22"/>
  <c r="I22" s="1"/>
  <c r="F21"/>
  <c r="F20"/>
  <c r="I96" i="23"/>
  <c r="I95"/>
  <c r="I94"/>
  <c r="I93"/>
  <c r="I92"/>
  <c r="I90" l="1"/>
  <c r="I89"/>
  <c r="I88"/>
  <c r="I91" i="34"/>
  <c r="I93" i="35"/>
  <c r="I94" l="1"/>
  <c r="I92"/>
  <c r="I91"/>
  <c r="I90"/>
  <c r="I89"/>
  <c r="F89"/>
  <c r="H89" s="1"/>
  <c r="I38"/>
  <c r="I38" i="34" l="1"/>
  <c r="I58"/>
  <c r="I92"/>
  <c r="I90"/>
  <c r="F90"/>
  <c r="H90" s="1"/>
  <c r="I63"/>
  <c r="F63"/>
  <c r="I44"/>
  <c r="I38" i="33" l="1"/>
  <c r="I92"/>
  <c r="I91"/>
  <c r="I90"/>
  <c r="I89"/>
  <c r="F89"/>
  <c r="H89" s="1"/>
  <c r="I65"/>
  <c r="I41"/>
  <c r="I96" i="32"/>
  <c r="I95"/>
  <c r="I94"/>
  <c r="I92"/>
  <c r="I91"/>
  <c r="I90"/>
  <c r="I38"/>
  <c r="H42" i="31"/>
  <c r="I42"/>
  <c r="I65"/>
  <c r="I45" i="30"/>
  <c r="I89" i="29" l="1"/>
  <c r="I33"/>
  <c r="I63"/>
  <c r="I63" i="28" l="1"/>
  <c r="I65" i="34" l="1"/>
  <c r="I93"/>
  <c r="I58" i="33"/>
  <c r="I64"/>
  <c r="I89" i="32"/>
  <c r="I97" s="1"/>
  <c r="F89"/>
  <c r="I90" i="31" l="1"/>
  <c r="F90"/>
  <c r="H90" s="1"/>
  <c r="I45"/>
  <c r="H45"/>
  <c r="F44"/>
  <c r="H44" s="1"/>
  <c r="F43"/>
  <c r="I43" s="1"/>
  <c r="F41"/>
  <c r="I41" s="1"/>
  <c r="F40"/>
  <c r="H4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18" l="1"/>
  <c r="H21"/>
  <c r="H16"/>
  <c r="I40"/>
  <c r="H41"/>
  <c r="H43"/>
  <c r="I44"/>
  <c r="I17"/>
  <c r="I20"/>
  <c r="I27"/>
  <c r="F26" i="30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F18"/>
  <c r="I18" s="1"/>
  <c r="F17"/>
  <c r="H17" s="1"/>
  <c r="F16"/>
  <c r="I16" s="1"/>
  <c r="H16" l="1"/>
  <c r="H18"/>
  <c r="I17"/>
  <c r="I20"/>
  <c r="H33" i="29" l="1"/>
  <c r="F32"/>
  <c r="H32" s="1"/>
  <c r="F31"/>
  <c r="I31" s="1"/>
  <c r="F30"/>
  <c r="I30" s="1"/>
  <c r="F27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F16"/>
  <c r="I16" s="1"/>
  <c r="I53" i="28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F85" i="27"/>
  <c r="H85" s="1"/>
  <c r="F84"/>
  <c r="I84" s="1"/>
  <c r="I78"/>
  <c r="F78"/>
  <c r="H78" s="1"/>
  <c r="I77"/>
  <c r="F77"/>
  <c r="H77" s="1"/>
  <c r="I61"/>
  <c r="H61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F16"/>
  <c r="I16" s="1"/>
  <c r="F27" i="37"/>
  <c r="H27" s="1"/>
  <c r="H26"/>
  <c r="H25"/>
  <c r="H24"/>
  <c r="H23"/>
  <c r="H22"/>
  <c r="I21"/>
  <c r="H20"/>
  <c r="F19"/>
  <c r="H19" s="1"/>
  <c r="F18"/>
  <c r="I18" s="1"/>
  <c r="F17"/>
  <c r="H17" s="1"/>
  <c r="F16"/>
  <c r="I16" s="1"/>
  <c r="F27" i="23"/>
  <c r="H27" s="1"/>
  <c r="F26"/>
  <c r="F25"/>
  <c r="F24"/>
  <c r="F23"/>
  <c r="F22"/>
  <c r="F21"/>
  <c r="I21" s="1"/>
  <c r="F20"/>
  <c r="H20" s="1"/>
  <c r="F19"/>
  <c r="F18"/>
  <c r="I18" s="1"/>
  <c r="F17"/>
  <c r="H17" s="1"/>
  <c r="F16"/>
  <c r="I16" s="1"/>
  <c r="F27" i="36"/>
  <c r="H27" s="1"/>
  <c r="F27" i="35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34"/>
  <c r="I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F27" i="33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32"/>
  <c r="H19" i="23" l="1"/>
  <c r="I19"/>
  <c r="H20" i="34"/>
  <c r="H17"/>
  <c r="H27"/>
  <c r="H16" i="33"/>
  <c r="H18"/>
  <c r="H21"/>
  <c r="H30" i="29"/>
  <c r="H17"/>
  <c r="I17"/>
  <c r="H27"/>
  <c r="I27"/>
  <c r="H17" i="27"/>
  <c r="I17"/>
  <c r="H22" i="23"/>
  <c r="I22"/>
  <c r="H24"/>
  <c r="I24"/>
  <c r="H26"/>
  <c r="I26"/>
  <c r="H18"/>
  <c r="H23"/>
  <c r="I23"/>
  <c r="H25"/>
  <c r="I25"/>
  <c r="H16" i="35"/>
  <c r="H18"/>
  <c r="H21"/>
  <c r="H16" i="29"/>
  <c r="H18"/>
  <c r="H21"/>
  <c r="H31"/>
  <c r="I32"/>
  <c r="I20"/>
  <c r="H20" i="28"/>
  <c r="H17"/>
  <c r="I30"/>
  <c r="H31"/>
  <c r="I32"/>
  <c r="H16"/>
  <c r="H18"/>
  <c r="H21"/>
  <c r="I27"/>
  <c r="H84" i="27"/>
  <c r="I85"/>
  <c r="H16"/>
  <c r="H18"/>
  <c r="H21"/>
  <c r="I30"/>
  <c r="H31"/>
  <c r="I32"/>
  <c r="I20"/>
  <c r="I27"/>
  <c r="H18" i="37"/>
  <c r="H21"/>
  <c r="H16"/>
  <c r="I17"/>
  <c r="I20"/>
  <c r="I27"/>
  <c r="H21" i="23"/>
  <c r="H16"/>
  <c r="I17"/>
  <c r="I20"/>
  <c r="I27"/>
  <c r="I27" i="36"/>
  <c r="I17" i="35"/>
  <c r="I20"/>
  <c r="I27"/>
  <c r="H16" i="34"/>
  <c r="H18"/>
  <c r="H21"/>
  <c r="I17" i="33"/>
  <c r="I20"/>
  <c r="I27"/>
  <c r="I41" i="35" l="1"/>
  <c r="I64" l="1"/>
  <c r="I59" i="33"/>
  <c r="I63" i="31" l="1"/>
  <c r="H63"/>
  <c r="I53" i="29" l="1"/>
  <c r="I58" i="37" l="1"/>
  <c r="F85"/>
  <c r="I85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I63"/>
  <c r="F63"/>
  <c r="H63" s="1"/>
  <c r="I61"/>
  <c r="H61"/>
  <c r="F60"/>
  <c r="H60" s="1"/>
  <c r="H58"/>
  <c r="F57"/>
  <c r="I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H40"/>
  <c r="F39"/>
  <c r="I39" s="1"/>
  <c r="F38"/>
  <c r="I38" s="1"/>
  <c r="I37"/>
  <c r="H37"/>
  <c r="H35"/>
  <c r="H34"/>
  <c r="I33"/>
  <c r="H33"/>
  <c r="F32"/>
  <c r="I32" s="1"/>
  <c r="F31"/>
  <c r="I31" s="1"/>
  <c r="F30"/>
  <c r="I30" s="1"/>
  <c r="I63" i="23"/>
  <c r="I93" i="37" l="1"/>
  <c r="H30"/>
  <c r="H85"/>
  <c r="H86" s="1"/>
  <c r="H70"/>
  <c r="H50"/>
  <c r="H41"/>
  <c r="H39"/>
  <c r="H32"/>
  <c r="H31"/>
  <c r="H38"/>
  <c r="H42"/>
  <c r="H57"/>
  <c r="H81" s="1"/>
  <c r="H84"/>
  <c r="I21" i="36" l="1"/>
  <c r="F21"/>
  <c r="F85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I74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I61" s="1"/>
  <c r="F60"/>
  <c r="H60" s="1"/>
  <c r="H58"/>
  <c r="I57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I33"/>
  <c r="H33"/>
  <c r="F32"/>
  <c r="H32" s="1"/>
  <c r="F31"/>
  <c r="I31" s="1"/>
  <c r="F30"/>
  <c r="H30" s="1"/>
  <c r="F26"/>
  <c r="H26" s="1"/>
  <c r="F25"/>
  <c r="H25" s="1"/>
  <c r="F24"/>
  <c r="H24" s="1"/>
  <c r="F23"/>
  <c r="I23" s="1"/>
  <c r="F22"/>
  <c r="I22" s="1"/>
  <c r="F20"/>
  <c r="I20" s="1"/>
  <c r="F19"/>
  <c r="I19" s="1"/>
  <c r="F18"/>
  <c r="I18" s="1"/>
  <c r="F17"/>
  <c r="I17" s="1"/>
  <c r="F16"/>
  <c r="I16" s="1"/>
  <c r="H42" l="1"/>
  <c r="H19"/>
  <c r="H20"/>
  <c r="H48"/>
  <c r="H17"/>
  <c r="H22"/>
  <c r="H23"/>
  <c r="H46"/>
  <c r="H50"/>
  <c r="I25"/>
  <c r="I65"/>
  <c r="I67"/>
  <c r="I69"/>
  <c r="I24"/>
  <c r="I26"/>
  <c r="I66"/>
  <c r="I68"/>
  <c r="H52"/>
  <c r="H16"/>
  <c r="H18"/>
  <c r="H21"/>
  <c r="I30"/>
  <c r="H31"/>
  <c r="I32"/>
  <c r="H38"/>
  <c r="I39"/>
  <c r="I41"/>
  <c r="I45"/>
  <c r="I47"/>
  <c r="I49"/>
  <c r="I51"/>
  <c r="H61"/>
  <c r="H70"/>
  <c r="H84"/>
  <c r="I85"/>
  <c r="I86" s="1"/>
  <c r="H81" l="1"/>
  <c r="I90"/>
  <c r="I58" i="35" l="1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I75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I33"/>
  <c r="H33"/>
  <c r="F32"/>
  <c r="H32" s="1"/>
  <c r="F31"/>
  <c r="I31" s="1"/>
  <c r="F30"/>
  <c r="H30" s="1"/>
  <c r="F87" i="34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I76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I62" s="1"/>
  <c r="F61"/>
  <c r="H61" s="1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I33"/>
  <c r="H33"/>
  <c r="F32"/>
  <c r="H32" s="1"/>
  <c r="F31"/>
  <c r="I31" s="1"/>
  <c r="F30"/>
  <c r="H30" s="1"/>
  <c r="I75" i="33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H62" s="1"/>
  <c r="F61"/>
  <c r="H61" s="1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H38"/>
  <c r="H36"/>
  <c r="H35"/>
  <c r="F34"/>
  <c r="I34" s="1"/>
  <c r="E34"/>
  <c r="I33"/>
  <c r="H33"/>
  <c r="F32"/>
  <c r="I32" s="1"/>
  <c r="F31"/>
  <c r="H31" s="1"/>
  <c r="F30"/>
  <c r="I30" s="1"/>
  <c r="H53" i="34" l="1"/>
  <c r="H82" i="33"/>
  <c r="H58" i="34"/>
  <c r="H39" i="35"/>
  <c r="H85"/>
  <c r="H43"/>
  <c r="H58"/>
  <c r="H62"/>
  <c r="H71"/>
  <c r="H47"/>
  <c r="H49"/>
  <c r="H51"/>
  <c r="H53"/>
  <c r="H31"/>
  <c r="I30"/>
  <c r="I32"/>
  <c r="I34"/>
  <c r="I40"/>
  <c r="I42"/>
  <c r="I46"/>
  <c r="I48"/>
  <c r="I50"/>
  <c r="I52"/>
  <c r="I86"/>
  <c r="H51" i="34"/>
  <c r="I30"/>
  <c r="H31"/>
  <c r="I32"/>
  <c r="I34"/>
  <c r="H39"/>
  <c r="I40"/>
  <c r="I42"/>
  <c r="H43"/>
  <c r="I46"/>
  <c r="H47"/>
  <c r="I48"/>
  <c r="H49"/>
  <c r="I50"/>
  <c r="I52"/>
  <c r="H62"/>
  <c r="H72"/>
  <c r="H86"/>
  <c r="I87"/>
  <c r="I88" s="1"/>
  <c r="H30" i="33"/>
  <c r="I31"/>
  <c r="H32"/>
  <c r="H34"/>
  <c r="I39"/>
  <c r="H40"/>
  <c r="H42"/>
  <c r="I43"/>
  <c r="H46"/>
  <c r="I47"/>
  <c r="H48"/>
  <c r="I49"/>
  <c r="H50"/>
  <c r="I51"/>
  <c r="H52"/>
  <c r="I53"/>
  <c r="I62"/>
  <c r="I71"/>
  <c r="H85"/>
  <c r="I86"/>
  <c r="I87" l="1"/>
  <c r="I94" s="1"/>
  <c r="I87" i="35"/>
  <c r="I96" s="1"/>
  <c r="I95" i="34"/>
  <c r="H82" i="35"/>
  <c r="H83" i="34"/>
  <c r="F62" i="32" l="1"/>
  <c r="I44"/>
  <c r="H89" l="1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H62"/>
  <c r="F61"/>
  <c r="H61" s="1"/>
  <c r="H59"/>
  <c r="F58"/>
  <c r="H58" s="1"/>
  <c r="I55"/>
  <c r="F55"/>
  <c r="H55" s="1"/>
  <c r="I54"/>
  <c r="H54"/>
  <c r="F53"/>
  <c r="H53" s="1"/>
  <c r="F52"/>
  <c r="I52" s="1"/>
  <c r="F51"/>
  <c r="H51" s="1"/>
  <c r="H50"/>
  <c r="F50"/>
  <c r="I50" s="1"/>
  <c r="F49"/>
  <c r="H49" s="1"/>
  <c r="F48"/>
  <c r="I48" s="1"/>
  <c r="F47"/>
  <c r="H47" s="1"/>
  <c r="F46"/>
  <c r="I46" s="1"/>
  <c r="H44"/>
  <c r="F43"/>
  <c r="F42"/>
  <c r="I42" s="1"/>
  <c r="H41"/>
  <c r="F40"/>
  <c r="I40" s="1"/>
  <c r="F39"/>
  <c r="H39" s="1"/>
  <c r="H38"/>
  <c r="H36"/>
  <c r="H35"/>
  <c r="F34"/>
  <c r="I34" s="1"/>
  <c r="E34"/>
  <c r="I33"/>
  <c r="H33"/>
  <c r="F32"/>
  <c r="I32" s="1"/>
  <c r="F31"/>
  <c r="H31" s="1"/>
  <c r="F30"/>
  <c r="I30" s="1"/>
  <c r="I27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F87" i="31"/>
  <c r="I87" s="1"/>
  <c r="F86"/>
  <c r="H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H62" s="1"/>
  <c r="H60"/>
  <c r="F59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90" i="30"/>
  <c r="H90" s="1"/>
  <c r="H32" i="32" l="1"/>
  <c r="H43"/>
  <c r="I43"/>
  <c r="H17"/>
  <c r="H27"/>
  <c r="H40"/>
  <c r="H48"/>
  <c r="H85"/>
  <c r="H20"/>
  <c r="H30"/>
  <c r="H34"/>
  <c r="H42"/>
  <c r="H46"/>
  <c r="H82"/>
  <c r="H52"/>
  <c r="I86"/>
  <c r="I87" s="1"/>
  <c r="I16"/>
  <c r="I18"/>
  <c r="I21"/>
  <c r="I31"/>
  <c r="I39"/>
  <c r="I47"/>
  <c r="I49"/>
  <c r="I51"/>
  <c r="I53"/>
  <c r="I58"/>
  <c r="I62"/>
  <c r="I71"/>
  <c r="H28" i="31"/>
  <c r="I31"/>
  <c r="H32"/>
  <c r="I33"/>
  <c r="I35"/>
  <c r="I47"/>
  <c r="H48"/>
  <c r="I49"/>
  <c r="H50"/>
  <c r="I51"/>
  <c r="H52"/>
  <c r="I53"/>
  <c r="H54"/>
  <c r="H59"/>
  <c r="H72"/>
  <c r="I86"/>
  <c r="H87"/>
  <c r="H88" s="1"/>
  <c r="I99" i="32" l="1"/>
  <c r="I94" i="31"/>
  <c r="H83"/>
  <c r="I55" i="30" l="1"/>
  <c r="F87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I65"/>
  <c r="F65"/>
  <c r="H65" s="1"/>
  <c r="H63"/>
  <c r="F62"/>
  <c r="H62" s="1"/>
  <c r="H60"/>
  <c r="F59"/>
  <c r="H59" s="1"/>
  <c r="I56"/>
  <c r="F56"/>
  <c r="H56" s="1"/>
  <c r="H55"/>
  <c r="F54"/>
  <c r="H54" s="1"/>
  <c r="F53"/>
  <c r="H53" s="1"/>
  <c r="F52"/>
  <c r="I52" s="1"/>
  <c r="F51"/>
  <c r="H51" s="1"/>
  <c r="F50"/>
  <c r="I50" s="1"/>
  <c r="F49"/>
  <c r="H49" s="1"/>
  <c r="F48"/>
  <c r="I48" s="1"/>
  <c r="F47"/>
  <c r="H47" s="1"/>
  <c r="H45"/>
  <c r="F44"/>
  <c r="I44" s="1"/>
  <c r="F43"/>
  <c r="H43" s="1"/>
  <c r="H42"/>
  <c r="F41"/>
  <c r="H41" s="1"/>
  <c r="F40"/>
  <c r="I40" s="1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I54" l="1"/>
  <c r="I53"/>
  <c r="H83"/>
  <c r="H28"/>
  <c r="I31"/>
  <c r="H32"/>
  <c r="I33"/>
  <c r="I35"/>
  <c r="H40"/>
  <c r="I41"/>
  <c r="I43"/>
  <c r="H44"/>
  <c r="I47"/>
  <c r="H48"/>
  <c r="I49"/>
  <c r="H50"/>
  <c r="I51"/>
  <c r="H52"/>
  <c r="I59"/>
  <c r="I63"/>
  <c r="I72"/>
  <c r="H86"/>
  <c r="I87"/>
  <c r="I96" l="1"/>
  <c r="F85" i="29" l="1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I54"/>
  <c r="F54"/>
  <c r="H54" s="1"/>
  <c r="H53"/>
  <c r="F52"/>
  <c r="F5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F85" i="28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I82" i="27"/>
  <c r="H82"/>
  <c r="H80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0"/>
  <c r="H60" s="1"/>
  <c r="H58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F85" i="23"/>
  <c r="H85" s="1"/>
  <c r="F84"/>
  <c r="H84" s="1"/>
  <c r="H82"/>
  <c r="H80"/>
  <c r="I78"/>
  <c r="I77"/>
  <c r="F78"/>
  <c r="H78" s="1"/>
  <c r="F77"/>
  <c r="H77" s="1"/>
  <c r="H76"/>
  <c r="F75"/>
  <c r="H75" s="1"/>
  <c r="F74"/>
  <c r="H74" s="1"/>
  <c r="H73"/>
  <c r="F72"/>
  <c r="H72" s="1"/>
  <c r="F70"/>
  <c r="F69"/>
  <c r="F68"/>
  <c r="F67"/>
  <c r="F66"/>
  <c r="F65"/>
  <c r="F64"/>
  <c r="H64" s="1"/>
  <c r="F63"/>
  <c r="H63" s="1"/>
  <c r="H61"/>
  <c r="F60"/>
  <c r="H60" s="1"/>
  <c r="H58"/>
  <c r="F57"/>
  <c r="H57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H33"/>
  <c r="F32"/>
  <c r="H32" s="1"/>
  <c r="F31"/>
  <c r="H31" s="1"/>
  <c r="F30"/>
  <c r="H30" s="1"/>
  <c r="H51" i="28" l="1"/>
  <c r="I51"/>
  <c r="H52"/>
  <c r="I52"/>
  <c r="H66" i="23"/>
  <c r="I66"/>
  <c r="H68"/>
  <c r="I68"/>
  <c r="H65"/>
  <c r="I65"/>
  <c r="H67"/>
  <c r="I67"/>
  <c r="H69"/>
  <c r="I69"/>
  <c r="H52" i="29"/>
  <c r="I52"/>
  <c r="H51"/>
  <c r="I51"/>
  <c r="H81"/>
  <c r="I48" i="28"/>
  <c r="I46"/>
  <c r="I70"/>
  <c r="I49"/>
  <c r="I47"/>
  <c r="I45"/>
  <c r="H70" i="23"/>
  <c r="I70"/>
  <c r="H38" i="29"/>
  <c r="I39"/>
  <c r="I41"/>
  <c r="H42"/>
  <c r="I45"/>
  <c r="H46"/>
  <c r="I47"/>
  <c r="H48"/>
  <c r="I49"/>
  <c r="H50"/>
  <c r="I57"/>
  <c r="I61"/>
  <c r="I70"/>
  <c r="H84"/>
  <c r="I85"/>
  <c r="H38" i="28"/>
  <c r="I39"/>
  <c r="I41"/>
  <c r="H42"/>
  <c r="I50"/>
  <c r="H57"/>
  <c r="H61"/>
  <c r="H84"/>
  <c r="I85"/>
  <c r="H81" i="27"/>
  <c r="I38"/>
  <c r="H39"/>
  <c r="H41"/>
  <c r="I42"/>
  <c r="H50"/>
  <c r="I57"/>
  <c r="H86"/>
  <c r="I61" i="23"/>
  <c r="I94" i="28" l="1"/>
  <c r="I91" i="29"/>
  <c r="H81" i="28"/>
  <c r="I93" i="27"/>
  <c r="I84" i="23" l="1"/>
  <c r="I82"/>
  <c r="I57"/>
  <c r="I54"/>
  <c r="I43"/>
  <c r="I42"/>
  <c r="I39"/>
  <c r="I37"/>
  <c r="I33"/>
  <c r="I31"/>
  <c r="H86" l="1"/>
  <c r="I85"/>
  <c r="I86" s="1"/>
  <c r="I30"/>
  <c r="I32"/>
  <c r="I38"/>
  <c r="I41"/>
  <c r="I50"/>
  <c r="H81"/>
  <c r="I98" l="1"/>
</calcChain>
</file>

<file path=xl/sharedStrings.xml><?xml version="1.0" encoding="utf-8"?>
<sst xmlns="http://schemas.openxmlformats.org/spreadsheetml/2006/main" count="2786" uniqueCount="285">
  <si>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</si>
  <si>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</si>
  <si>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</si>
  <si>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</si>
  <si>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</si>
  <si>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</si>
  <si>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</si>
  <si>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</si>
  <si>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</si>
  <si>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</si>
  <si>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</si>
  <si>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</si>
  <si>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</si>
  <si>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</si>
  <si>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</si>
  <si>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</si>
  <si>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</si>
  <si>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</si>
  <si>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</si>
  <si>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</si>
  <si>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</si>
  <si>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</si>
  <si>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</si>
  <si>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</si>
  <si>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</si>
  <si>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</si>
  <si>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</si>
  <si>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</si>
  <si>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</si>
  <si>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</si>
  <si>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</si>
  <si>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</si>
  <si>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</si>
  <si>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</si>
  <si>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</si>
  <si>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</si>
  <si>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</si>
  <si>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</si>
  <si>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</si>
  <si>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</si>
  <si>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</si>
  <si>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</si>
  <si>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</si>
  <si>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</si>
  <si>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</si>
  <si>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</si>
  <si>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</si>
  <si>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</si>
  <si>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</si>
  <si>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</si>
  <si>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</si>
  <si>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</si>
  <si>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</si>
  <si>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</si>
  <si>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</si>
  <si>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</si>
  <si>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</si>
  <si>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</si>
  <si>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</si>
  <si>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</si>
  <si>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</si>
  <si>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</si>
  <si>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</si>
  <si>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</si>
  <si>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</si>
  <si>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</si>
  <si>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</si>
  <si>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</si>
  <si>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</si>
  <si>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</si>
  <si>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</si>
  <si>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</si>
  <si>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</si>
  <si>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</si>
  <si>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</si>
  <si>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</si>
  <si>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</si>
  <si>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</si>
  <si>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</si>
  <si>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</si>
  <si>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</si>
  <si>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</si>
  <si>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</si>
  <si>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</si>
  <si>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</si>
  <si>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</si>
  <si>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</si>
  <si>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</si>
  <si>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</si>
  <si>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</si>
  <si>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</si>
  <si>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</si>
  <si>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</si>
  <si>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</si>
  <si>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</si>
  <si>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</si>
  <si>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</si>
  <si>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</si>
  <si>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</si>
  <si>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</si>
  <si>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</si>
  <si>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</si>
  <si>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</si>
  <si>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</si>
  <si>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</si>
  <si>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</si>
  <si>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</si>
  <si>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</si>
  <si>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</si>
  <si>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</si>
  <si>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</si>
  <si>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</si>
  <si>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</si>
  <si>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35 раз за сезон</t>
  </si>
  <si>
    <t xml:space="preserve">Пескопосыпка территории: крыльца и тротуары </t>
  </si>
  <si>
    <t>Очистка чердака, подвала от мусора</t>
  </si>
  <si>
    <t>1 шт</t>
  </si>
  <si>
    <t xml:space="preserve">приемки оказанных услуг и выполненных работ по содержанию и текущему ремонту
общего имущества в многоквартирном доме №53 по ул.Октябрьская пгт.Ярега
</t>
  </si>
  <si>
    <t>V. Прочие услуги</t>
  </si>
  <si>
    <t>IV. Содержание общего имущества МКД</t>
  </si>
  <si>
    <t>III. Проведение технических осмотров</t>
  </si>
  <si>
    <t>АКТ №1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</si>
  <si>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</si>
  <si>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</si>
  <si>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</si>
  <si>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</si>
  <si>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</si>
  <si>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</si>
  <si>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</si>
  <si>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</si>
  <si>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</si>
  <si>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</si>
  <si>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</si>
  <si>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д.53</t>
    </r>
  </si>
  <si>
    <t>Итого затраты за месяц</t>
  </si>
  <si>
    <t>52 раза в сезон</t>
  </si>
  <si>
    <t>78 раз за сезон</t>
  </si>
  <si>
    <t>Сдвигание снега в дни снегопада</t>
  </si>
  <si>
    <t>Вывоз снега с придомовой территории</t>
  </si>
  <si>
    <t>1м3</t>
  </si>
  <si>
    <t>Работа автовышки</t>
  </si>
  <si>
    <t>маш-час</t>
  </si>
  <si>
    <t>Дератизация</t>
  </si>
  <si>
    <t>м2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</si>
  <si>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</si>
  <si>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</si>
  <si>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</si>
  <si>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</si>
  <si>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Смена плвкой вставки в электрощитке</t>
  </si>
  <si>
    <t>Смена светильника РКУ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</si>
  <si>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</si>
  <si>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</si>
  <si>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 xml:space="preserve">183 раза </t>
  </si>
  <si>
    <t>АКТ №11</t>
  </si>
  <si>
    <t>II. Уборка земельного участка</t>
  </si>
  <si>
    <t>АКТ №12</t>
  </si>
  <si>
    <t>АКТ №4</t>
  </si>
  <si>
    <t>28м2</t>
  </si>
  <si>
    <t>АКТ №6</t>
  </si>
  <si>
    <t>ООО «Движение»</t>
  </si>
  <si>
    <t>АКТ №7</t>
  </si>
  <si>
    <t>АКТ №5</t>
  </si>
  <si>
    <t>м</t>
  </si>
  <si>
    <t>Очистка вручную от снега и наледи люков каналиационных и водопроводных колодцев</t>
  </si>
  <si>
    <t>1 раз</t>
  </si>
  <si>
    <t>Смена внутренних трубопроводов на полипропиленовые трубы PN 25 Dу 25</t>
  </si>
  <si>
    <t>39 м3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</si>
  <si>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</si>
  <si>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</si>
  <si>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</si>
  <si>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</si>
  <si>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</si>
  <si>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5 раз</t>
  </si>
  <si>
    <t>25 раз</t>
  </si>
  <si>
    <t>7 раз</t>
  </si>
  <si>
    <t>21 раз</t>
  </si>
  <si>
    <t>6 раз</t>
  </si>
  <si>
    <t xml:space="preserve">1 раз      </t>
  </si>
  <si>
    <t xml:space="preserve">1 раз    </t>
  </si>
  <si>
    <t xml:space="preserve">1 раз     </t>
  </si>
  <si>
    <t xml:space="preserve">1 раз  </t>
  </si>
  <si>
    <t>3 маш/час</t>
  </si>
  <si>
    <t>1шт.</t>
  </si>
  <si>
    <t>104м3</t>
  </si>
  <si>
    <t>под.№1</t>
  </si>
  <si>
    <t>Смена арматуры - вентилей и клапанов обратных муфтовых диаметром до 20 мм ( без материалов)</t>
  </si>
  <si>
    <t>3 раза</t>
  </si>
  <si>
    <t xml:space="preserve">1 раз   </t>
  </si>
  <si>
    <t>11 раз</t>
  </si>
  <si>
    <t>Осмотр электросетей, армазуры и электрооборудования на лестничных клетках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</si>
  <si>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 стороны, и ООО «Движение», именуемое в дальнейшем "Исполнитель", в лице генерального директора Кочановой  Ирины 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</si>
  <si>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10 раз</t>
  </si>
  <si>
    <t>18 раз</t>
  </si>
  <si>
    <t>22 раз</t>
  </si>
  <si>
    <t>Смена арматуры - вентилей и клапанов обратных муфтовых диаметром до 20 мм</t>
  </si>
  <si>
    <t>генеральный директор Кочанова И.Л.</t>
  </si>
  <si>
    <t>10 м2</t>
  </si>
  <si>
    <t>Подключение и отключение сварочного аппарата</t>
  </si>
  <si>
    <t>за период с 01.01.2021 г. по 31.01.2021 г.</t>
  </si>
  <si>
    <t>Замена блока питания на СПТ 941</t>
  </si>
  <si>
    <t>Смена автомата на ток до 25А</t>
  </si>
  <si>
    <t>Смена дверных приборов - пружины</t>
  </si>
  <si>
    <t>Ремонт и регулировка доводчика (со стоимостью доводчика)</t>
  </si>
  <si>
    <t>Сварочные работы</t>
  </si>
  <si>
    <t>час</t>
  </si>
  <si>
    <t>1 шт. ХВС кв.37</t>
  </si>
  <si>
    <t>1 шт. под. №2</t>
  </si>
  <si>
    <t>под. №1</t>
  </si>
  <si>
    <t>2. Всего за период с 01.01.2021 по 31.01.2021 выполнено работ (оказано услуг) на общую сумму: 38561,81 руб.</t>
  </si>
  <si>
    <t>(тридцать восемь тысяч пятьсот шестьдесят один рубль 81 копейка)</t>
  </si>
  <si>
    <t>за период с 01.02.2021 г. по 29.02.2021 г.</t>
  </si>
  <si>
    <t>29.02.2021</t>
  </si>
  <si>
    <t>Установка информационных стендов</t>
  </si>
  <si>
    <t>1 ч ( 2,5 февр)</t>
  </si>
  <si>
    <t>1 и 2 под.</t>
  </si>
  <si>
    <t>2. Всего за период с 01.02.2021 по 29.02.2021 выполнено работ (оказано услуг) на общую сумму: 48739,47 руб.</t>
  </si>
  <si>
    <t>( сорок восемь тысяч семьсот тридцать девять рублей 47 копеек)</t>
  </si>
  <si>
    <t>за период с 01.03.2021 г. по 31.03.2021 г.</t>
  </si>
  <si>
    <t>11 марта</t>
  </si>
  <si>
    <t xml:space="preserve">Осмотр водопроводов, канализации, отопления </t>
  </si>
  <si>
    <t>Установка трапов</t>
  </si>
  <si>
    <t>100 м</t>
  </si>
  <si>
    <t>4,17,18,25 марта</t>
  </si>
  <si>
    <t>за период с 01.04.2021 г. по 30.04.2021 г.</t>
  </si>
  <si>
    <t>1,2 апр.</t>
  </si>
  <si>
    <t>Крепление почтовых ящиков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</si>
  <si>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</si>
  <si>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</si>
  <si>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1 шт. ХВС кв. 38</t>
  </si>
  <si>
    <t>под.№2</t>
  </si>
  <si>
    <t>ХВС кв.38</t>
  </si>
  <si>
    <t>за период с 01.05.2021 г. по 31.05.2021 г.</t>
  </si>
  <si>
    <t>2. Всего за период с 01.05.2021 по 31.05.2021 выполнено работ (оказано услуг) на общую сумму: 42426,25 руб.</t>
  </si>
  <si>
    <t>(сорок две тысячи четыреста двадцать шесть рублей 25 копеек)</t>
  </si>
  <si>
    <t>2. Всего за период с 01.04.2021 по 30.04.2021 выполнено работ (оказано услуг) на общую сумму: 30544,97руб.</t>
  </si>
  <si>
    <t>(тридцать тысяч пятьсот сорок четыре рубля 97 копеек)</t>
  </si>
  <si>
    <t>2. Всего за период с 01.03.2021 по 31.03.2021 выполнено работ (оказано услуг) на общую сумму: 40506,27 руб.</t>
  </si>
  <si>
    <t>(сорок тысяч пятьсот шесть рублей 27 копеек)</t>
  </si>
  <si>
    <t>за период с 01.06.2021 г. по 30.06.2021 г.</t>
  </si>
  <si>
    <t>Очистка канализационной сети внутренней</t>
  </si>
  <si>
    <t>10м</t>
  </si>
  <si>
    <t>1 шт. с/о кв.20</t>
  </si>
  <si>
    <t>1 шт. ХВС кв.38, кв.20 с/о 1 шт.</t>
  </si>
  <si>
    <t>Ремонт кирпичной кладки вентиляционной трубы и короба</t>
  </si>
  <si>
    <t>Изготовление и установка крышек на венткороба</t>
  </si>
  <si>
    <t>над кв.18</t>
  </si>
  <si>
    <t>Поверка приборов учета системы отпления на поверкку</t>
  </si>
  <si>
    <t>руб</t>
  </si>
  <si>
    <t>2. Всего за период с 01.06.2021 по 30.06.2021 выполнено работ (оказано услуг) на общую сумму: 127447,34 руб.</t>
  </si>
  <si>
    <t>(сто двадцать семь тысяч четыреста сорок семь рублей 34 копейки)</t>
  </si>
  <si>
    <t>за период с 01.07.2021 г. по 31.07.2021 г.</t>
  </si>
  <si>
    <t>Замена прокладок</t>
  </si>
  <si>
    <t>Демонтаж доски с кровли</t>
  </si>
  <si>
    <t>2 м</t>
  </si>
  <si>
    <t>кв.3-2 шт.</t>
  </si>
  <si>
    <t>2. Всего за период с 01.07.2021 по 31.07.2021 выполнено работ (оказано услуг) на общую сумму: 25549,52 руб.</t>
  </si>
  <si>
    <t>(двадцать пять тысяч пятьсот сорок девять рублей 52 копейки)</t>
  </si>
  <si>
    <t>за период с 01.08.2021 г. по 31.08.2021 г.</t>
  </si>
  <si>
    <t>Очистка цоколя и отмостки от растительности</t>
  </si>
  <si>
    <t>Подключение уличного освещения</t>
  </si>
  <si>
    <t>2. Всего за период с 01.08.2021 по 31.08.2021 выполнено работ (оказано услуг) на общую сумму: 34697,94 руб.</t>
  </si>
  <si>
    <t>(тридцать четыре тысячи шестьсот девяносто семь рублей 94 копейки)</t>
  </si>
  <si>
    <t>за период с 01.09.2021 г. по 30.09.2021 г.</t>
  </si>
  <si>
    <t>Внеплановая проверка вентканалов</t>
  </si>
  <si>
    <t>Осмотр чердака</t>
  </si>
  <si>
    <t>Нумерация подъездов и квартир</t>
  </si>
  <si>
    <t>Подключение приборов на ГВС, отопление</t>
  </si>
  <si>
    <t>кв.18</t>
  </si>
  <si>
    <t>2. Всего за период с 01.09.2021 по 30.09.2021 выполнено работ (оказано услуг) на общую сумму: 34747,02 руб.</t>
  </si>
  <si>
    <t>(тридцать четыре тысячи семьсот сорок семь рублей 02 копейки)</t>
  </si>
  <si>
    <t>за период с 01.10.2021 г. по 31.10.2021 г.</t>
  </si>
  <si>
    <t>2. Всего за период с 01.10.2021 по 31.10.2021 выполнено работ (оказано услуг) на общую сумму: 22141,52 руб.</t>
  </si>
  <si>
    <t>(двадцать две тысячи сто сорок один рубль 52 копейки)</t>
  </si>
  <si>
    <t>за период с 01.11.2021 г. по 30.11.2021 г.</t>
  </si>
  <si>
    <t>Подборка мусора, налетевшего с контейнерной площадки</t>
  </si>
  <si>
    <t>1 м с/о кв.23</t>
  </si>
  <si>
    <t>1 шт. под.№1</t>
  </si>
  <si>
    <t>19,29 ноября</t>
  </si>
  <si>
    <t>2. Всего за период с 01.11.2021 по 30.11.2021 выполнено работ (оказано услуг) на общую сумму: 30976,32 руб.</t>
  </si>
  <si>
    <t>(тридцать тысяч девятьсот семьдесят шесть рублей 32 копейки)</t>
  </si>
  <si>
    <t>за период с 01.12.2021 г. по 31.12.2021 г.</t>
  </si>
  <si>
    <t>2,16 декабря</t>
  </si>
  <si>
    <t>кв.31 ГВС 1 шт, ХВС 1 шт.</t>
  </si>
  <si>
    <t>2. Всего за период с 01.12.2021 по 31.12.2021 выполнено работ (оказано услуг) на общую сумму: 33689,94 руб.</t>
  </si>
  <si>
    <t>(тридцать три тысячи шестьсот восемьдесят девять рублей 94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</si>
</sst>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0" xfId="0" applyFont="1" applyFill="1"/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2" borderId="8" xfId="0" applyNumberFormat="1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topLeftCell="A79" workbookViewId="0">
      <selection activeCell="G89" sqref="G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121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198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44227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2" t="s">
        <v>154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100</v>
      </c>
      <c r="C30" s="46" t="s">
        <v>83</v>
      </c>
      <c r="D30" s="35" t="s">
        <v>135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99</v>
      </c>
      <c r="C31" s="46" t="s">
        <v>83</v>
      </c>
      <c r="D31" s="35" t="s">
        <v>136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124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30</v>
      </c>
      <c r="D38" s="170">
        <v>44221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G38*0.4</f>
        <v>801.2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137</v>
      </c>
      <c r="C39" s="55" t="s">
        <v>28</v>
      </c>
      <c r="D39" s="35" t="s">
        <v>172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65</v>
      </c>
      <c r="C40" s="46" t="s">
        <v>28</v>
      </c>
      <c r="D40" s="35" t="s">
        <v>173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138</v>
      </c>
      <c r="C41" s="46" t="s">
        <v>139</v>
      </c>
      <c r="D41" s="35" t="s">
        <v>64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77</v>
      </c>
      <c r="C42" s="46" t="s">
        <v>83</v>
      </c>
      <c r="D42" s="35" t="s">
        <v>176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hidden="1" customHeight="1">
      <c r="A43" s="30">
        <v>10</v>
      </c>
      <c r="B43" s="35" t="s">
        <v>114</v>
      </c>
      <c r="C43" s="46" t="s">
        <v>83</v>
      </c>
      <c r="D43" s="35" t="s">
        <v>174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F43/7.5*G43</f>
        <v>367.37414999999999</v>
      </c>
      <c r="J43" s="24"/>
      <c r="L43" s="19"/>
      <c r="M43" s="20"/>
      <c r="N43" s="21"/>
    </row>
    <row r="44" spans="1:14" ht="15.75" hidden="1" customHeight="1">
      <c r="A44" s="30">
        <v>11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F44/7.5*G44</f>
        <v>64.988666666666674</v>
      </c>
      <c r="J44" s="24"/>
      <c r="L44" s="19"/>
      <c r="M44" s="20"/>
      <c r="N44" s="21"/>
    </row>
    <row r="45" spans="1:14" ht="15.75" customHeight="1">
      <c r="A45" s="202" t="s">
        <v>120</v>
      </c>
      <c r="B45" s="203"/>
      <c r="C45" s="203"/>
      <c r="D45" s="203"/>
      <c r="E45" s="203"/>
      <c r="F45" s="203"/>
      <c r="G45" s="203"/>
      <c r="H45" s="203"/>
      <c r="I45" s="204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customHeight="1">
      <c r="A51" s="30">
        <v>10</v>
      </c>
      <c r="B51" s="35" t="s">
        <v>54</v>
      </c>
      <c r="C51" s="46" t="s">
        <v>83</v>
      </c>
      <c r="D51" s="35" t="s">
        <v>164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.75" hidden="1" customHeight="1">
      <c r="A55" s="109">
        <v>14</v>
      </c>
      <c r="B55" s="105" t="s">
        <v>40</v>
      </c>
      <c r="C55" s="106" t="s">
        <v>102</v>
      </c>
      <c r="D55" s="105" t="s">
        <v>68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95" t="s">
        <v>119</v>
      </c>
      <c r="B56" s="195"/>
      <c r="C56" s="195"/>
      <c r="D56" s="195"/>
      <c r="E56" s="195"/>
      <c r="F56" s="195"/>
      <c r="G56" s="195"/>
      <c r="H56" s="195"/>
      <c r="I56" s="195"/>
      <c r="J56" s="24"/>
      <c r="L56" s="19"/>
      <c r="M56" s="20"/>
      <c r="N56" s="21"/>
    </row>
    <row r="57" spans="1:22" ht="15.75" hidden="1" customHeight="1">
      <c r="A57" s="30"/>
      <c r="B57" s="130" t="s">
        <v>42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1.5" hidden="1" customHeight="1">
      <c r="A58" s="30">
        <v>15</v>
      </c>
      <c r="B58" s="41" t="s">
        <v>103</v>
      </c>
      <c r="C58" s="42" t="s">
        <v>80</v>
      </c>
      <c r="D58" s="41" t="s">
        <v>104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F58/6*G58</f>
        <v>1115.9116199999996</v>
      </c>
      <c r="J58" s="24"/>
      <c r="L58" s="19"/>
    </row>
    <row r="59" spans="1:22" ht="15.75" hidden="1" customHeight="1">
      <c r="A59" s="30"/>
      <c r="B59" s="41" t="s">
        <v>140</v>
      </c>
      <c r="C59" s="42" t="s">
        <v>141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  <c r="J59" s="24"/>
      <c r="L59" s="19"/>
    </row>
    <row r="60" spans="1:22" ht="15.75" customHeight="1">
      <c r="A60" s="30"/>
      <c r="B60" s="130" t="s">
        <v>43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11</v>
      </c>
      <c r="B62" s="41" t="s">
        <v>142</v>
      </c>
      <c r="C62" s="42" t="s">
        <v>143</v>
      </c>
      <c r="D62" s="105" t="s">
        <v>164</v>
      </c>
      <c r="E62" s="107">
        <v>100</v>
      </c>
      <c r="F62" s="101">
        <f>E62*12</f>
        <v>1200</v>
      </c>
      <c r="G62" s="108">
        <v>1.4</v>
      </c>
      <c r="H62" s="39">
        <f>F62*G62/1000</f>
        <v>1.68</v>
      </c>
      <c r="I62" s="13">
        <f>F62/12*G62</f>
        <v>140</v>
      </c>
    </row>
    <row r="63" spans="1:22" ht="15.75" hidden="1" customHeight="1">
      <c r="A63" s="113"/>
      <c r="B63" s="114" t="s">
        <v>44</v>
      </c>
      <c r="C63" s="115"/>
      <c r="D63" s="116"/>
      <c r="E63" s="86"/>
      <c r="F63" s="117"/>
      <c r="G63" s="117"/>
      <c r="H63" s="118" t="s">
        <v>111</v>
      </c>
      <c r="I63" s="119"/>
    </row>
    <row r="64" spans="1:22" ht="15.75" hidden="1" customHeight="1">
      <c r="A64" s="30">
        <v>12</v>
      </c>
      <c r="B64" s="58" t="s">
        <v>45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291.68</v>
      </c>
      <c r="H64" s="79">
        <f t="shared" ref="H64:H71" si="9">SUM(F64*G64/1000)</f>
        <v>1.4584000000000001</v>
      </c>
      <c r="I64" s="13">
        <f>G64*2</f>
        <v>583.36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46</v>
      </c>
      <c r="C65" s="42" t="s">
        <v>102</v>
      </c>
      <c r="D65" s="41" t="s">
        <v>64</v>
      </c>
      <c r="E65" s="17">
        <v>5</v>
      </c>
      <c r="F65" s="34">
        <f>E65</f>
        <v>5</v>
      </c>
      <c r="G65" s="39">
        <v>100.01</v>
      </c>
      <c r="H65" s="79">
        <f t="shared" si="9"/>
        <v>0.50004999999999999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21" ht="15.75" hidden="1" customHeight="1">
      <c r="A73" s="30"/>
      <c r="B73" s="14" t="s">
        <v>144</v>
      </c>
      <c r="C73" s="16" t="s">
        <v>145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146</v>
      </c>
      <c r="C74" s="16" t="s">
        <v>147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/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v>0</v>
      </c>
    </row>
    <row r="76" spans="1:21" ht="15.75" hidden="1" customHeight="1">
      <c r="A76" s="30"/>
      <c r="B76" s="14" t="s">
        <v>148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149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12</v>
      </c>
      <c r="B78" s="56" t="s">
        <v>150</v>
      </c>
      <c r="C78" s="57" t="s">
        <v>102</v>
      </c>
      <c r="D78" s="14" t="s">
        <v>171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13</v>
      </c>
      <c r="B79" s="56" t="s">
        <v>151</v>
      </c>
      <c r="C79" s="57" t="s">
        <v>102</v>
      </c>
      <c r="D79" s="14" t="s">
        <v>171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t="15.75" hidden="1" customHeight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95" t="s">
        <v>118</v>
      </c>
      <c r="B84" s="195"/>
      <c r="C84" s="195"/>
      <c r="D84" s="195"/>
      <c r="E84" s="195"/>
      <c r="F84" s="195"/>
      <c r="G84" s="195"/>
      <c r="H84" s="195"/>
      <c r="I84" s="195"/>
    </row>
    <row r="85" spans="1:9" ht="15.75" customHeight="1">
      <c r="A85" s="30">
        <v>14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15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I86+I85+I79+I78+I62+I51+I42+I40+I39+I38+I27+I20+I18+I17+I16</f>
        <v>31890.377081666666</v>
      </c>
    </row>
    <row r="88" spans="1:9" ht="15.75" customHeight="1">
      <c r="A88" s="184" t="s">
        <v>58</v>
      </c>
      <c r="B88" s="185"/>
      <c r="C88" s="185"/>
      <c r="D88" s="185"/>
      <c r="E88" s="185"/>
      <c r="F88" s="185"/>
      <c r="G88" s="185"/>
      <c r="H88" s="185"/>
      <c r="I88" s="186"/>
    </row>
    <row r="89" spans="1:9" ht="29.25" customHeight="1">
      <c r="A89" s="30">
        <v>16</v>
      </c>
      <c r="B89" s="134" t="s">
        <v>163</v>
      </c>
      <c r="C89" s="61" t="s">
        <v>28</v>
      </c>
      <c r="D89" s="41"/>
      <c r="E89" s="17"/>
      <c r="F89" s="135">
        <f>27*0.599/1000</f>
        <v>1.6173E-2</v>
      </c>
      <c r="G89" s="159">
        <v>21369.24</v>
      </c>
      <c r="H89" s="79">
        <f>G89*F89/1000</f>
        <v>0.34560471852000002</v>
      </c>
      <c r="I89" s="13">
        <f>G89*0.599*6/1000</f>
        <v>76.801048559999998</v>
      </c>
    </row>
    <row r="90" spans="1:9" ht="29.25" customHeight="1">
      <c r="A90" s="30">
        <v>17</v>
      </c>
      <c r="B90" s="134" t="s">
        <v>185</v>
      </c>
      <c r="C90" s="61" t="s">
        <v>116</v>
      </c>
      <c r="D90" s="41" t="s">
        <v>205</v>
      </c>
      <c r="E90" s="17"/>
      <c r="F90" s="135">
        <v>1</v>
      </c>
      <c r="G90" s="39">
        <v>614.47</v>
      </c>
      <c r="H90" s="79"/>
      <c r="I90" s="13">
        <f>G90*1</f>
        <v>614.47</v>
      </c>
    </row>
    <row r="91" spans="1:9" ht="15" customHeight="1">
      <c r="A91" s="30">
        <v>18</v>
      </c>
      <c r="B91" s="134" t="s">
        <v>199</v>
      </c>
      <c r="C91" s="61" t="s">
        <v>102</v>
      </c>
      <c r="D91" s="41"/>
      <c r="E91" s="17"/>
      <c r="F91" s="39">
        <v>1</v>
      </c>
      <c r="G91" s="39">
        <v>1928.29</v>
      </c>
      <c r="H91" s="79"/>
      <c r="I91" s="13">
        <f>G91*1</f>
        <v>1928.29</v>
      </c>
    </row>
    <row r="92" spans="1:9" ht="17.25" customHeight="1">
      <c r="A92" s="30">
        <v>19</v>
      </c>
      <c r="B92" s="134" t="s">
        <v>200</v>
      </c>
      <c r="C92" s="61" t="s">
        <v>102</v>
      </c>
      <c r="D92" s="41"/>
      <c r="E92" s="17"/>
      <c r="F92" s="39">
        <v>1</v>
      </c>
      <c r="G92" s="39">
        <v>723.12</v>
      </c>
      <c r="H92" s="79"/>
      <c r="I92" s="13">
        <f>G92*1</f>
        <v>723.12</v>
      </c>
    </row>
    <row r="93" spans="1:9" ht="37.5" customHeight="1">
      <c r="A93" s="30">
        <v>20</v>
      </c>
      <c r="B93" s="134" t="s">
        <v>189</v>
      </c>
      <c r="C93" s="61" t="s">
        <v>37</v>
      </c>
      <c r="D93" s="41" t="s">
        <v>164</v>
      </c>
      <c r="E93" s="17"/>
      <c r="F93" s="39">
        <v>0.01</v>
      </c>
      <c r="G93" s="39">
        <v>4233.72</v>
      </c>
      <c r="H93" s="79"/>
      <c r="I93" s="13">
        <v>0</v>
      </c>
    </row>
    <row r="94" spans="1:9" ht="17.25" customHeight="1">
      <c r="A94" s="30">
        <v>21</v>
      </c>
      <c r="B94" s="174" t="s">
        <v>201</v>
      </c>
      <c r="C94" s="175" t="s">
        <v>102</v>
      </c>
      <c r="D94" s="41" t="s">
        <v>206</v>
      </c>
      <c r="E94" s="17"/>
      <c r="F94" s="39">
        <v>1</v>
      </c>
      <c r="G94" s="39">
        <v>368.33</v>
      </c>
      <c r="H94" s="79"/>
      <c r="I94" s="13">
        <f>G94*1</f>
        <v>368.33</v>
      </c>
    </row>
    <row r="95" spans="1:9" ht="36" customHeight="1">
      <c r="A95" s="30">
        <v>22</v>
      </c>
      <c r="B95" s="160" t="s">
        <v>202</v>
      </c>
      <c r="C95" s="158" t="s">
        <v>182</v>
      </c>
      <c r="D95" s="41" t="s">
        <v>207</v>
      </c>
      <c r="E95" s="17"/>
      <c r="F95" s="39">
        <v>1</v>
      </c>
      <c r="G95" s="39">
        <v>2287.54</v>
      </c>
      <c r="H95" s="79"/>
      <c r="I95" s="13">
        <f>G95*1</f>
        <v>2287.54</v>
      </c>
    </row>
    <row r="96" spans="1:9" ht="17.25" customHeight="1">
      <c r="A96" s="30">
        <v>23</v>
      </c>
      <c r="B96" s="134" t="s">
        <v>203</v>
      </c>
      <c r="C96" s="61" t="s">
        <v>204</v>
      </c>
      <c r="D96" s="41"/>
      <c r="E96" s="17"/>
      <c r="F96" s="39">
        <v>1</v>
      </c>
      <c r="G96" s="39">
        <v>672.88</v>
      </c>
      <c r="H96" s="79"/>
      <c r="I96" s="13">
        <f>G96*1</f>
        <v>672.88</v>
      </c>
    </row>
    <row r="97" spans="1:9" ht="15.75" customHeight="1">
      <c r="A97" s="30"/>
      <c r="B97" s="50" t="s">
        <v>50</v>
      </c>
      <c r="C97" s="57"/>
      <c r="D97" s="52"/>
      <c r="E97" s="13"/>
      <c r="F97" s="13"/>
      <c r="G97" s="13"/>
      <c r="H97" s="80"/>
      <c r="I97" s="87">
        <f>SUM(I89:I96)</f>
        <v>6671.4310485599999</v>
      </c>
    </row>
    <row r="98" spans="1:9">
      <c r="A98" s="30"/>
      <c r="B98" s="52" t="s">
        <v>75</v>
      </c>
      <c r="C98" s="15"/>
      <c r="D98" s="15"/>
      <c r="E98" s="47"/>
      <c r="F98" s="47"/>
      <c r="G98" s="48"/>
      <c r="H98" s="48"/>
      <c r="I98" s="17">
        <v>0</v>
      </c>
    </row>
    <row r="99" spans="1:9">
      <c r="A99" s="54"/>
      <c r="B99" s="51" t="s">
        <v>134</v>
      </c>
      <c r="C99" s="38"/>
      <c r="D99" s="38"/>
      <c r="E99" s="38"/>
      <c r="F99" s="38"/>
      <c r="G99" s="38"/>
      <c r="H99" s="38"/>
      <c r="I99" s="49">
        <f>I87+I97</f>
        <v>38561.808130226666</v>
      </c>
    </row>
    <row r="100" spans="1:9" ht="15.75" customHeight="1">
      <c r="A100" s="187" t="s">
        <v>208</v>
      </c>
      <c r="B100" s="187"/>
      <c r="C100" s="187"/>
      <c r="D100" s="187"/>
      <c r="E100" s="187"/>
      <c r="F100" s="187"/>
      <c r="G100" s="187"/>
      <c r="H100" s="187"/>
      <c r="I100" s="187"/>
    </row>
    <row r="101" spans="1:9" ht="15.75" customHeight="1">
      <c r="A101" s="68">
        <v>4</v>
      </c>
      <c r="B101" s="188" t="s">
        <v>209</v>
      </c>
      <c r="C101" s="188"/>
      <c r="D101" s="188"/>
      <c r="E101" s="188"/>
      <c r="F101" s="188"/>
      <c r="G101" s="188"/>
      <c r="H101" s="78"/>
      <c r="I101" s="3"/>
    </row>
    <row r="102" spans="1:9">
      <c r="A102" s="128"/>
      <c r="B102" s="189" t="s">
        <v>6</v>
      </c>
      <c r="C102" s="189"/>
      <c r="D102" s="189"/>
      <c r="E102" s="189"/>
      <c r="F102" s="189"/>
      <c r="G102" s="189"/>
      <c r="H102" s="25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90" t="s">
        <v>7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 customHeight="1">
      <c r="A105" s="190" t="s">
        <v>8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>
      <c r="A106" s="191" t="s">
        <v>59</v>
      </c>
      <c r="B106" s="191"/>
      <c r="C106" s="191"/>
      <c r="D106" s="191"/>
      <c r="E106" s="191"/>
      <c r="F106" s="191"/>
      <c r="G106" s="191"/>
      <c r="H106" s="191"/>
      <c r="I106" s="191"/>
    </row>
    <row r="107" spans="1:9" ht="15.75">
      <c r="A107" s="11"/>
    </row>
    <row r="108" spans="1:9" ht="15.75" customHeight="1">
      <c r="A108" s="192" t="s">
        <v>9</v>
      </c>
      <c r="B108" s="192"/>
      <c r="C108" s="192"/>
      <c r="D108" s="192"/>
      <c r="E108" s="192"/>
      <c r="F108" s="192"/>
      <c r="G108" s="192"/>
      <c r="H108" s="192"/>
      <c r="I108" s="192"/>
    </row>
    <row r="109" spans="1:9" ht="15.75" customHeight="1">
      <c r="A109" s="4"/>
    </row>
    <row r="110" spans="1:9" ht="15.75" customHeight="1">
      <c r="B110" s="133" t="s">
        <v>10</v>
      </c>
      <c r="C110" s="193" t="s">
        <v>195</v>
      </c>
      <c r="D110" s="193"/>
      <c r="E110" s="193"/>
      <c r="F110" s="76"/>
      <c r="I110" s="132"/>
    </row>
    <row r="111" spans="1:9" ht="15.75" customHeight="1">
      <c r="A111" s="128"/>
      <c r="C111" s="189" t="s">
        <v>11</v>
      </c>
      <c r="D111" s="189"/>
      <c r="E111" s="189"/>
      <c r="F111" s="25"/>
      <c r="I111" s="131" t="s">
        <v>12</v>
      </c>
    </row>
    <row r="112" spans="1:9" ht="15.75" customHeight="1">
      <c r="A112" s="26"/>
      <c r="C112" s="12"/>
      <c r="D112" s="12"/>
      <c r="G112" s="12"/>
      <c r="H112" s="12"/>
    </row>
    <row r="113" spans="1:9" ht="15.75" customHeight="1">
      <c r="B113" s="133" t="s">
        <v>13</v>
      </c>
      <c r="C113" s="194"/>
      <c r="D113" s="194"/>
      <c r="E113" s="194"/>
      <c r="F113" s="77"/>
      <c r="I113" s="132"/>
    </row>
    <row r="114" spans="1:9">
      <c r="A114" s="128"/>
      <c r="C114" s="183" t="s">
        <v>11</v>
      </c>
      <c r="D114" s="183"/>
      <c r="E114" s="183"/>
      <c r="F114" s="128"/>
      <c r="I114" s="131" t="s">
        <v>12</v>
      </c>
    </row>
    <row r="115" spans="1:9" ht="15.75">
      <c r="A115" s="4" t="s">
        <v>14</v>
      </c>
    </row>
    <row r="116" spans="1:9">
      <c r="A116" s="181" t="s">
        <v>15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45" customHeight="1">
      <c r="A117" s="182" t="s">
        <v>16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30" customHeight="1">
      <c r="A118" s="182" t="s">
        <v>17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30" customHeight="1">
      <c r="A119" s="182" t="s">
        <v>21</v>
      </c>
      <c r="B119" s="182"/>
      <c r="C119" s="182"/>
      <c r="D119" s="182"/>
      <c r="E119" s="182"/>
      <c r="F119" s="182"/>
      <c r="G119" s="182"/>
      <c r="H119" s="182"/>
      <c r="I119" s="182"/>
    </row>
    <row r="120" spans="1:9" ht="15" customHeight="1">
      <c r="A120" s="182" t="s">
        <v>20</v>
      </c>
      <c r="B120" s="182"/>
      <c r="C120" s="182"/>
      <c r="D120" s="182"/>
      <c r="E120" s="182"/>
      <c r="F120" s="182"/>
      <c r="G120" s="182"/>
      <c r="H120" s="182"/>
      <c r="I120" s="182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14:E114"/>
    <mergeCell ref="A88:I88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4:I84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topLeftCell="A20" workbookViewId="0">
      <selection activeCell="D99" sqref="D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132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270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44500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191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G16*F16/156*10</f>
        <v>868.94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172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G17*F17/104*5</f>
        <v>1737.8799999999999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5</v>
      </c>
      <c r="B27" s="35" t="s">
        <v>167</v>
      </c>
      <c r="C27" s="46" t="s">
        <v>143</v>
      </c>
      <c r="D27" s="35" t="s">
        <v>192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G27*F27/258*18</f>
        <v>755.56079999999997</v>
      </c>
      <c r="J27" s="24"/>
    </row>
    <row r="28" spans="1:13" ht="15.75" customHeight="1">
      <c r="A28" s="202" t="s">
        <v>78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5</v>
      </c>
      <c r="B30" s="81" t="s">
        <v>100</v>
      </c>
      <c r="C30" s="46" t="s">
        <v>83</v>
      </c>
      <c r="D30" s="35" t="s">
        <v>172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>G30*F30/52*5</f>
        <v>339.26817999999997</v>
      </c>
      <c r="J30" s="23"/>
      <c r="K30" s="8"/>
      <c r="L30" s="8"/>
      <c r="M30" s="8"/>
    </row>
    <row r="31" spans="1:13" ht="31.5" customHeight="1">
      <c r="A31" s="30">
        <v>6</v>
      </c>
      <c r="B31" s="81" t="s">
        <v>99</v>
      </c>
      <c r="C31" s="46" t="s">
        <v>83</v>
      </c>
      <c r="D31" s="35" t="s">
        <v>191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>G31*F31/78*10</f>
        <v>369.39969000000008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7</v>
      </c>
      <c r="B33" s="81" t="s">
        <v>124</v>
      </c>
      <c r="C33" s="46" t="s">
        <v>39</v>
      </c>
      <c r="D33" s="35" t="s">
        <v>193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>G33*F33/155*22</f>
        <v>751.35720000000003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ref="H34:H35" si="2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3">SUM(F37*G37/1000)</f>
        <v>8.0120000000000005</v>
      </c>
      <c r="I37" s="13">
        <f t="shared" ref="I37:I43" si="4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137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3"/>
        <v>9.0096672600000005</v>
      </c>
      <c r="I38" s="13">
        <f t="shared" si="4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3"/>
        <v>7.76490759</v>
      </c>
      <c r="I39" s="13">
        <f t="shared" si="4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138</v>
      </c>
      <c r="C40" s="46" t="s">
        <v>139</v>
      </c>
      <c r="D40" s="35" t="s">
        <v>64</v>
      </c>
      <c r="E40" s="100"/>
      <c r="F40" s="37">
        <v>39</v>
      </c>
      <c r="G40" s="34">
        <v>314</v>
      </c>
      <c r="H40" s="101">
        <f t="shared" si="3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3"/>
        <v>10.655624</v>
      </c>
      <c r="I41" s="13">
        <f t="shared" si="4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3"/>
        <v>2.7553061250000002</v>
      </c>
      <c r="I42" s="13">
        <f t="shared" si="4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3"/>
        <v>0.48741500000000004</v>
      </c>
      <c r="I43" s="13">
        <f t="shared" si="4"/>
        <v>81.235833333333332</v>
      </c>
      <c r="J43" s="24"/>
      <c r="L43" s="19"/>
      <c r="M43" s="20"/>
      <c r="N43" s="21"/>
    </row>
    <row r="44" spans="1:14" ht="18.75" hidden="1" customHeight="1">
      <c r="A44" s="202" t="s">
        <v>120</v>
      </c>
      <c r="B44" s="203"/>
      <c r="C44" s="203"/>
      <c r="D44" s="203"/>
      <c r="E44" s="203"/>
      <c r="F44" s="203"/>
      <c r="G44" s="203"/>
      <c r="H44" s="203"/>
      <c r="I44" s="204"/>
      <c r="J44" s="24"/>
      <c r="L44" s="19"/>
      <c r="M44" s="20"/>
      <c r="N44" s="21"/>
    </row>
    <row r="45" spans="1:14" ht="16.5" hidden="1" customHeight="1">
      <c r="A45" s="30">
        <v>12</v>
      </c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5">SUM(F45*G45/1000)</f>
        <v>1.7817811199999998</v>
      </c>
      <c r="I45" s="13">
        <f t="shared" ref="I45:I48" si="6">F45/2*G45</f>
        <v>890.89055999999994</v>
      </c>
      <c r="J45" s="24"/>
      <c r="L45" s="19"/>
      <c r="M45" s="20"/>
      <c r="N45" s="21"/>
    </row>
    <row r="46" spans="1:14" ht="18.75" hidden="1" customHeight="1">
      <c r="A46" s="30">
        <v>13</v>
      </c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5"/>
        <v>3.9518959999999999E-2</v>
      </c>
      <c r="I46" s="13">
        <f t="shared" si="6"/>
        <v>19.75948</v>
      </c>
      <c r="J46" s="24"/>
      <c r="L46" s="19"/>
      <c r="M46" s="20"/>
      <c r="N46" s="21"/>
    </row>
    <row r="47" spans="1:14" ht="16.5" hidden="1" customHeight="1">
      <c r="A47" s="30">
        <v>14</v>
      </c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5"/>
        <v>1.33604484</v>
      </c>
      <c r="I47" s="13">
        <f t="shared" si="6"/>
        <v>668.02242000000001</v>
      </c>
      <c r="J47" s="24"/>
      <c r="L47" s="19"/>
      <c r="M47" s="20"/>
      <c r="N47" s="21"/>
    </row>
    <row r="48" spans="1:14" ht="18.75" hidden="1" customHeight="1">
      <c r="A48" s="30">
        <v>15</v>
      </c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5"/>
        <v>2.3727373300000005</v>
      </c>
      <c r="I48" s="13">
        <f t="shared" si="6"/>
        <v>1186.3686650000002</v>
      </c>
      <c r="J48" s="24"/>
      <c r="L48" s="19"/>
      <c r="M48" s="20"/>
      <c r="N48" s="21"/>
    </row>
    <row r="49" spans="1:22" ht="25.5" hidden="1" customHeight="1">
      <c r="A49" s="30">
        <v>16</v>
      </c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5"/>
        <v>0.11657419199999998</v>
      </c>
      <c r="I49" s="13">
        <f>F49/2*G49</f>
        <v>58.287095999999991</v>
      </c>
      <c r="J49" s="24"/>
      <c r="L49" s="19"/>
      <c r="M49" s="20"/>
      <c r="N49" s="21"/>
    </row>
    <row r="50" spans="1:22" ht="21" hidden="1" customHeight="1">
      <c r="A50" s="30">
        <v>17</v>
      </c>
      <c r="B50" s="35" t="s">
        <v>54</v>
      </c>
      <c r="C50" s="46" t="s">
        <v>83</v>
      </c>
      <c r="D50" s="35" t="s">
        <v>125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5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2.25" hidden="1" customHeight="1">
      <c r="A51" s="30">
        <v>11</v>
      </c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5"/>
        <v>6.796768639999998</v>
      </c>
      <c r="I51" s="13">
        <f>G51*F51/2</f>
        <v>3398.3843199999992</v>
      </c>
      <c r="J51" s="24"/>
      <c r="L51" s="19"/>
      <c r="M51" s="20"/>
      <c r="N51" s="21"/>
    </row>
    <row r="52" spans="1:22" ht="33" hidden="1" customHeight="1">
      <c r="A52" s="30">
        <v>12</v>
      </c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5"/>
        <v>0.71622600000000014</v>
      </c>
      <c r="I52" s="13">
        <f>G52*F52/2</f>
        <v>358.11300000000006</v>
      </c>
      <c r="J52" s="24"/>
      <c r="L52" s="19"/>
      <c r="M52" s="20"/>
      <c r="N52" s="21"/>
    </row>
    <row r="53" spans="1:22" ht="18" hidden="1" customHeight="1">
      <c r="A53" s="30">
        <v>13</v>
      </c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5"/>
        <v>0.14825839999999998</v>
      </c>
      <c r="I53" s="13">
        <f>G53*F53/2</f>
        <v>74.129199999999997</v>
      </c>
      <c r="J53" s="24"/>
      <c r="L53" s="19"/>
      <c r="M53" s="20"/>
      <c r="N53" s="21"/>
    </row>
    <row r="54" spans="1:22" ht="18" hidden="1" customHeight="1">
      <c r="A54" s="109">
        <v>18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5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5" t="s">
        <v>128</v>
      </c>
      <c r="B55" s="195"/>
      <c r="C55" s="195"/>
      <c r="D55" s="195"/>
      <c r="E55" s="195"/>
      <c r="F55" s="195"/>
      <c r="G55" s="195"/>
      <c r="H55" s="195"/>
      <c r="I55" s="195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140</v>
      </c>
      <c r="C58" s="42" t="s">
        <v>141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8</v>
      </c>
      <c r="B61" s="41" t="s">
        <v>142</v>
      </c>
      <c r="C61" s="42" t="s">
        <v>143</v>
      </c>
      <c r="D61" s="41" t="s">
        <v>164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hidden="1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hidden="1" customHeight="1">
      <c r="A63" s="30">
        <v>10</v>
      </c>
      <c r="B63" s="58" t="s">
        <v>45</v>
      </c>
      <c r="C63" s="42" t="s">
        <v>102</v>
      </c>
      <c r="D63" s="41" t="s">
        <v>172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G63*5</f>
        <v>1458.4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83"/>
      <c r="S66" s="183"/>
      <c r="T66" s="183"/>
      <c r="U66" s="183"/>
    </row>
    <row r="67" spans="1:21" ht="15.75" hidden="1" customHeight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21" ht="15.75" hidden="1" customHeight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21" ht="15.75" hidden="1" customHeight="1">
      <c r="A70" s="30">
        <v>21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21" ht="15.75" customHeight="1">
      <c r="A71" s="30"/>
      <c r="B71" s="69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144</v>
      </c>
      <c r="C72" s="16" t="s">
        <v>145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146</v>
      </c>
      <c r="C73" s="16" t="s">
        <v>147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148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149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9</v>
      </c>
      <c r="B77" s="56" t="s">
        <v>150</v>
      </c>
      <c r="C77" s="57" t="s">
        <v>102</v>
      </c>
      <c r="D77" s="14" t="s">
        <v>171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10</v>
      </c>
      <c r="B78" s="56" t="s">
        <v>151</v>
      </c>
      <c r="C78" s="57" t="s">
        <v>102</v>
      </c>
      <c r="D78" s="14" t="s">
        <v>171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5" t="s">
        <v>129</v>
      </c>
      <c r="B83" s="195"/>
      <c r="C83" s="195"/>
      <c r="D83" s="195"/>
      <c r="E83" s="195"/>
      <c r="F83" s="195"/>
      <c r="G83" s="195"/>
      <c r="H83" s="195"/>
      <c r="I83" s="195"/>
    </row>
    <row r="84" spans="1:9" ht="15.75" customHeight="1">
      <c r="A84" s="30">
        <v>11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12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I85+I84+I78+I77+I61+I33+I31+I30+I20+I18+I17+I16</f>
        <v>22141.515289999999</v>
      </c>
    </row>
    <row r="87" spans="1:9" ht="15.75" customHeight="1">
      <c r="A87" s="184" t="s">
        <v>58</v>
      </c>
      <c r="B87" s="185"/>
      <c r="C87" s="185"/>
      <c r="D87" s="185"/>
      <c r="E87" s="185"/>
      <c r="F87" s="185"/>
      <c r="G87" s="185"/>
      <c r="H87" s="185"/>
      <c r="I87" s="186"/>
    </row>
    <row r="88" spans="1:9" ht="18.75" customHeight="1">
      <c r="A88" s="169">
        <v>13</v>
      </c>
      <c r="B88" s="134" t="s">
        <v>239</v>
      </c>
      <c r="C88" s="61" t="s">
        <v>162</v>
      </c>
      <c r="D88" s="41" t="s">
        <v>253</v>
      </c>
      <c r="E88" s="17"/>
      <c r="F88" s="39">
        <v>14</v>
      </c>
      <c r="G88" s="39">
        <v>295.36</v>
      </c>
      <c r="H88" s="180"/>
      <c r="I88" s="168">
        <v>0</v>
      </c>
    </row>
    <row r="89" spans="1:9" ht="15.75" customHeight="1">
      <c r="A89" s="30"/>
      <c r="B89" s="50" t="s">
        <v>50</v>
      </c>
      <c r="C89" s="57"/>
      <c r="D89" s="52"/>
      <c r="E89" s="13"/>
      <c r="F89" s="13"/>
      <c r="G89" s="13"/>
      <c r="H89" s="80"/>
      <c r="I89" s="87">
        <f>SUM(I88:I88)</f>
        <v>0</v>
      </c>
    </row>
    <row r="90" spans="1:9">
      <c r="A90" s="30"/>
      <c r="B90" s="52" t="s">
        <v>75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134</v>
      </c>
      <c r="C91" s="38"/>
      <c r="D91" s="38"/>
      <c r="E91" s="38"/>
      <c r="F91" s="38"/>
      <c r="G91" s="38"/>
      <c r="H91" s="38"/>
      <c r="I91" s="49">
        <f>I86+I89</f>
        <v>22141.515289999999</v>
      </c>
    </row>
    <row r="92" spans="1:9" ht="15.75" customHeight="1">
      <c r="A92" s="187" t="s">
        <v>271</v>
      </c>
      <c r="B92" s="187"/>
      <c r="C92" s="187"/>
      <c r="D92" s="187"/>
      <c r="E92" s="187"/>
      <c r="F92" s="187"/>
      <c r="G92" s="187"/>
      <c r="H92" s="187"/>
      <c r="I92" s="187"/>
    </row>
    <row r="93" spans="1:9" ht="15.75" customHeight="1">
      <c r="A93" s="68"/>
      <c r="B93" s="188" t="s">
        <v>272</v>
      </c>
      <c r="C93" s="188"/>
      <c r="D93" s="188"/>
      <c r="E93" s="188"/>
      <c r="F93" s="188"/>
      <c r="G93" s="188"/>
      <c r="H93" s="78"/>
      <c r="I93" s="3"/>
    </row>
    <row r="94" spans="1:9">
      <c r="A94" s="74"/>
      <c r="B94" s="189" t="s">
        <v>6</v>
      </c>
      <c r="C94" s="189"/>
      <c r="D94" s="189"/>
      <c r="E94" s="189"/>
      <c r="F94" s="189"/>
      <c r="G94" s="189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90" t="s">
        <v>7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 customHeight="1">
      <c r="A97" s="190" t="s">
        <v>8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>
      <c r="A98" s="191" t="s">
        <v>59</v>
      </c>
      <c r="B98" s="191"/>
      <c r="C98" s="191"/>
      <c r="D98" s="191"/>
      <c r="E98" s="191"/>
      <c r="F98" s="191"/>
      <c r="G98" s="191"/>
      <c r="H98" s="191"/>
      <c r="I98" s="191"/>
    </row>
    <row r="99" spans="1:9" ht="15.75">
      <c r="A99" s="11"/>
    </row>
    <row r="100" spans="1:9" ht="15.75" customHeight="1">
      <c r="A100" s="192" t="s">
        <v>9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5.75" customHeight="1">
      <c r="A101" s="4"/>
    </row>
    <row r="102" spans="1:9" ht="15.75" customHeight="1">
      <c r="B102" s="71" t="s">
        <v>10</v>
      </c>
      <c r="C102" s="193" t="s">
        <v>195</v>
      </c>
      <c r="D102" s="193"/>
      <c r="E102" s="193"/>
      <c r="F102" s="76"/>
      <c r="I102" s="73"/>
    </row>
    <row r="103" spans="1:9" ht="15.75" customHeight="1">
      <c r="A103" s="74"/>
      <c r="C103" s="189" t="s">
        <v>11</v>
      </c>
      <c r="D103" s="189"/>
      <c r="E103" s="189"/>
      <c r="F103" s="25"/>
      <c r="I103" s="72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71" t="s">
        <v>13</v>
      </c>
      <c r="C105" s="194"/>
      <c r="D105" s="194"/>
      <c r="E105" s="194"/>
      <c r="F105" s="77"/>
      <c r="I105" s="73"/>
    </row>
    <row r="106" spans="1:9">
      <c r="A106" s="74"/>
      <c r="C106" s="183" t="s">
        <v>11</v>
      </c>
      <c r="D106" s="183"/>
      <c r="E106" s="183"/>
      <c r="F106" s="74"/>
      <c r="I106" s="72" t="s">
        <v>12</v>
      </c>
    </row>
    <row r="107" spans="1:9" ht="15.75">
      <c r="A107" s="4" t="s">
        <v>14</v>
      </c>
    </row>
    <row r="108" spans="1:9">
      <c r="A108" s="181" t="s">
        <v>15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45" customHeight="1">
      <c r="A109" s="182" t="s">
        <v>16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30" customHeight="1">
      <c r="A110" s="182" t="s">
        <v>17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30" customHeight="1">
      <c r="A111" s="182" t="s">
        <v>21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15" customHeight="1">
      <c r="A112" s="182" t="s">
        <v>20</v>
      </c>
      <c r="B112" s="182"/>
      <c r="C112" s="182"/>
      <c r="D112" s="182"/>
      <c r="E112" s="182"/>
      <c r="F112" s="182"/>
      <c r="G112" s="182"/>
      <c r="H112" s="182"/>
      <c r="I112" s="182"/>
    </row>
  </sheetData>
  <autoFilter ref="I12:I6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6:E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7"/>
  <sheetViews>
    <sheetView topLeftCell="A73" workbookViewId="0">
      <selection activeCell="A102" sqref="A102:I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153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273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1">
        <v>44530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hidden="1" customHeight="1">
      <c r="A28" s="30">
        <v>6</v>
      </c>
      <c r="B28" s="88" t="s">
        <v>23</v>
      </c>
      <c r="C28" s="82" t="s">
        <v>24</v>
      </c>
      <c r="D28" s="35" t="s">
        <v>152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ref="H28" si="1">SUM(F28*G28/1000)</f>
        <v>91.728191999999993</v>
      </c>
      <c r="I28" s="13">
        <f>F28/12*G28</f>
        <v>7644.0159999999996</v>
      </c>
      <c r="J28" s="24"/>
    </row>
    <row r="29" spans="1:13" ht="15.75" customHeight="1">
      <c r="A29" s="202" t="s">
        <v>78</v>
      </c>
      <c r="B29" s="203"/>
      <c r="C29" s="203"/>
      <c r="D29" s="203"/>
      <c r="E29" s="203"/>
      <c r="F29" s="203"/>
      <c r="G29" s="203"/>
      <c r="H29" s="203"/>
      <c r="I29" s="204"/>
      <c r="J29" s="23"/>
      <c r="K29" s="8"/>
      <c r="L29" s="8"/>
      <c r="M29" s="8"/>
    </row>
    <row r="30" spans="1:13" ht="15.75" hidden="1" customHeight="1">
      <c r="A30" s="30"/>
      <c r="B30" s="92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100</v>
      </c>
      <c r="C31" s="46" t="s">
        <v>83</v>
      </c>
      <c r="D31" s="35" t="s">
        <v>135</v>
      </c>
      <c r="E31" s="34">
        <v>331.9</v>
      </c>
      <c r="F31" s="34">
        <f>SUM(E31*52/1000)</f>
        <v>17.258800000000001</v>
      </c>
      <c r="G31" s="34">
        <v>204.44</v>
      </c>
      <c r="H31" s="101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99</v>
      </c>
      <c r="C32" s="46" t="s">
        <v>83</v>
      </c>
      <c r="D32" s="35" t="s">
        <v>136</v>
      </c>
      <c r="E32" s="34">
        <v>108.9</v>
      </c>
      <c r="F32" s="34">
        <f>SUM(E32*78/1000)</f>
        <v>8.4942000000000011</v>
      </c>
      <c r="G32" s="34">
        <v>339.21</v>
      </c>
      <c r="H32" s="101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83</v>
      </c>
      <c r="D33" s="35" t="s">
        <v>52</v>
      </c>
      <c r="E33" s="34">
        <v>331.9</v>
      </c>
      <c r="F33" s="34">
        <f>SUM(E33/1000)</f>
        <v>0.33189999999999997</v>
      </c>
      <c r="G33" s="34">
        <v>3961.23</v>
      </c>
      <c r="H33" s="101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124</v>
      </c>
      <c r="C34" s="46" t="s">
        <v>39</v>
      </c>
      <c r="D34" s="35" t="s">
        <v>61</v>
      </c>
      <c r="E34" s="34">
        <v>2</v>
      </c>
      <c r="F34" s="34">
        <v>3.1</v>
      </c>
      <c r="G34" s="34">
        <v>1707.63</v>
      </c>
      <c r="H34" s="101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98</v>
      </c>
      <c r="C35" s="46" t="s">
        <v>29</v>
      </c>
      <c r="D35" s="35" t="s">
        <v>61</v>
      </c>
      <c r="E35" s="104">
        <f>1/3</f>
        <v>0.33333333333333331</v>
      </c>
      <c r="F35" s="34">
        <f>155/3</f>
        <v>51.666666666666664</v>
      </c>
      <c r="G35" s="34">
        <v>74.349999999999994</v>
      </c>
      <c r="H35" s="101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62</v>
      </c>
      <c r="C36" s="46" t="s">
        <v>31</v>
      </c>
      <c r="D36" s="35" t="s">
        <v>64</v>
      </c>
      <c r="E36" s="100"/>
      <c r="F36" s="34">
        <v>2</v>
      </c>
      <c r="G36" s="34">
        <v>250.92</v>
      </c>
      <c r="H36" s="101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63</v>
      </c>
      <c r="C37" s="46" t="s">
        <v>30</v>
      </c>
      <c r="D37" s="35" t="s">
        <v>64</v>
      </c>
      <c r="E37" s="100"/>
      <c r="F37" s="34">
        <v>1</v>
      </c>
      <c r="G37" s="34">
        <v>1490.31</v>
      </c>
      <c r="H37" s="101">
        <f t="shared" si="2"/>
        <v>1.49031</v>
      </c>
      <c r="I37" s="13">
        <v>0</v>
      </c>
      <c r="J37" s="24"/>
    </row>
    <row r="38" spans="1:14" ht="15.75" customHeight="1">
      <c r="A38" s="30"/>
      <c r="B38" s="92" t="s">
        <v>5</v>
      </c>
      <c r="C38" s="82"/>
      <c r="D38" s="81"/>
      <c r="E38" s="83"/>
      <c r="F38" s="84"/>
      <c r="G38" s="84"/>
      <c r="H38" s="85" t="s">
        <v>111</v>
      </c>
      <c r="I38" s="13"/>
      <c r="J38" s="24"/>
    </row>
    <row r="39" spans="1:14" ht="19.5" customHeight="1">
      <c r="A39" s="30">
        <v>5</v>
      </c>
      <c r="B39" s="36" t="s">
        <v>25</v>
      </c>
      <c r="C39" s="46" t="s">
        <v>30</v>
      </c>
      <c r="D39" s="35" t="s">
        <v>277</v>
      </c>
      <c r="E39" s="100"/>
      <c r="F39" s="34">
        <v>4</v>
      </c>
      <c r="G39" s="34">
        <v>2003</v>
      </c>
      <c r="H39" s="101">
        <f t="shared" ref="H39:H45" si="4">SUM(F39*G39/1000)</f>
        <v>8.0120000000000005</v>
      </c>
      <c r="I39" s="13">
        <f>G39*1</f>
        <v>2003</v>
      </c>
      <c r="J39" s="24"/>
      <c r="L39" s="19"/>
      <c r="M39" s="20"/>
      <c r="N39" s="21"/>
    </row>
    <row r="40" spans="1:14" ht="15.75" customHeight="1">
      <c r="A40" s="30">
        <v>6</v>
      </c>
      <c r="B40" s="36" t="s">
        <v>137</v>
      </c>
      <c r="C40" s="55" t="s">
        <v>28</v>
      </c>
      <c r="D40" s="35" t="s">
        <v>172</v>
      </c>
      <c r="E40" s="100">
        <v>108.9</v>
      </c>
      <c r="F40" s="37">
        <f>E40*30/1000</f>
        <v>3.2669999999999999</v>
      </c>
      <c r="G40" s="34">
        <v>2757.78</v>
      </c>
      <c r="H40" s="101">
        <f t="shared" si="4"/>
        <v>9.0096672600000005</v>
      </c>
      <c r="I40" s="13">
        <f t="shared" ref="I40:I43" si="5">F40/6*G40</f>
        <v>1501.61121</v>
      </c>
      <c r="J40" s="24"/>
      <c r="L40" s="19"/>
      <c r="M40" s="20"/>
      <c r="N40" s="21"/>
    </row>
    <row r="41" spans="1:14" ht="15.75" customHeight="1">
      <c r="A41" s="30">
        <v>7</v>
      </c>
      <c r="B41" s="35" t="s">
        <v>65</v>
      </c>
      <c r="C41" s="46" t="s">
        <v>28</v>
      </c>
      <c r="D41" s="35" t="s">
        <v>173</v>
      </c>
      <c r="E41" s="34">
        <v>108.9</v>
      </c>
      <c r="F41" s="37">
        <f>SUM(E41*155/1000)</f>
        <v>16.8795</v>
      </c>
      <c r="G41" s="34">
        <v>460.02</v>
      </c>
      <c r="H41" s="101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138</v>
      </c>
      <c r="C42" s="46" t="s">
        <v>139</v>
      </c>
      <c r="D42" s="35" t="s">
        <v>64</v>
      </c>
      <c r="E42" s="100"/>
      <c r="F42" s="37">
        <v>39</v>
      </c>
      <c r="G42" s="34">
        <v>314</v>
      </c>
      <c r="H42" s="101">
        <f t="shared" si="4"/>
        <v>12.246</v>
      </c>
      <c r="I42" s="13"/>
      <c r="J42" s="24"/>
      <c r="L42" s="19"/>
      <c r="M42" s="20"/>
      <c r="N42" s="21"/>
    </row>
    <row r="43" spans="1:14" ht="47.25" customHeight="1">
      <c r="A43" s="30">
        <v>8</v>
      </c>
      <c r="B43" s="35" t="s">
        <v>77</v>
      </c>
      <c r="C43" s="46" t="s">
        <v>83</v>
      </c>
      <c r="D43" s="35" t="s">
        <v>176</v>
      </c>
      <c r="E43" s="34">
        <v>40</v>
      </c>
      <c r="F43" s="37">
        <f>SUM(E43*35/1000)</f>
        <v>1.4</v>
      </c>
      <c r="G43" s="34">
        <v>7611.16</v>
      </c>
      <c r="H43" s="101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hidden="1" customHeight="1">
      <c r="A44" s="30">
        <v>9</v>
      </c>
      <c r="B44" s="35" t="s">
        <v>114</v>
      </c>
      <c r="C44" s="46" t="s">
        <v>83</v>
      </c>
      <c r="D44" s="35" t="s">
        <v>164</v>
      </c>
      <c r="E44" s="34">
        <v>108.9</v>
      </c>
      <c r="F44" s="37">
        <f>SUM(E44*45/1000)</f>
        <v>4.9005000000000001</v>
      </c>
      <c r="G44" s="34">
        <v>562.25</v>
      </c>
      <c r="H44" s="101">
        <f t="shared" si="4"/>
        <v>2.7553061250000002</v>
      </c>
      <c r="I44" s="13">
        <f>G44*F44/45*1</f>
        <v>61.229025</v>
      </c>
      <c r="J44" s="24"/>
      <c r="L44" s="19"/>
      <c r="M44" s="20"/>
      <c r="N44" s="21"/>
    </row>
    <row r="45" spans="1:14" ht="15.75" hidden="1" customHeight="1">
      <c r="A45" s="30">
        <v>10</v>
      </c>
      <c r="B45" s="36" t="s">
        <v>67</v>
      </c>
      <c r="C45" s="55" t="s">
        <v>31</v>
      </c>
      <c r="D45" s="36"/>
      <c r="E45" s="103"/>
      <c r="F45" s="37">
        <v>0.5</v>
      </c>
      <c r="G45" s="37">
        <v>974.83</v>
      </c>
      <c r="H45" s="101">
        <f t="shared" si="4"/>
        <v>0.48741500000000004</v>
      </c>
      <c r="I45" s="13">
        <f>G45*F45/45*1</f>
        <v>10.831444444444445</v>
      </c>
      <c r="J45" s="24"/>
      <c r="L45" s="19"/>
      <c r="M45" s="20"/>
      <c r="N45" s="21"/>
    </row>
    <row r="46" spans="1:14" ht="15.75" hidden="1" customHeight="1">
      <c r="A46" s="202" t="s">
        <v>120</v>
      </c>
      <c r="B46" s="203"/>
      <c r="C46" s="203"/>
      <c r="D46" s="203"/>
      <c r="E46" s="203"/>
      <c r="F46" s="203"/>
      <c r="G46" s="203"/>
      <c r="H46" s="203"/>
      <c r="I46" s="204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101</v>
      </c>
      <c r="C47" s="46" t="s">
        <v>83</v>
      </c>
      <c r="D47" s="35" t="s">
        <v>41</v>
      </c>
      <c r="E47" s="100">
        <v>838.88</v>
      </c>
      <c r="F47" s="34">
        <f>SUM(E47*2/1000)</f>
        <v>1.6777599999999999</v>
      </c>
      <c r="G47" s="39">
        <v>1062</v>
      </c>
      <c r="H47" s="101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34</v>
      </c>
      <c r="C48" s="46" t="s">
        <v>83</v>
      </c>
      <c r="D48" s="35" t="s">
        <v>41</v>
      </c>
      <c r="E48" s="100">
        <v>26</v>
      </c>
      <c r="F48" s="34">
        <f>E48*2/1000</f>
        <v>5.1999999999999998E-2</v>
      </c>
      <c r="G48" s="39">
        <v>759.98</v>
      </c>
      <c r="H48" s="101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35</v>
      </c>
      <c r="C49" s="46" t="s">
        <v>83</v>
      </c>
      <c r="D49" s="35" t="s">
        <v>41</v>
      </c>
      <c r="E49" s="100">
        <v>879</v>
      </c>
      <c r="F49" s="34">
        <f>SUM(E49*2/1000)</f>
        <v>1.758</v>
      </c>
      <c r="G49" s="39">
        <v>759.98</v>
      </c>
      <c r="H49" s="101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36</v>
      </c>
      <c r="C50" s="46" t="s">
        <v>83</v>
      </c>
      <c r="D50" s="35" t="s">
        <v>41</v>
      </c>
      <c r="E50" s="100">
        <v>1490.75</v>
      </c>
      <c r="F50" s="34">
        <f>SUM(E50*2/1000)</f>
        <v>2.9815</v>
      </c>
      <c r="G50" s="39">
        <v>795.82</v>
      </c>
      <c r="H50" s="101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32</v>
      </c>
      <c r="C51" s="46" t="s">
        <v>33</v>
      </c>
      <c r="D51" s="35" t="s">
        <v>41</v>
      </c>
      <c r="E51" s="100">
        <v>61.04</v>
      </c>
      <c r="F51" s="34">
        <f>SUM(E51*2/100)</f>
        <v>1.2207999999999999</v>
      </c>
      <c r="G51" s="39">
        <v>95.49</v>
      </c>
      <c r="H51" s="101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hidden="1" customHeight="1">
      <c r="A52" s="30">
        <v>17</v>
      </c>
      <c r="B52" s="35" t="s">
        <v>54</v>
      </c>
      <c r="C52" s="46" t="s">
        <v>83</v>
      </c>
      <c r="D52" s="35" t="s">
        <v>125</v>
      </c>
      <c r="E52" s="100">
        <v>2135.1999999999998</v>
      </c>
      <c r="F52" s="34">
        <f>SUM(E52*5/1000)</f>
        <v>10.676</v>
      </c>
      <c r="G52" s="39">
        <v>1591.6</v>
      </c>
      <c r="H52" s="101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84</v>
      </c>
      <c r="C53" s="46" t="s">
        <v>83</v>
      </c>
      <c r="D53" s="35" t="s">
        <v>41</v>
      </c>
      <c r="E53" s="100">
        <v>2135.1999999999998</v>
      </c>
      <c r="F53" s="34">
        <f>SUM(E53*2/1000)</f>
        <v>4.2703999999999995</v>
      </c>
      <c r="G53" s="39">
        <v>1591.6</v>
      </c>
      <c r="H53" s="101">
        <f t="shared" si="6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85</v>
      </c>
      <c r="C54" s="46" t="s">
        <v>37</v>
      </c>
      <c r="D54" s="35" t="s">
        <v>41</v>
      </c>
      <c r="E54" s="100">
        <v>10</v>
      </c>
      <c r="F54" s="34">
        <f>SUM(E54*2/100)</f>
        <v>0.2</v>
      </c>
      <c r="G54" s="39">
        <v>3581.13</v>
      </c>
      <c r="H54" s="101">
        <f t="shared" si="6"/>
        <v>0.71622600000000014</v>
      </c>
      <c r="I54" s="13">
        <f t="shared" ref="I54:I55" si="8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38</v>
      </c>
      <c r="C55" s="46" t="s">
        <v>39</v>
      </c>
      <c r="D55" s="35" t="s">
        <v>41</v>
      </c>
      <c r="E55" s="100">
        <v>1</v>
      </c>
      <c r="F55" s="34">
        <v>0.02</v>
      </c>
      <c r="G55" s="39">
        <v>7412.92</v>
      </c>
      <c r="H55" s="101">
        <f t="shared" si="6"/>
        <v>0.14825839999999998</v>
      </c>
      <c r="I55" s="13">
        <f t="shared" si="8"/>
        <v>74.129199999999997</v>
      </c>
      <c r="J55" s="24"/>
      <c r="L55" s="19"/>
      <c r="M55" s="20"/>
      <c r="N55" s="21"/>
    </row>
    <row r="56" spans="1:14" ht="15.75" hidden="1" customHeight="1">
      <c r="A56" s="109">
        <v>18</v>
      </c>
      <c r="B56" s="105" t="s">
        <v>40</v>
      </c>
      <c r="C56" s="106" t="s">
        <v>102</v>
      </c>
      <c r="D56" s="105" t="s">
        <v>68</v>
      </c>
      <c r="E56" s="107">
        <v>80</v>
      </c>
      <c r="F56" s="108">
        <f>SUM(E56)*3</f>
        <v>240</v>
      </c>
      <c r="G56" s="110">
        <v>86.15</v>
      </c>
      <c r="H56" s="111">
        <f t="shared" si="6"/>
        <v>20.675999999999998</v>
      </c>
      <c r="I56" s="112">
        <f>E56*G56</f>
        <v>6892</v>
      </c>
      <c r="J56" s="24"/>
      <c r="L56" s="19"/>
      <c r="M56" s="20"/>
      <c r="N56" s="21"/>
    </row>
    <row r="57" spans="1:14" ht="15.75" customHeight="1">
      <c r="A57" s="195" t="s">
        <v>128</v>
      </c>
      <c r="B57" s="195"/>
      <c r="C57" s="195"/>
      <c r="D57" s="195"/>
      <c r="E57" s="195"/>
      <c r="F57" s="195"/>
      <c r="G57" s="195"/>
      <c r="H57" s="195"/>
      <c r="I57" s="195"/>
      <c r="J57" s="24"/>
      <c r="L57" s="19"/>
      <c r="M57" s="20"/>
      <c r="N57" s="21"/>
    </row>
    <row r="58" spans="1:14" ht="15.75" hidden="1" customHeight="1">
      <c r="A58" s="30"/>
      <c r="B58" s="99" t="s">
        <v>42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17</v>
      </c>
      <c r="B59" s="41" t="s">
        <v>103</v>
      </c>
      <c r="C59" s="42" t="s">
        <v>80</v>
      </c>
      <c r="D59" s="41" t="s">
        <v>104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140</v>
      </c>
      <c r="C60" s="42" t="s">
        <v>141</v>
      </c>
      <c r="D60" s="41" t="s">
        <v>64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99" t="s">
        <v>43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115</v>
      </c>
      <c r="C62" s="42" t="s">
        <v>80</v>
      </c>
      <c r="D62" s="41" t="s">
        <v>52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9</v>
      </c>
      <c r="B63" s="41" t="s">
        <v>142</v>
      </c>
      <c r="C63" s="42" t="s">
        <v>143</v>
      </c>
      <c r="D63" s="41" t="s">
        <v>164</v>
      </c>
      <c r="E63" s="17">
        <v>134.19999999999999</v>
      </c>
      <c r="F63" s="39">
        <v>1200</v>
      </c>
      <c r="G63" s="39">
        <v>1.4</v>
      </c>
      <c r="H63" s="39">
        <f>F63*G63/1000</f>
        <v>1.68</v>
      </c>
      <c r="I63" s="13">
        <f>F63/12*G63</f>
        <v>140</v>
      </c>
    </row>
    <row r="64" spans="1:14" ht="15.75" hidden="1" customHeight="1">
      <c r="A64" s="113"/>
      <c r="B64" s="114" t="s">
        <v>44</v>
      </c>
      <c r="C64" s="115"/>
      <c r="D64" s="116"/>
      <c r="E64" s="86"/>
      <c r="F64" s="117"/>
      <c r="G64" s="117"/>
      <c r="H64" s="118" t="s">
        <v>111</v>
      </c>
      <c r="I64" s="119"/>
    </row>
    <row r="65" spans="1:22" ht="15.75" hidden="1" customHeight="1">
      <c r="A65" s="30">
        <v>12</v>
      </c>
      <c r="B65" s="58" t="s">
        <v>45</v>
      </c>
      <c r="C65" s="42" t="s">
        <v>102</v>
      </c>
      <c r="D65" s="41" t="s">
        <v>64</v>
      </c>
      <c r="E65" s="17">
        <v>5</v>
      </c>
      <c r="F65" s="34">
        <f>E65</f>
        <v>5</v>
      </c>
      <c r="G65" s="39">
        <v>291.68</v>
      </c>
      <c r="H65" s="79">
        <f t="shared" ref="H65:H72" si="9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46</v>
      </c>
      <c r="C66" s="42" t="s">
        <v>102</v>
      </c>
      <c r="D66" s="41" t="s">
        <v>64</v>
      </c>
      <c r="E66" s="17">
        <v>5</v>
      </c>
      <c r="F66" s="34">
        <f>E66</f>
        <v>5</v>
      </c>
      <c r="G66" s="39">
        <v>100.01</v>
      </c>
      <c r="H66" s="79">
        <f t="shared" si="9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47</v>
      </c>
      <c r="C67" s="44" t="s">
        <v>105</v>
      </c>
      <c r="D67" s="41" t="s">
        <v>52</v>
      </c>
      <c r="E67" s="100">
        <v>10348</v>
      </c>
      <c r="F67" s="40">
        <f>SUM(E67/100)</f>
        <v>103.48</v>
      </c>
      <c r="G67" s="39">
        <v>278.24</v>
      </c>
      <c r="H67" s="79">
        <f t="shared" si="9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48</v>
      </c>
      <c r="C68" s="42" t="s">
        <v>106</v>
      </c>
      <c r="D68" s="41" t="s">
        <v>52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9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83"/>
      <c r="S68" s="183"/>
      <c r="T68" s="183"/>
      <c r="U68" s="183"/>
    </row>
    <row r="69" spans="1:22" ht="15.75" hidden="1" customHeight="1">
      <c r="A69" s="30"/>
      <c r="B69" s="58" t="s">
        <v>49</v>
      </c>
      <c r="C69" s="42" t="s">
        <v>73</v>
      </c>
      <c r="D69" s="41" t="s">
        <v>52</v>
      </c>
      <c r="E69" s="100">
        <v>1645</v>
      </c>
      <c r="F69" s="39">
        <f>SUM(E69/100)</f>
        <v>16.45</v>
      </c>
      <c r="G69" s="39">
        <v>2720.94</v>
      </c>
      <c r="H69" s="79">
        <f t="shared" si="9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107</v>
      </c>
      <c r="C70" s="42" t="s">
        <v>31</v>
      </c>
      <c r="D70" s="41"/>
      <c r="E70" s="100">
        <v>9</v>
      </c>
      <c r="F70" s="39">
        <f>E70</f>
        <v>9</v>
      </c>
      <c r="G70" s="39">
        <v>42.61</v>
      </c>
      <c r="H70" s="79">
        <f t="shared" si="9"/>
        <v>0.38349</v>
      </c>
      <c r="I70" s="13">
        <v>0</v>
      </c>
    </row>
    <row r="71" spans="1:22" ht="15.75" hidden="1" customHeight="1">
      <c r="A71" s="30"/>
      <c r="B71" s="53" t="s">
        <v>108</v>
      </c>
      <c r="C71" s="42" t="s">
        <v>31</v>
      </c>
      <c r="D71" s="41"/>
      <c r="E71" s="100">
        <v>9</v>
      </c>
      <c r="F71" s="39">
        <f t="shared" ref="F71:F72" si="10">E71</f>
        <v>9</v>
      </c>
      <c r="G71" s="39">
        <v>46.04</v>
      </c>
      <c r="H71" s="79">
        <f t="shared" si="9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55</v>
      </c>
      <c r="C72" s="42" t="s">
        <v>56</v>
      </c>
      <c r="D72" s="41" t="s">
        <v>52</v>
      </c>
      <c r="E72" s="17">
        <v>2</v>
      </c>
      <c r="F72" s="39">
        <f t="shared" si="10"/>
        <v>2</v>
      </c>
      <c r="G72" s="39">
        <v>65.42</v>
      </c>
      <c r="H72" s="79">
        <f t="shared" si="9"/>
        <v>0.13084000000000001</v>
      </c>
      <c r="I72" s="13">
        <f>F72*G72</f>
        <v>130.84</v>
      </c>
    </row>
    <row r="73" spans="1:22" ht="15.75" customHeight="1">
      <c r="A73" s="30"/>
      <c r="B73" s="99" t="s">
        <v>69</v>
      </c>
      <c r="C73" s="16"/>
      <c r="D73" s="14"/>
      <c r="E73" s="18"/>
      <c r="F73" s="13"/>
      <c r="G73" s="13"/>
      <c r="H73" s="80" t="s">
        <v>111</v>
      </c>
      <c r="I73" s="13"/>
    </row>
    <row r="74" spans="1:22" ht="15.75" hidden="1" customHeight="1">
      <c r="A74" s="30"/>
      <c r="B74" s="14" t="s">
        <v>144</v>
      </c>
      <c r="C74" s="16" t="s">
        <v>145</v>
      </c>
      <c r="D74" s="41" t="s">
        <v>64</v>
      </c>
      <c r="E74" s="18">
        <v>1</v>
      </c>
      <c r="F74" s="13">
        <f>E74</f>
        <v>1</v>
      </c>
      <c r="G74" s="13">
        <v>1029.1199999999999</v>
      </c>
      <c r="H74" s="80">
        <f t="shared" ref="H74:H75" si="11">SUM(F74*G74/1000)</f>
        <v>1.0291199999999998</v>
      </c>
      <c r="I74" s="13">
        <v>0</v>
      </c>
    </row>
    <row r="75" spans="1:22" ht="15.75" hidden="1" customHeight="1">
      <c r="A75" s="30"/>
      <c r="B75" s="14" t="s">
        <v>146</v>
      </c>
      <c r="C75" s="16" t="s">
        <v>147</v>
      </c>
      <c r="D75" s="120"/>
      <c r="E75" s="18">
        <v>1</v>
      </c>
      <c r="F75" s="13">
        <v>1</v>
      </c>
      <c r="G75" s="13">
        <v>735</v>
      </c>
      <c r="H75" s="80">
        <f t="shared" si="11"/>
        <v>0.73499999999999999</v>
      </c>
      <c r="I75" s="13">
        <v>0</v>
      </c>
    </row>
    <row r="76" spans="1:22" ht="15.75" hidden="1" customHeight="1">
      <c r="A76" s="30"/>
      <c r="B76" s="14" t="s">
        <v>70</v>
      </c>
      <c r="C76" s="16" t="s">
        <v>71</v>
      </c>
      <c r="D76" s="41" t="s">
        <v>64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148</v>
      </c>
      <c r="C77" s="16" t="s">
        <v>102</v>
      </c>
      <c r="D77" s="41" t="s">
        <v>64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149</v>
      </c>
      <c r="C78" s="57" t="s">
        <v>102</v>
      </c>
      <c r="D78" s="41" t="s">
        <v>64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10</v>
      </c>
      <c r="B79" s="56" t="s">
        <v>150</v>
      </c>
      <c r="C79" s="57" t="s">
        <v>102</v>
      </c>
      <c r="D79" s="14" t="s">
        <v>164</v>
      </c>
      <c r="E79" s="18">
        <v>2</v>
      </c>
      <c r="F79" s="84">
        <f>E79*12</f>
        <v>24</v>
      </c>
      <c r="G79" s="13">
        <v>53.42</v>
      </c>
      <c r="H79" s="80">
        <f t="shared" ref="H79:H80" si="12">SUM(F79*G79/1000)</f>
        <v>1.2820799999999999</v>
      </c>
      <c r="I79" s="13">
        <f>G79*2</f>
        <v>106.84</v>
      </c>
    </row>
    <row r="80" spans="1:22" ht="31.5" customHeight="1">
      <c r="A80" s="30">
        <v>11</v>
      </c>
      <c r="B80" s="56" t="s">
        <v>151</v>
      </c>
      <c r="C80" s="57" t="s">
        <v>102</v>
      </c>
      <c r="D80" s="14" t="s">
        <v>171</v>
      </c>
      <c r="E80" s="18">
        <v>1</v>
      </c>
      <c r="F80" s="84">
        <f>E80*12</f>
        <v>12</v>
      </c>
      <c r="G80" s="13">
        <v>1194</v>
      </c>
      <c r="H80" s="80">
        <f t="shared" si="12"/>
        <v>14.327999999999999</v>
      </c>
      <c r="I80" s="13">
        <f>G80</f>
        <v>1194</v>
      </c>
    </row>
    <row r="81" spans="1:9" ht="15.75" hidden="1" customHeight="1">
      <c r="A81" s="30"/>
      <c r="B81" s="90" t="s">
        <v>72</v>
      </c>
      <c r="C81" s="16"/>
      <c r="D81" s="14"/>
      <c r="E81" s="18"/>
      <c r="F81" s="13"/>
      <c r="G81" s="13" t="s">
        <v>111</v>
      </c>
      <c r="H81" s="80" t="s">
        <v>111</v>
      </c>
      <c r="I81" s="13"/>
    </row>
    <row r="82" spans="1:9" ht="15.75" hidden="1" customHeight="1">
      <c r="A82" s="30"/>
      <c r="B82" s="43" t="s">
        <v>112</v>
      </c>
      <c r="C82" s="44" t="s">
        <v>73</v>
      </c>
      <c r="D82" s="58"/>
      <c r="E82" s="121"/>
      <c r="F82" s="40">
        <v>0.6</v>
      </c>
      <c r="G82" s="40">
        <v>3619.09</v>
      </c>
      <c r="H82" s="79">
        <f t="shared" ref="H82" si="13">SUM(F82*G82/1000)</f>
        <v>2.1714540000000002</v>
      </c>
      <c r="I82" s="13">
        <v>0</v>
      </c>
    </row>
    <row r="83" spans="1:9" ht="15.75" customHeight="1">
      <c r="A83" s="30"/>
      <c r="B83" s="93" t="s">
        <v>86</v>
      </c>
      <c r="C83" s="90"/>
      <c r="D83" s="32"/>
      <c r="E83" s="33"/>
      <c r="F83" s="87"/>
      <c r="G83" s="87"/>
      <c r="H83" s="91">
        <f>SUM(H59:H82)</f>
        <v>115.48976176000001</v>
      </c>
      <c r="I83" s="87"/>
    </row>
    <row r="84" spans="1:9" ht="15.75" customHeight="1">
      <c r="A84" s="109">
        <v>12</v>
      </c>
      <c r="B84" s="123" t="s">
        <v>109</v>
      </c>
      <c r="C84" s="124"/>
      <c r="D84" s="125"/>
      <c r="E84" s="122"/>
      <c r="F84" s="126">
        <v>1</v>
      </c>
      <c r="G84" s="126">
        <v>34</v>
      </c>
      <c r="H84" s="127">
        <f>G84*F84/1000</f>
        <v>3.4000000000000002E-2</v>
      </c>
      <c r="I84" s="112">
        <f>G84</f>
        <v>34</v>
      </c>
    </row>
    <row r="85" spans="1:9" ht="15.75" customHeight="1">
      <c r="A85" s="195" t="s">
        <v>129</v>
      </c>
      <c r="B85" s="195"/>
      <c r="C85" s="195"/>
      <c r="D85" s="195"/>
      <c r="E85" s="195"/>
      <c r="F85" s="195"/>
      <c r="G85" s="195"/>
      <c r="H85" s="195"/>
      <c r="I85" s="195"/>
    </row>
    <row r="86" spans="1:9" ht="15.75" customHeight="1">
      <c r="A86" s="30">
        <v>13</v>
      </c>
      <c r="B86" s="41" t="s">
        <v>110</v>
      </c>
      <c r="C86" s="42" t="s">
        <v>53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14</v>
      </c>
      <c r="B87" s="14" t="s">
        <v>74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76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I87+I86+I80+I79+I63+I43+I41+I40+I20+I18+I17+I16+I84+I39</f>
        <v>28825.317361666665</v>
      </c>
    </row>
    <row r="89" spans="1:9" ht="15.75" customHeight="1">
      <c r="A89" s="184" t="s">
        <v>58</v>
      </c>
      <c r="B89" s="185"/>
      <c r="C89" s="185"/>
      <c r="D89" s="185"/>
      <c r="E89" s="185"/>
      <c r="F89" s="185"/>
      <c r="G89" s="185"/>
      <c r="H89" s="185"/>
      <c r="I89" s="186"/>
    </row>
    <row r="90" spans="1:9" ht="31.5" customHeight="1">
      <c r="A90" s="30">
        <v>15</v>
      </c>
      <c r="B90" s="134" t="s">
        <v>163</v>
      </c>
      <c r="C90" s="61" t="s">
        <v>28</v>
      </c>
      <c r="D90" s="60"/>
      <c r="E90" s="39"/>
      <c r="F90" s="135">
        <f>0.001</f>
        <v>1E-3</v>
      </c>
      <c r="G90" s="159">
        <v>21369.24</v>
      </c>
      <c r="H90" s="136">
        <f t="shared" ref="H90" si="14">G90*F90/1000</f>
        <v>2.1369240000000001E-2</v>
      </c>
      <c r="I90" s="13">
        <f>G90*6*0.599/1000</f>
        <v>76.801048559999998</v>
      </c>
    </row>
    <row r="91" spans="1:9" ht="18" customHeight="1">
      <c r="A91" s="30">
        <v>16</v>
      </c>
      <c r="B91" s="134" t="s">
        <v>274</v>
      </c>
      <c r="C91" s="61" t="s">
        <v>28</v>
      </c>
      <c r="D91" s="41"/>
      <c r="E91" s="17"/>
      <c r="F91" s="135">
        <v>0.502</v>
      </c>
      <c r="G91" s="39">
        <v>241.69</v>
      </c>
      <c r="H91" s="136"/>
      <c r="I91" s="13">
        <f>G91*0.502</f>
        <v>121.32838</v>
      </c>
    </row>
    <row r="92" spans="1:9" ht="17.25" customHeight="1">
      <c r="A92" s="30">
        <v>17</v>
      </c>
      <c r="B92" s="174" t="s">
        <v>201</v>
      </c>
      <c r="C92" s="175" t="s">
        <v>102</v>
      </c>
      <c r="D92" s="41" t="s">
        <v>276</v>
      </c>
      <c r="E92" s="17"/>
      <c r="F92" s="39">
        <v>2</v>
      </c>
      <c r="G92" s="39">
        <v>368.33</v>
      </c>
      <c r="H92" s="136"/>
      <c r="I92" s="13">
        <f>G92*1</f>
        <v>368.33</v>
      </c>
    </row>
    <row r="93" spans="1:9" ht="33.75" customHeight="1">
      <c r="A93" s="30">
        <v>18</v>
      </c>
      <c r="B93" s="134" t="s">
        <v>165</v>
      </c>
      <c r="C93" s="61" t="s">
        <v>162</v>
      </c>
      <c r="D93" s="41" t="s">
        <v>275</v>
      </c>
      <c r="E93" s="17"/>
      <c r="F93" s="135">
        <v>1</v>
      </c>
      <c r="G93" s="39">
        <v>1584.54</v>
      </c>
      <c r="H93" s="136"/>
      <c r="I93" s="13">
        <f>G93*1</f>
        <v>1584.54</v>
      </c>
    </row>
    <row r="94" spans="1:9" ht="15.75" customHeight="1">
      <c r="A94" s="30"/>
      <c r="B94" s="50" t="s">
        <v>50</v>
      </c>
      <c r="C94" s="57"/>
      <c r="D94" s="52"/>
      <c r="E94" s="13"/>
      <c r="F94" s="13"/>
      <c r="G94" s="13"/>
      <c r="H94" s="80"/>
      <c r="I94" s="87">
        <f>SUM(I90:I93)</f>
        <v>2150.9994285600001</v>
      </c>
    </row>
    <row r="95" spans="1:9">
      <c r="A95" s="30"/>
      <c r="B95" s="52" t="s">
        <v>75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134</v>
      </c>
      <c r="C96" s="38"/>
      <c r="D96" s="38"/>
      <c r="E96" s="38"/>
      <c r="F96" s="38"/>
      <c r="G96" s="38"/>
      <c r="H96" s="38"/>
      <c r="I96" s="49">
        <f>I88+I94</f>
        <v>30976.316790226665</v>
      </c>
    </row>
    <row r="97" spans="1:9" ht="15.75" customHeight="1">
      <c r="A97" s="187" t="s">
        <v>278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 customHeight="1">
      <c r="A98" s="68"/>
      <c r="B98" s="188" t="s">
        <v>279</v>
      </c>
      <c r="C98" s="188"/>
      <c r="D98" s="188"/>
      <c r="E98" s="188"/>
      <c r="F98" s="188"/>
      <c r="G98" s="188"/>
      <c r="H98" s="78"/>
      <c r="I98" s="3"/>
    </row>
    <row r="99" spans="1:9">
      <c r="A99" s="97"/>
      <c r="B99" s="189" t="s">
        <v>6</v>
      </c>
      <c r="C99" s="189"/>
      <c r="D99" s="189"/>
      <c r="E99" s="189"/>
      <c r="F99" s="189"/>
      <c r="G99" s="189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90" t="s">
        <v>7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90" t="s">
        <v>8</v>
      </c>
      <c r="B102" s="190"/>
      <c r="C102" s="190"/>
      <c r="D102" s="190"/>
      <c r="E102" s="190"/>
      <c r="F102" s="190"/>
      <c r="G102" s="190"/>
      <c r="H102" s="190"/>
      <c r="I102" s="190"/>
    </row>
    <row r="103" spans="1:9" ht="15.75">
      <c r="A103" s="191" t="s">
        <v>59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>
      <c r="A104" s="11"/>
    </row>
    <row r="105" spans="1:9" ht="15.75" customHeight="1">
      <c r="A105" s="192" t="s">
        <v>9</v>
      </c>
      <c r="B105" s="192"/>
      <c r="C105" s="192"/>
      <c r="D105" s="192"/>
      <c r="E105" s="192"/>
      <c r="F105" s="192"/>
      <c r="G105" s="192"/>
      <c r="H105" s="192"/>
      <c r="I105" s="192"/>
    </row>
    <row r="106" spans="1:9" ht="15.75" customHeight="1">
      <c r="A106" s="4"/>
    </row>
    <row r="107" spans="1:9" ht="15.75" customHeight="1">
      <c r="B107" s="94" t="s">
        <v>10</v>
      </c>
      <c r="C107" s="193" t="s">
        <v>195</v>
      </c>
      <c r="D107" s="193"/>
      <c r="E107" s="193"/>
      <c r="F107" s="76"/>
      <c r="I107" s="96"/>
    </row>
    <row r="108" spans="1:9" ht="15.75" customHeight="1">
      <c r="A108" s="97"/>
      <c r="C108" s="189" t="s">
        <v>11</v>
      </c>
      <c r="D108" s="189"/>
      <c r="E108" s="189"/>
      <c r="F108" s="25"/>
      <c r="I108" s="95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94" t="s">
        <v>13</v>
      </c>
      <c r="C110" s="194"/>
      <c r="D110" s="194"/>
      <c r="E110" s="194"/>
      <c r="F110" s="77"/>
      <c r="I110" s="96"/>
    </row>
    <row r="111" spans="1:9">
      <c r="A111" s="97"/>
      <c r="C111" s="183" t="s">
        <v>11</v>
      </c>
      <c r="D111" s="183"/>
      <c r="E111" s="183"/>
      <c r="F111" s="97"/>
      <c r="I111" s="95" t="s">
        <v>12</v>
      </c>
    </row>
    <row r="112" spans="1:9" ht="15.75">
      <c r="A112" s="4" t="s">
        <v>14</v>
      </c>
    </row>
    <row r="113" spans="1:9">
      <c r="A113" s="181" t="s">
        <v>15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45" customHeight="1">
      <c r="A114" s="182" t="s">
        <v>16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30" customHeight="1">
      <c r="A115" s="182" t="s">
        <v>17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30" customHeight="1">
      <c r="A116" s="182" t="s">
        <v>21</v>
      </c>
      <c r="B116" s="182"/>
      <c r="C116" s="182"/>
      <c r="D116" s="182"/>
      <c r="E116" s="182"/>
      <c r="F116" s="182"/>
      <c r="G116" s="182"/>
      <c r="H116" s="182"/>
      <c r="I116" s="182"/>
    </row>
    <row r="117" spans="1:9" ht="15" customHeight="1">
      <c r="A117" s="182" t="s">
        <v>20</v>
      </c>
      <c r="B117" s="182"/>
      <c r="C117" s="182"/>
      <c r="D117" s="182"/>
      <c r="E117" s="182"/>
      <c r="F117" s="182"/>
      <c r="G117" s="182"/>
      <c r="H117" s="182"/>
      <c r="I117" s="182"/>
    </row>
  </sheetData>
  <autoFilter ref="I12:I62"/>
  <mergeCells count="29">
    <mergeCell ref="A113:I113"/>
    <mergeCell ref="A114:I114"/>
    <mergeCell ref="A115:I115"/>
    <mergeCell ref="A116:I116"/>
    <mergeCell ref="A117:I117"/>
    <mergeCell ref="R68:U68"/>
    <mergeCell ref="C111:E111"/>
    <mergeCell ref="A89:I89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5"/>
  <sheetViews>
    <sheetView tabSelected="1" view="pageBreakPreview" topLeftCell="A88" zoomScale="60" zoomScaleNormal="100"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155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280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1">
        <v>44561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hidden="1" customHeight="1">
      <c r="A28" s="30">
        <v>6</v>
      </c>
      <c r="B28" s="88" t="s">
        <v>23</v>
      </c>
      <c r="C28" s="82" t="s">
        <v>24</v>
      </c>
      <c r="D28" s="35" t="s">
        <v>152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ref="H28" si="1">SUM(F28*G28/1000)</f>
        <v>91.728191999999993</v>
      </c>
      <c r="I28" s="13">
        <f>F28/12*G28</f>
        <v>7644.0159999999996</v>
      </c>
      <c r="J28" s="24"/>
    </row>
    <row r="29" spans="1:13" ht="15.75" customHeight="1">
      <c r="A29" s="202" t="s">
        <v>154</v>
      </c>
      <c r="B29" s="203"/>
      <c r="C29" s="203"/>
      <c r="D29" s="203"/>
      <c r="E29" s="203"/>
      <c r="F29" s="203"/>
      <c r="G29" s="203"/>
      <c r="H29" s="203"/>
      <c r="I29" s="204"/>
      <c r="J29" s="23"/>
      <c r="K29" s="8"/>
      <c r="L29" s="8"/>
      <c r="M29" s="8"/>
    </row>
    <row r="30" spans="1:13" ht="15.75" hidden="1" customHeight="1">
      <c r="A30" s="30"/>
      <c r="B30" s="92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100</v>
      </c>
      <c r="C31" s="46" t="s">
        <v>83</v>
      </c>
      <c r="D31" s="35" t="s">
        <v>135</v>
      </c>
      <c r="E31" s="34">
        <v>331.9</v>
      </c>
      <c r="F31" s="34">
        <f>SUM(E31*52/1000)</f>
        <v>17.258800000000001</v>
      </c>
      <c r="G31" s="34">
        <v>204.44</v>
      </c>
      <c r="H31" s="101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99</v>
      </c>
      <c r="C32" s="46" t="s">
        <v>83</v>
      </c>
      <c r="D32" s="35" t="s">
        <v>136</v>
      </c>
      <c r="E32" s="34">
        <v>108.9</v>
      </c>
      <c r="F32" s="34">
        <f>SUM(E32*78/1000)</f>
        <v>8.4942000000000011</v>
      </c>
      <c r="G32" s="34">
        <v>339.21</v>
      </c>
      <c r="H32" s="101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83</v>
      </c>
      <c r="D33" s="35" t="s">
        <v>52</v>
      </c>
      <c r="E33" s="34">
        <v>331.9</v>
      </c>
      <c r="F33" s="34">
        <f>SUM(E33/1000)</f>
        <v>0.33189999999999997</v>
      </c>
      <c r="G33" s="34">
        <v>3961.23</v>
      </c>
      <c r="H33" s="101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124</v>
      </c>
      <c r="C34" s="46" t="s">
        <v>39</v>
      </c>
      <c r="D34" s="35" t="s">
        <v>61</v>
      </c>
      <c r="E34" s="34">
        <v>2</v>
      </c>
      <c r="F34" s="34">
        <v>3.1</v>
      </c>
      <c r="G34" s="34">
        <v>1707.63</v>
      </c>
      <c r="H34" s="101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98</v>
      </c>
      <c r="C35" s="46" t="s">
        <v>29</v>
      </c>
      <c r="D35" s="35" t="s">
        <v>61</v>
      </c>
      <c r="E35" s="104">
        <f>1/3</f>
        <v>0.33333333333333331</v>
      </c>
      <c r="F35" s="34">
        <f>155/3</f>
        <v>51.666666666666664</v>
      </c>
      <c r="G35" s="34">
        <v>74.349999999999994</v>
      </c>
      <c r="H35" s="101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62</v>
      </c>
      <c r="C36" s="46" t="s">
        <v>31</v>
      </c>
      <c r="D36" s="35" t="s">
        <v>64</v>
      </c>
      <c r="E36" s="100"/>
      <c r="F36" s="34">
        <v>2</v>
      </c>
      <c r="G36" s="34">
        <v>250.92</v>
      </c>
      <c r="H36" s="101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63</v>
      </c>
      <c r="C37" s="46" t="s">
        <v>30</v>
      </c>
      <c r="D37" s="35" t="s">
        <v>64</v>
      </c>
      <c r="E37" s="100"/>
      <c r="F37" s="34">
        <v>1</v>
      </c>
      <c r="G37" s="34">
        <v>1490.31</v>
      </c>
      <c r="H37" s="101">
        <f t="shared" si="2"/>
        <v>1.49031</v>
      </c>
      <c r="I37" s="13">
        <v>0</v>
      </c>
      <c r="J37" s="24"/>
    </row>
    <row r="38" spans="1:14" ht="15.75" customHeight="1">
      <c r="A38" s="30"/>
      <c r="B38" s="92" t="s">
        <v>5</v>
      </c>
      <c r="C38" s="82"/>
      <c r="D38" s="81"/>
      <c r="E38" s="83"/>
      <c r="F38" s="84"/>
      <c r="G38" s="84"/>
      <c r="H38" s="85" t="s">
        <v>111</v>
      </c>
      <c r="I38" s="13"/>
      <c r="J38" s="24"/>
    </row>
    <row r="39" spans="1:14" ht="15.75" customHeight="1">
      <c r="A39" s="30">
        <v>5</v>
      </c>
      <c r="B39" s="36" t="s">
        <v>25</v>
      </c>
      <c r="C39" s="46" t="s">
        <v>30</v>
      </c>
      <c r="D39" s="35" t="s">
        <v>281</v>
      </c>
      <c r="E39" s="100"/>
      <c r="F39" s="34">
        <v>4</v>
      </c>
      <c r="G39" s="34">
        <v>2003</v>
      </c>
      <c r="H39" s="101">
        <f t="shared" ref="H39" si="4">SUM(F39*G39/1000)</f>
        <v>8.0120000000000005</v>
      </c>
      <c r="I39" s="13">
        <f>G39*1</f>
        <v>2003</v>
      </c>
      <c r="J39" s="24"/>
      <c r="L39" s="19"/>
      <c r="M39" s="20"/>
      <c r="N39" s="21"/>
    </row>
    <row r="40" spans="1:14" ht="15.75" customHeight="1">
      <c r="A40" s="30">
        <v>6</v>
      </c>
      <c r="B40" s="36" t="s">
        <v>137</v>
      </c>
      <c r="C40" s="55" t="s">
        <v>28</v>
      </c>
      <c r="D40" s="35" t="s">
        <v>172</v>
      </c>
      <c r="E40" s="100">
        <v>108.9</v>
      </c>
      <c r="F40" s="37">
        <f>E40*30/1000</f>
        <v>3.2669999999999999</v>
      </c>
      <c r="G40" s="34">
        <v>2757.78</v>
      </c>
      <c r="H40" s="101">
        <f t="shared" ref="H40:H45" si="5">SUM(F40*G40/1000)</f>
        <v>9.0096672600000005</v>
      </c>
      <c r="I40" s="13">
        <f t="shared" ref="I40:I43" si="6">F40/6*G40</f>
        <v>1501.61121</v>
      </c>
      <c r="J40" s="24"/>
      <c r="L40" s="19"/>
      <c r="M40" s="20"/>
      <c r="N40" s="21"/>
    </row>
    <row r="41" spans="1:14" ht="15.75" customHeight="1">
      <c r="A41" s="30">
        <v>7</v>
      </c>
      <c r="B41" s="35" t="s">
        <v>65</v>
      </c>
      <c r="C41" s="46" t="s">
        <v>28</v>
      </c>
      <c r="D41" s="35" t="s">
        <v>173</v>
      </c>
      <c r="E41" s="34">
        <v>108.9</v>
      </c>
      <c r="F41" s="37">
        <f>SUM(E41*155/1000)</f>
        <v>16.8795</v>
      </c>
      <c r="G41" s="34">
        <v>460.02</v>
      </c>
      <c r="H41" s="101">
        <f t="shared" si="5"/>
        <v>7.76490759</v>
      </c>
      <c r="I41" s="13">
        <f t="shared" si="6"/>
        <v>1294.151265</v>
      </c>
      <c r="J41" s="24"/>
      <c r="L41" s="19"/>
      <c r="M41" s="20"/>
      <c r="N41" s="21"/>
    </row>
    <row r="42" spans="1:14" ht="15" hidden="1" customHeight="1">
      <c r="A42" s="30">
        <v>9</v>
      </c>
      <c r="B42" s="35" t="s">
        <v>138</v>
      </c>
      <c r="C42" s="46" t="s">
        <v>139</v>
      </c>
      <c r="D42" s="35" t="s">
        <v>183</v>
      </c>
      <c r="E42" s="100"/>
      <c r="F42" s="37">
        <v>39</v>
      </c>
      <c r="G42" s="34">
        <v>314</v>
      </c>
      <c r="H42" s="101">
        <f t="shared" si="5"/>
        <v>12.246</v>
      </c>
      <c r="I42" s="13">
        <f>G42*104</f>
        <v>32656</v>
      </c>
      <c r="J42" s="24"/>
      <c r="L42" s="19"/>
      <c r="M42" s="20"/>
      <c r="N42" s="21"/>
    </row>
    <row r="43" spans="1:14" ht="47.25" customHeight="1">
      <c r="A43" s="30">
        <v>8</v>
      </c>
      <c r="B43" s="35" t="s">
        <v>77</v>
      </c>
      <c r="C43" s="46" t="s">
        <v>83</v>
      </c>
      <c r="D43" s="35" t="s">
        <v>176</v>
      </c>
      <c r="E43" s="34">
        <v>40</v>
      </c>
      <c r="F43" s="37">
        <f>SUM(E43*35/1000)</f>
        <v>1.4</v>
      </c>
      <c r="G43" s="34">
        <v>7611.16</v>
      </c>
      <c r="H43" s="101">
        <f t="shared" si="5"/>
        <v>10.655624</v>
      </c>
      <c r="I43" s="13">
        <f t="shared" si="6"/>
        <v>1775.9373333333331</v>
      </c>
      <c r="J43" s="24"/>
      <c r="L43" s="19"/>
      <c r="M43" s="20"/>
      <c r="N43" s="21"/>
    </row>
    <row r="44" spans="1:14" ht="15.75" hidden="1" customHeight="1">
      <c r="A44" s="30">
        <v>11</v>
      </c>
      <c r="B44" s="35" t="s">
        <v>114</v>
      </c>
      <c r="C44" s="46" t="s">
        <v>83</v>
      </c>
      <c r="D44" s="35" t="s">
        <v>174</v>
      </c>
      <c r="E44" s="34">
        <v>108.9</v>
      </c>
      <c r="F44" s="37">
        <f>SUM(E44*45/1000)</f>
        <v>4.9005000000000001</v>
      </c>
      <c r="G44" s="34">
        <v>562.25</v>
      </c>
      <c r="H44" s="101">
        <f t="shared" si="5"/>
        <v>2.7553061250000002</v>
      </c>
      <c r="I44" s="13">
        <f>F44/7.5*G44</f>
        <v>367.37414999999999</v>
      </c>
      <c r="J44" s="24"/>
      <c r="L44" s="19"/>
      <c r="M44" s="20"/>
      <c r="N44" s="21"/>
    </row>
    <row r="45" spans="1:14" ht="15.75" hidden="1" customHeight="1">
      <c r="A45" s="30">
        <v>12</v>
      </c>
      <c r="B45" s="36" t="s">
        <v>67</v>
      </c>
      <c r="C45" s="55" t="s">
        <v>31</v>
      </c>
      <c r="D45" s="36"/>
      <c r="E45" s="103"/>
      <c r="F45" s="37">
        <v>0.5</v>
      </c>
      <c r="G45" s="37">
        <v>974.83</v>
      </c>
      <c r="H45" s="101">
        <f t="shared" si="5"/>
        <v>0.48741500000000004</v>
      </c>
      <c r="I45" s="13">
        <f>F45/7.5*G45</f>
        <v>64.988666666666674</v>
      </c>
      <c r="J45" s="24"/>
      <c r="L45" s="19"/>
      <c r="M45" s="20"/>
      <c r="N45" s="21"/>
    </row>
    <row r="46" spans="1:14" ht="15.75" customHeight="1">
      <c r="A46" s="202" t="s">
        <v>120</v>
      </c>
      <c r="B46" s="203"/>
      <c r="C46" s="203"/>
      <c r="D46" s="203"/>
      <c r="E46" s="203"/>
      <c r="F46" s="203"/>
      <c r="G46" s="203"/>
      <c r="H46" s="203"/>
      <c r="I46" s="204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101</v>
      </c>
      <c r="C47" s="46" t="s">
        <v>83</v>
      </c>
      <c r="D47" s="35" t="s">
        <v>41</v>
      </c>
      <c r="E47" s="100">
        <v>838.88</v>
      </c>
      <c r="F47" s="34">
        <f>SUM(E47*2/1000)</f>
        <v>1.6777599999999999</v>
      </c>
      <c r="G47" s="39">
        <v>1062</v>
      </c>
      <c r="H47" s="101">
        <f t="shared" ref="H47:H56" si="7">SUM(F47*G47/1000)</f>
        <v>1.7817811199999998</v>
      </c>
      <c r="I47" s="13">
        <f t="shared" ref="I47:I50" si="8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34</v>
      </c>
      <c r="C48" s="46" t="s">
        <v>83</v>
      </c>
      <c r="D48" s="35" t="s">
        <v>41</v>
      </c>
      <c r="E48" s="100">
        <v>26</v>
      </c>
      <c r="F48" s="34">
        <f>E48*2/1000</f>
        <v>5.1999999999999998E-2</v>
      </c>
      <c r="G48" s="39">
        <v>759.98</v>
      </c>
      <c r="H48" s="101">
        <f t="shared" si="7"/>
        <v>3.9518959999999999E-2</v>
      </c>
      <c r="I48" s="13">
        <f t="shared" si="8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35</v>
      </c>
      <c r="C49" s="46" t="s">
        <v>83</v>
      </c>
      <c r="D49" s="35" t="s">
        <v>41</v>
      </c>
      <c r="E49" s="100">
        <v>879</v>
      </c>
      <c r="F49" s="34">
        <f>SUM(E49*2/1000)</f>
        <v>1.758</v>
      </c>
      <c r="G49" s="39">
        <v>759.98</v>
      </c>
      <c r="H49" s="101">
        <f t="shared" si="7"/>
        <v>1.33604484</v>
      </c>
      <c r="I49" s="13">
        <f t="shared" si="8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36</v>
      </c>
      <c r="C50" s="46" t="s">
        <v>83</v>
      </c>
      <c r="D50" s="35" t="s">
        <v>41</v>
      </c>
      <c r="E50" s="100">
        <v>1490.75</v>
      </c>
      <c r="F50" s="34">
        <f>SUM(E50*2/1000)</f>
        <v>2.9815</v>
      </c>
      <c r="G50" s="39">
        <v>795.82</v>
      </c>
      <c r="H50" s="101">
        <f t="shared" si="7"/>
        <v>2.3727373300000005</v>
      </c>
      <c r="I50" s="13">
        <f t="shared" si="8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32</v>
      </c>
      <c r="C51" s="46" t="s">
        <v>33</v>
      </c>
      <c r="D51" s="35" t="s">
        <v>41</v>
      </c>
      <c r="E51" s="100">
        <v>61.04</v>
      </c>
      <c r="F51" s="34">
        <f>SUM(E51*2/100)</f>
        <v>1.2207999999999999</v>
      </c>
      <c r="G51" s="39">
        <v>95.49</v>
      </c>
      <c r="H51" s="101">
        <f t="shared" si="7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customHeight="1">
      <c r="A52" s="30">
        <v>9</v>
      </c>
      <c r="B52" s="35" t="s">
        <v>54</v>
      </c>
      <c r="C52" s="46" t="s">
        <v>83</v>
      </c>
      <c r="D52" s="35" t="s">
        <v>164</v>
      </c>
      <c r="E52" s="100">
        <v>2135.1999999999998</v>
      </c>
      <c r="F52" s="34">
        <f>SUM(E52*5/1000)</f>
        <v>10.676</v>
      </c>
      <c r="G52" s="39">
        <v>1591.6</v>
      </c>
      <c r="H52" s="101">
        <f t="shared" si="7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84</v>
      </c>
      <c r="C53" s="46" t="s">
        <v>83</v>
      </c>
      <c r="D53" s="35" t="s">
        <v>41</v>
      </c>
      <c r="E53" s="100">
        <v>2135.1999999999998</v>
      </c>
      <c r="F53" s="34">
        <f>SUM(E53*2/1000)</f>
        <v>4.2703999999999995</v>
      </c>
      <c r="G53" s="39">
        <v>1591.6</v>
      </c>
      <c r="H53" s="101">
        <f t="shared" si="7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85</v>
      </c>
      <c r="C54" s="46" t="s">
        <v>37</v>
      </c>
      <c r="D54" s="35" t="s">
        <v>41</v>
      </c>
      <c r="E54" s="100">
        <v>10</v>
      </c>
      <c r="F54" s="34">
        <f>SUM(E54*2/100)</f>
        <v>0.2</v>
      </c>
      <c r="G54" s="39">
        <v>3581.13</v>
      </c>
      <c r="H54" s="101">
        <f t="shared" si="7"/>
        <v>0.71622600000000014</v>
      </c>
      <c r="I54" s="13">
        <f t="shared" ref="I54:I55" si="9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38</v>
      </c>
      <c r="C55" s="46" t="s">
        <v>39</v>
      </c>
      <c r="D55" s="35" t="s">
        <v>41</v>
      </c>
      <c r="E55" s="100">
        <v>1</v>
      </c>
      <c r="F55" s="34">
        <v>0.02</v>
      </c>
      <c r="G55" s="39">
        <v>7412.92</v>
      </c>
      <c r="H55" s="101">
        <f t="shared" si="7"/>
        <v>0.14825839999999998</v>
      </c>
      <c r="I55" s="13">
        <f t="shared" si="9"/>
        <v>74.129199999999997</v>
      </c>
      <c r="J55" s="24"/>
      <c r="L55" s="19"/>
      <c r="M55" s="20"/>
      <c r="N55" s="21"/>
    </row>
    <row r="56" spans="1:14" ht="15.75" hidden="1" customHeight="1">
      <c r="A56" s="109">
        <v>11</v>
      </c>
      <c r="B56" s="105" t="s">
        <v>40</v>
      </c>
      <c r="C56" s="106" t="s">
        <v>102</v>
      </c>
      <c r="D56" s="167">
        <v>44176</v>
      </c>
      <c r="E56" s="107">
        <v>80</v>
      </c>
      <c r="F56" s="108">
        <f>SUM(E56)*3</f>
        <v>240</v>
      </c>
      <c r="G56" s="110">
        <v>86.15</v>
      </c>
      <c r="H56" s="111">
        <f t="shared" si="7"/>
        <v>20.675999999999998</v>
      </c>
      <c r="I56" s="112">
        <f>E56*G56</f>
        <v>6892</v>
      </c>
      <c r="J56" s="24"/>
      <c r="L56" s="19"/>
      <c r="M56" s="20"/>
      <c r="N56" s="21"/>
    </row>
    <row r="57" spans="1:14" ht="15.75" customHeight="1">
      <c r="A57" s="195" t="s">
        <v>119</v>
      </c>
      <c r="B57" s="195"/>
      <c r="C57" s="195"/>
      <c r="D57" s="195"/>
      <c r="E57" s="195"/>
      <c r="F57" s="195"/>
      <c r="G57" s="195"/>
      <c r="H57" s="195"/>
      <c r="I57" s="195"/>
      <c r="J57" s="24"/>
      <c r="L57" s="19"/>
      <c r="M57" s="20"/>
      <c r="N57" s="21"/>
    </row>
    <row r="58" spans="1:14" ht="15.75" customHeight="1">
      <c r="A58" s="30"/>
      <c r="B58" s="99" t="s">
        <v>42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customHeight="1">
      <c r="A59" s="30">
        <v>10</v>
      </c>
      <c r="B59" s="41" t="s">
        <v>103</v>
      </c>
      <c r="C59" s="42" t="s">
        <v>80</v>
      </c>
      <c r="D59" s="41"/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G59*0.08</f>
        <v>194.49439999999998</v>
      </c>
      <c r="J59" s="24"/>
      <c r="L59" s="19"/>
    </row>
    <row r="60" spans="1:14" ht="15.75" hidden="1" customHeight="1">
      <c r="A60" s="30"/>
      <c r="B60" s="41" t="s">
        <v>140</v>
      </c>
      <c r="C60" s="42" t="s">
        <v>141</v>
      </c>
      <c r="D60" s="41" t="s">
        <v>64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99" t="s">
        <v>43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115</v>
      </c>
      <c r="C62" s="42" t="s">
        <v>80</v>
      </c>
      <c r="D62" s="41" t="s">
        <v>52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11</v>
      </c>
      <c r="B63" s="41" t="s">
        <v>142</v>
      </c>
      <c r="C63" s="42" t="s">
        <v>143</v>
      </c>
      <c r="D63" s="41" t="s">
        <v>164</v>
      </c>
      <c r="E63" s="17">
        <v>134.19999999999999</v>
      </c>
      <c r="F63" s="39">
        <v>1200</v>
      </c>
      <c r="G63" s="39">
        <v>1.4</v>
      </c>
      <c r="H63" s="39">
        <f>F63*G63/1000</f>
        <v>1.68</v>
      </c>
      <c r="I63" s="13">
        <f>F63/12*G63</f>
        <v>140</v>
      </c>
    </row>
    <row r="64" spans="1:14" ht="14.25" hidden="1" customHeight="1">
      <c r="A64" s="113"/>
      <c r="B64" s="114" t="s">
        <v>44</v>
      </c>
      <c r="C64" s="115"/>
      <c r="D64" s="116"/>
      <c r="E64" s="86"/>
      <c r="F64" s="117"/>
      <c r="G64" s="117"/>
      <c r="H64" s="118" t="s">
        <v>111</v>
      </c>
      <c r="I64" s="119"/>
    </row>
    <row r="65" spans="1:22" ht="16.5" hidden="1" customHeight="1">
      <c r="A65" s="30">
        <v>13</v>
      </c>
      <c r="B65" s="58" t="s">
        <v>45</v>
      </c>
      <c r="C65" s="42" t="s">
        <v>102</v>
      </c>
      <c r="D65" s="41" t="s">
        <v>170</v>
      </c>
      <c r="E65" s="17">
        <v>5</v>
      </c>
      <c r="F65" s="34">
        <f>E65</f>
        <v>5</v>
      </c>
      <c r="G65" s="39">
        <v>291.68</v>
      </c>
      <c r="H65" s="79">
        <f t="shared" ref="H65:H72" si="10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hidden="1" customHeight="1">
      <c r="A66" s="30"/>
      <c r="B66" s="58" t="s">
        <v>46</v>
      </c>
      <c r="C66" s="42" t="s">
        <v>102</v>
      </c>
      <c r="D66" s="41" t="s">
        <v>64</v>
      </c>
      <c r="E66" s="17">
        <v>5</v>
      </c>
      <c r="F66" s="34">
        <f>E66</f>
        <v>5</v>
      </c>
      <c r="G66" s="39">
        <v>100.01</v>
      </c>
      <c r="H66" s="79">
        <f t="shared" si="10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47</v>
      </c>
      <c r="C67" s="44" t="s">
        <v>105</v>
      </c>
      <c r="D67" s="41" t="s">
        <v>52</v>
      </c>
      <c r="E67" s="100">
        <v>10348</v>
      </c>
      <c r="F67" s="40">
        <f>SUM(E67/100)</f>
        <v>103.48</v>
      </c>
      <c r="G67" s="39">
        <v>278.24</v>
      </c>
      <c r="H67" s="79">
        <f t="shared" si="10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21" hidden="1" customHeight="1">
      <c r="A68" s="30"/>
      <c r="B68" s="58" t="s">
        <v>48</v>
      </c>
      <c r="C68" s="42" t="s">
        <v>106</v>
      </c>
      <c r="D68" s="41" t="s">
        <v>52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10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83"/>
      <c r="S68" s="183"/>
      <c r="T68" s="183"/>
      <c r="U68" s="183"/>
    </row>
    <row r="69" spans="1:22" ht="22.5" hidden="1" customHeight="1">
      <c r="A69" s="30"/>
      <c r="B69" s="58" t="s">
        <v>49</v>
      </c>
      <c r="C69" s="42" t="s">
        <v>73</v>
      </c>
      <c r="D69" s="41" t="s">
        <v>52</v>
      </c>
      <c r="E69" s="100">
        <v>1645</v>
      </c>
      <c r="F69" s="39">
        <f>SUM(E69/100)</f>
        <v>16.45</v>
      </c>
      <c r="G69" s="39">
        <v>2720.94</v>
      </c>
      <c r="H69" s="79">
        <f t="shared" si="10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5.5" hidden="1" customHeight="1">
      <c r="A70" s="30"/>
      <c r="B70" s="53" t="s">
        <v>107</v>
      </c>
      <c r="C70" s="42" t="s">
        <v>31</v>
      </c>
      <c r="D70" s="41"/>
      <c r="E70" s="100">
        <v>9</v>
      </c>
      <c r="F70" s="39">
        <f>E70</f>
        <v>9</v>
      </c>
      <c r="G70" s="39">
        <v>42.61</v>
      </c>
      <c r="H70" s="79">
        <f t="shared" si="10"/>
        <v>0.38349</v>
      </c>
      <c r="I70" s="13">
        <v>0</v>
      </c>
    </row>
    <row r="71" spans="1:22" ht="24" hidden="1" customHeight="1">
      <c r="A71" s="30"/>
      <c r="B71" s="53" t="s">
        <v>108</v>
      </c>
      <c r="C71" s="42" t="s">
        <v>31</v>
      </c>
      <c r="D71" s="41"/>
      <c r="E71" s="100">
        <v>9</v>
      </c>
      <c r="F71" s="39">
        <f t="shared" ref="F71:F72" si="11">E71</f>
        <v>9</v>
      </c>
      <c r="G71" s="39">
        <v>46.04</v>
      </c>
      <c r="H71" s="79">
        <f t="shared" si="10"/>
        <v>0.41436000000000001</v>
      </c>
      <c r="I71" s="13">
        <v>0</v>
      </c>
    </row>
    <row r="72" spans="1:22" ht="21.75" hidden="1" customHeight="1">
      <c r="A72" s="30">
        <v>21</v>
      </c>
      <c r="B72" s="41" t="s">
        <v>55</v>
      </c>
      <c r="C72" s="42" t="s">
        <v>56</v>
      </c>
      <c r="D72" s="41" t="s">
        <v>52</v>
      </c>
      <c r="E72" s="17">
        <v>2</v>
      </c>
      <c r="F72" s="39">
        <f t="shared" si="11"/>
        <v>2</v>
      </c>
      <c r="G72" s="39">
        <v>65.42</v>
      </c>
      <c r="H72" s="79">
        <f t="shared" si="10"/>
        <v>0.13084000000000001</v>
      </c>
      <c r="I72" s="13">
        <f>F72*G72</f>
        <v>130.84</v>
      </c>
    </row>
    <row r="73" spans="1:22" ht="15.75" customHeight="1">
      <c r="A73" s="30"/>
      <c r="B73" s="99" t="s">
        <v>69</v>
      </c>
      <c r="C73" s="16"/>
      <c r="D73" s="14"/>
      <c r="E73" s="18"/>
      <c r="F73" s="13"/>
      <c r="G73" s="13"/>
      <c r="H73" s="80" t="s">
        <v>111</v>
      </c>
      <c r="I73" s="13"/>
    </row>
    <row r="74" spans="1:22" ht="15.75" hidden="1" customHeight="1">
      <c r="A74" s="30"/>
      <c r="B74" s="14" t="s">
        <v>144</v>
      </c>
      <c r="C74" s="16" t="s">
        <v>145</v>
      </c>
      <c r="D74" s="41" t="s">
        <v>64</v>
      </c>
      <c r="E74" s="18">
        <v>1</v>
      </c>
      <c r="F74" s="13">
        <f>E74</f>
        <v>1</v>
      </c>
      <c r="G74" s="13">
        <v>1029.1199999999999</v>
      </c>
      <c r="H74" s="80">
        <f t="shared" ref="H74:H75" si="12">SUM(F74*G74/1000)</f>
        <v>1.0291199999999998</v>
      </c>
      <c r="I74" s="13">
        <v>0</v>
      </c>
    </row>
    <row r="75" spans="1:22" ht="15.75" hidden="1" customHeight="1">
      <c r="A75" s="30"/>
      <c r="B75" s="14" t="s">
        <v>146</v>
      </c>
      <c r="C75" s="16" t="s">
        <v>147</v>
      </c>
      <c r="D75" s="120"/>
      <c r="E75" s="18">
        <v>1</v>
      </c>
      <c r="F75" s="13">
        <v>1</v>
      </c>
      <c r="G75" s="13">
        <v>735</v>
      </c>
      <c r="H75" s="80">
        <f t="shared" si="12"/>
        <v>0.73499999999999999</v>
      </c>
      <c r="I75" s="13">
        <v>0</v>
      </c>
    </row>
    <row r="76" spans="1:22" ht="15.75" hidden="1" customHeight="1">
      <c r="A76" s="30"/>
      <c r="B76" s="14" t="s">
        <v>70</v>
      </c>
      <c r="C76" s="16" t="s">
        <v>71</v>
      </c>
      <c r="D76" s="41" t="s">
        <v>64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148</v>
      </c>
      <c r="C77" s="16" t="s">
        <v>102</v>
      </c>
      <c r="D77" s="41" t="s">
        <v>64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25.5" hidden="1" customHeight="1">
      <c r="A78" s="30"/>
      <c r="B78" s="56" t="s">
        <v>149</v>
      </c>
      <c r="C78" s="57" t="s">
        <v>102</v>
      </c>
      <c r="D78" s="41" t="s">
        <v>64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12</v>
      </c>
      <c r="B79" s="56" t="s">
        <v>150</v>
      </c>
      <c r="C79" s="57" t="s">
        <v>102</v>
      </c>
      <c r="D79" s="14" t="s">
        <v>171</v>
      </c>
      <c r="E79" s="18">
        <v>2</v>
      </c>
      <c r="F79" s="84">
        <f>E79*12</f>
        <v>24</v>
      </c>
      <c r="G79" s="13">
        <v>53.42</v>
      </c>
      <c r="H79" s="80">
        <f t="shared" ref="H79:H80" si="13">SUM(F79*G79/1000)</f>
        <v>1.2820799999999999</v>
      </c>
      <c r="I79" s="13">
        <f>G79*2</f>
        <v>106.84</v>
      </c>
    </row>
    <row r="80" spans="1:22" ht="31.5" customHeight="1">
      <c r="A80" s="30">
        <v>13</v>
      </c>
      <c r="B80" s="56" t="s">
        <v>151</v>
      </c>
      <c r="C80" s="57" t="s">
        <v>102</v>
      </c>
      <c r="D80" s="14" t="s">
        <v>171</v>
      </c>
      <c r="E80" s="18">
        <v>1</v>
      </c>
      <c r="F80" s="84">
        <f>E80*12</f>
        <v>12</v>
      </c>
      <c r="G80" s="13">
        <v>1194</v>
      </c>
      <c r="H80" s="80">
        <f t="shared" si="13"/>
        <v>14.327999999999999</v>
      </c>
      <c r="I80" s="13">
        <f>G80</f>
        <v>1194</v>
      </c>
    </row>
    <row r="81" spans="1:9" ht="15.75" hidden="1" customHeight="1">
      <c r="A81" s="30"/>
      <c r="B81" s="90" t="s">
        <v>72</v>
      </c>
      <c r="C81" s="16"/>
      <c r="D81" s="14"/>
      <c r="E81" s="18"/>
      <c r="F81" s="13"/>
      <c r="G81" s="13" t="s">
        <v>111</v>
      </c>
      <c r="H81" s="80" t="s">
        <v>111</v>
      </c>
      <c r="I81" s="13"/>
    </row>
    <row r="82" spans="1:9" ht="15.75" hidden="1" customHeight="1">
      <c r="A82" s="30"/>
      <c r="B82" s="43" t="s">
        <v>112</v>
      </c>
      <c r="C82" s="44" t="s">
        <v>73</v>
      </c>
      <c r="D82" s="58"/>
      <c r="E82" s="121"/>
      <c r="F82" s="40">
        <v>0.6</v>
      </c>
      <c r="G82" s="40">
        <v>3619.09</v>
      </c>
      <c r="H82" s="79">
        <f t="shared" ref="H82" si="14">SUM(F82*G82/1000)</f>
        <v>2.1714540000000002</v>
      </c>
      <c r="I82" s="13">
        <v>0</v>
      </c>
    </row>
    <row r="83" spans="1:9" ht="15.75" hidden="1" customHeight="1">
      <c r="A83" s="30"/>
      <c r="B83" s="93" t="s">
        <v>86</v>
      </c>
      <c r="C83" s="90"/>
      <c r="D83" s="32"/>
      <c r="E83" s="33"/>
      <c r="F83" s="87"/>
      <c r="G83" s="87"/>
      <c r="H83" s="91">
        <f>SUM(H59:H82)</f>
        <v>115.48976176000001</v>
      </c>
      <c r="I83" s="87"/>
    </row>
    <row r="84" spans="1:9" ht="15.75" hidden="1" customHeight="1">
      <c r="A84" s="109">
        <v>16</v>
      </c>
      <c r="B84" s="123" t="s">
        <v>109</v>
      </c>
      <c r="C84" s="124"/>
      <c r="D84" s="125"/>
      <c r="E84" s="122"/>
      <c r="F84" s="126">
        <v>1</v>
      </c>
      <c r="G84" s="126">
        <v>76.5</v>
      </c>
      <c r="H84" s="127">
        <f>G84*F84/1000</f>
        <v>7.6499999999999999E-2</v>
      </c>
      <c r="I84" s="112">
        <f>G84</f>
        <v>76.5</v>
      </c>
    </row>
    <row r="85" spans="1:9" ht="15.75" customHeight="1">
      <c r="A85" s="195" t="s">
        <v>118</v>
      </c>
      <c r="B85" s="195"/>
      <c r="C85" s="195"/>
      <c r="D85" s="195"/>
      <c r="E85" s="195"/>
      <c r="F85" s="195"/>
      <c r="G85" s="195"/>
      <c r="H85" s="195"/>
      <c r="I85" s="195"/>
    </row>
    <row r="86" spans="1:9" ht="15.75" customHeight="1">
      <c r="A86" s="30">
        <v>14</v>
      </c>
      <c r="B86" s="41" t="s">
        <v>110</v>
      </c>
      <c r="C86" s="42" t="s">
        <v>53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15</v>
      </c>
      <c r="B87" s="14" t="s">
        <v>74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76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I87+I86+I80+I79+I63+I59+I52+I43+I41+I40+I39+I20+I18+I17+I16</f>
        <v>32384.196081666665</v>
      </c>
    </row>
    <row r="89" spans="1:9" ht="15.75" customHeight="1">
      <c r="A89" s="184" t="s">
        <v>58</v>
      </c>
      <c r="B89" s="185"/>
      <c r="C89" s="185"/>
      <c r="D89" s="185"/>
      <c r="E89" s="185"/>
      <c r="F89" s="185"/>
      <c r="G89" s="185"/>
      <c r="H89" s="185"/>
      <c r="I89" s="186"/>
    </row>
    <row r="90" spans="1:9" ht="33.75" customHeight="1">
      <c r="A90" s="30">
        <v>16</v>
      </c>
      <c r="B90" s="134" t="s">
        <v>163</v>
      </c>
      <c r="C90" s="61" t="s">
        <v>28</v>
      </c>
      <c r="D90" s="60"/>
      <c r="E90" s="39"/>
      <c r="F90" s="135">
        <f>0.001</f>
        <v>1E-3</v>
      </c>
      <c r="G90" s="159">
        <v>21369.24</v>
      </c>
      <c r="H90" s="136">
        <f t="shared" ref="H90" si="15">G90*F90/1000</f>
        <v>2.1369240000000001E-2</v>
      </c>
      <c r="I90" s="13">
        <f>G90*6*0.599/1000</f>
        <v>76.801048559999998</v>
      </c>
    </row>
    <row r="91" spans="1:9" ht="29.25" customHeight="1">
      <c r="A91" s="30">
        <v>17</v>
      </c>
      <c r="B91" s="134" t="s">
        <v>185</v>
      </c>
      <c r="C91" s="61" t="s">
        <v>116</v>
      </c>
      <c r="D91" s="41" t="s">
        <v>282</v>
      </c>
      <c r="E91" s="17"/>
      <c r="F91" s="135">
        <v>4</v>
      </c>
      <c r="G91" s="39">
        <v>614.47</v>
      </c>
      <c r="H91" s="79"/>
      <c r="I91" s="13">
        <f>G91*2</f>
        <v>1228.94</v>
      </c>
    </row>
    <row r="92" spans="1:9" ht="15.75" customHeight="1">
      <c r="A92" s="30"/>
      <c r="B92" s="50" t="s">
        <v>50</v>
      </c>
      <c r="C92" s="57"/>
      <c r="D92" s="52"/>
      <c r="E92" s="13"/>
      <c r="F92" s="13"/>
      <c r="G92" s="13"/>
      <c r="H92" s="80"/>
      <c r="I92" s="87">
        <f>SUM(I90:I91)</f>
        <v>1305.7410485600001</v>
      </c>
    </row>
    <row r="93" spans="1:9">
      <c r="A93" s="30"/>
      <c r="B93" s="52" t="s">
        <v>75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4"/>
      <c r="B94" s="51" t="s">
        <v>134</v>
      </c>
      <c r="C94" s="38"/>
      <c r="D94" s="38"/>
      <c r="E94" s="38"/>
      <c r="F94" s="38"/>
      <c r="G94" s="38"/>
      <c r="H94" s="38"/>
      <c r="I94" s="49">
        <f>I88+I92</f>
        <v>33689.937130226666</v>
      </c>
    </row>
    <row r="95" spans="1:9" ht="15.75" customHeight="1">
      <c r="A95" s="187" t="s">
        <v>283</v>
      </c>
      <c r="B95" s="187"/>
      <c r="C95" s="187"/>
      <c r="D95" s="187"/>
      <c r="E95" s="187"/>
      <c r="F95" s="187"/>
      <c r="G95" s="187"/>
      <c r="H95" s="187"/>
      <c r="I95" s="187"/>
    </row>
    <row r="96" spans="1:9" ht="15.75" customHeight="1">
      <c r="A96" s="68"/>
      <c r="B96" s="188" t="s">
        <v>284</v>
      </c>
      <c r="C96" s="188"/>
      <c r="D96" s="188"/>
      <c r="E96" s="188"/>
      <c r="F96" s="188"/>
      <c r="G96" s="188"/>
      <c r="H96" s="78"/>
      <c r="I96" s="3"/>
    </row>
    <row r="97" spans="1:9">
      <c r="A97" s="97"/>
      <c r="B97" s="189" t="s">
        <v>6</v>
      </c>
      <c r="C97" s="189"/>
      <c r="D97" s="189"/>
      <c r="E97" s="189"/>
      <c r="F97" s="189"/>
      <c r="G97" s="189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90" t="s">
        <v>7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90" t="s">
        <v>8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>
      <c r="A101" s="191" t="s">
        <v>59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>
      <c r="A102" s="11"/>
    </row>
    <row r="103" spans="1:9" ht="15.75" customHeight="1">
      <c r="A103" s="192" t="s">
        <v>9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4"/>
    </row>
    <row r="105" spans="1:9" ht="15.75" customHeight="1">
      <c r="B105" s="94" t="s">
        <v>10</v>
      </c>
      <c r="C105" s="193" t="s">
        <v>195</v>
      </c>
      <c r="D105" s="193"/>
      <c r="E105" s="193"/>
      <c r="F105" s="76"/>
      <c r="I105" s="96"/>
    </row>
    <row r="106" spans="1:9" ht="15.75" customHeight="1">
      <c r="A106" s="97"/>
      <c r="C106" s="189" t="s">
        <v>11</v>
      </c>
      <c r="D106" s="189"/>
      <c r="E106" s="189"/>
      <c r="F106" s="25"/>
      <c r="I106" s="95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94" t="s">
        <v>13</v>
      </c>
      <c r="C108" s="194"/>
      <c r="D108" s="194"/>
      <c r="E108" s="194"/>
      <c r="F108" s="77"/>
      <c r="I108" s="96"/>
    </row>
    <row r="109" spans="1:9">
      <c r="A109" s="97"/>
      <c r="C109" s="183" t="s">
        <v>11</v>
      </c>
      <c r="D109" s="183"/>
      <c r="E109" s="183"/>
      <c r="F109" s="97"/>
      <c r="I109" s="95" t="s">
        <v>12</v>
      </c>
    </row>
    <row r="110" spans="1:9" ht="15.75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82" t="s">
        <v>16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0" customHeight="1">
      <c r="A113" s="182" t="s">
        <v>17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21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5" customHeight="1">
      <c r="A115" s="182" t="s">
        <v>20</v>
      </c>
      <c r="B115" s="182"/>
      <c r="C115" s="182"/>
      <c r="D115" s="182"/>
      <c r="E115" s="182"/>
      <c r="F115" s="182"/>
      <c r="G115" s="182"/>
      <c r="H115" s="182"/>
      <c r="I115" s="182"/>
    </row>
  </sheetData>
  <autoFilter ref="I12:I62"/>
  <mergeCells count="29">
    <mergeCell ref="A111:I111"/>
    <mergeCell ref="A112:I112"/>
    <mergeCell ref="A113:I113"/>
    <mergeCell ref="A114:I114"/>
    <mergeCell ref="A115:I115"/>
    <mergeCell ref="R68:U68"/>
    <mergeCell ref="C109:E109"/>
    <mergeCell ref="A89:I89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topLeftCell="A79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126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210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 t="s">
        <v>211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2" t="s">
        <v>154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100</v>
      </c>
      <c r="C30" s="46" t="s">
        <v>83</v>
      </c>
      <c r="D30" s="35" t="s">
        <v>135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99</v>
      </c>
      <c r="C31" s="46" t="s">
        <v>83</v>
      </c>
      <c r="D31" s="35" t="s">
        <v>136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124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30</v>
      </c>
      <c r="D38" s="35" t="s">
        <v>213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G38*1</f>
        <v>2003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137</v>
      </c>
      <c r="C39" s="55" t="s">
        <v>28</v>
      </c>
      <c r="D39" s="35" t="s">
        <v>172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65</v>
      </c>
      <c r="C40" s="46" t="s">
        <v>28</v>
      </c>
      <c r="D40" s="35" t="s">
        <v>173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customHeight="1">
      <c r="A41" s="30">
        <v>9</v>
      </c>
      <c r="B41" s="35" t="s">
        <v>138</v>
      </c>
      <c r="C41" s="46" t="s">
        <v>139</v>
      </c>
      <c r="D41" s="35" t="s">
        <v>166</v>
      </c>
      <c r="E41" s="100"/>
      <c r="F41" s="37">
        <v>39</v>
      </c>
      <c r="G41" s="34">
        <v>314</v>
      </c>
      <c r="H41" s="101">
        <f t="shared" si="4"/>
        <v>12.246</v>
      </c>
      <c r="I41" s="13">
        <f>G41*39</f>
        <v>12246</v>
      </c>
      <c r="J41" s="24"/>
      <c r="L41" s="19"/>
      <c r="M41" s="20"/>
      <c r="N41" s="21"/>
    </row>
    <row r="42" spans="1:14" ht="47.25" customHeight="1">
      <c r="A42" s="30">
        <v>10</v>
      </c>
      <c r="B42" s="35" t="s">
        <v>77</v>
      </c>
      <c r="C42" s="46" t="s">
        <v>83</v>
      </c>
      <c r="D42" s="35" t="s">
        <v>176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hidden="1" customHeight="1">
      <c r="A43" s="30">
        <v>10</v>
      </c>
      <c r="B43" s="35" t="s">
        <v>114</v>
      </c>
      <c r="C43" s="46" t="s">
        <v>83</v>
      </c>
      <c r="D43" s="35" t="s">
        <v>174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F43/7.5*G43</f>
        <v>367.37414999999999</v>
      </c>
      <c r="J43" s="24"/>
      <c r="L43" s="19"/>
      <c r="M43" s="20"/>
      <c r="N43" s="21"/>
    </row>
    <row r="44" spans="1:14" ht="15.75" hidden="1" customHeight="1">
      <c r="A44" s="30">
        <v>11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F44/7.5*G44</f>
        <v>64.988666666666674</v>
      </c>
      <c r="J44" s="24"/>
      <c r="L44" s="19"/>
      <c r="M44" s="20"/>
      <c r="N44" s="21"/>
    </row>
    <row r="45" spans="1:14" ht="15.75" customHeight="1">
      <c r="A45" s="202" t="s">
        <v>120</v>
      </c>
      <c r="B45" s="203"/>
      <c r="C45" s="203"/>
      <c r="D45" s="203"/>
      <c r="E45" s="203"/>
      <c r="F45" s="203"/>
      <c r="G45" s="203"/>
      <c r="H45" s="203"/>
      <c r="I45" s="204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customHeight="1">
      <c r="A51" s="30">
        <v>11</v>
      </c>
      <c r="B51" s="35" t="s">
        <v>54</v>
      </c>
      <c r="C51" s="46" t="s">
        <v>83</v>
      </c>
      <c r="D51" s="35" t="s">
        <v>164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" hidden="1" customHeight="1">
      <c r="A55" s="109">
        <v>13</v>
      </c>
      <c r="B55" s="105" t="s">
        <v>40</v>
      </c>
      <c r="C55" s="106" t="s">
        <v>102</v>
      </c>
      <c r="D55" s="167">
        <v>43500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95" t="s">
        <v>119</v>
      </c>
      <c r="B56" s="195"/>
      <c r="C56" s="195"/>
      <c r="D56" s="195"/>
      <c r="E56" s="195"/>
      <c r="F56" s="195"/>
      <c r="G56" s="195"/>
      <c r="H56" s="195"/>
      <c r="I56" s="195"/>
      <c r="J56" s="24"/>
      <c r="L56" s="19"/>
      <c r="M56" s="20"/>
      <c r="N56" s="21"/>
    </row>
    <row r="57" spans="1:22" ht="16.5" hidden="1" customHeight="1">
      <c r="A57" s="30"/>
      <c r="B57" s="130" t="s">
        <v>42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8.25" hidden="1" customHeight="1">
      <c r="A58" s="30">
        <v>11</v>
      </c>
      <c r="B58" s="41" t="s">
        <v>103</v>
      </c>
      <c r="C58" s="42" t="s">
        <v>80</v>
      </c>
      <c r="D58" s="41"/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G58*0.06</f>
        <v>145.87079999999997</v>
      </c>
      <c r="J58" s="24"/>
      <c r="L58" s="19"/>
    </row>
    <row r="59" spans="1:22" ht="14.25" hidden="1" customHeight="1">
      <c r="A59" s="30">
        <v>15</v>
      </c>
      <c r="B59" s="41" t="s">
        <v>140</v>
      </c>
      <c r="C59" s="42" t="s">
        <v>141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f>G59*1</f>
        <v>1582.05</v>
      </c>
      <c r="J59" s="24"/>
      <c r="L59" s="19"/>
    </row>
    <row r="60" spans="1:22" ht="15.75" customHeight="1">
      <c r="A60" s="30"/>
      <c r="B60" s="130" t="s">
        <v>43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12</v>
      </c>
      <c r="B62" s="41" t="s">
        <v>142</v>
      </c>
      <c r="C62" s="42" t="s">
        <v>143</v>
      </c>
      <c r="D62" s="105" t="s">
        <v>164</v>
      </c>
      <c r="E62" s="107">
        <v>100</v>
      </c>
      <c r="F62" s="101">
        <f>E62*12</f>
        <v>1200</v>
      </c>
      <c r="G62" s="108">
        <v>1.4</v>
      </c>
      <c r="H62" s="39">
        <f>F62*G62/1000</f>
        <v>1.68</v>
      </c>
      <c r="I62" s="13">
        <f>F62/12*G62</f>
        <v>140</v>
      </c>
    </row>
    <row r="63" spans="1:22" ht="15.75" customHeight="1">
      <c r="A63" s="113"/>
      <c r="B63" s="114" t="s">
        <v>44</v>
      </c>
      <c r="C63" s="171"/>
      <c r="D63" s="14"/>
      <c r="E63" s="172"/>
      <c r="F63" s="118"/>
      <c r="G63" s="13"/>
      <c r="H63" s="75" t="s">
        <v>111</v>
      </c>
      <c r="I63" s="119"/>
    </row>
    <row r="64" spans="1:22" ht="15.75" hidden="1" customHeight="1">
      <c r="A64" s="30">
        <v>13</v>
      </c>
      <c r="B64" s="58" t="s">
        <v>45</v>
      </c>
      <c r="C64" s="42" t="s">
        <v>102</v>
      </c>
      <c r="D64" s="41"/>
      <c r="E64" s="17">
        <v>5</v>
      </c>
      <c r="F64" s="34">
        <f>E64</f>
        <v>5</v>
      </c>
      <c r="G64" s="39">
        <v>291.68</v>
      </c>
      <c r="H64" s="79">
        <f t="shared" ref="H64:H71" si="9">SUM(F64*G64/1000)</f>
        <v>1.4584000000000001</v>
      </c>
      <c r="I64" s="13">
        <f>G64*1</f>
        <v>291.68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30">
        <v>13</v>
      </c>
      <c r="B65" s="58" t="s">
        <v>46</v>
      </c>
      <c r="C65" s="42" t="s">
        <v>102</v>
      </c>
      <c r="D65" s="41" t="s">
        <v>164</v>
      </c>
      <c r="E65" s="17">
        <v>5</v>
      </c>
      <c r="F65" s="34">
        <f>E65</f>
        <v>5</v>
      </c>
      <c r="G65" s="39">
        <v>100.01</v>
      </c>
      <c r="H65" s="79">
        <f t="shared" si="9"/>
        <v>0.50004999999999999</v>
      </c>
      <c r="I65" s="13">
        <f>G65*1</f>
        <v>100.01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83"/>
      <c r="S67" s="183"/>
      <c r="T67" s="183"/>
      <c r="U67" s="183"/>
    </row>
    <row r="68" spans="1:21" ht="15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21" ht="15.75" hidden="1" customHeight="1">
      <c r="A73" s="30"/>
      <c r="B73" s="14" t="s">
        <v>144</v>
      </c>
      <c r="C73" s="16" t="s">
        <v>145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146</v>
      </c>
      <c r="C74" s="16" t="s">
        <v>147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>
        <v>15</v>
      </c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21" ht="15.75" hidden="1" customHeight="1">
      <c r="A76" s="30"/>
      <c r="B76" s="14" t="s">
        <v>148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149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14</v>
      </c>
      <c r="B78" s="56" t="s">
        <v>150</v>
      </c>
      <c r="C78" s="57" t="s">
        <v>102</v>
      </c>
      <c r="D78" s="14" t="s">
        <v>171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15</v>
      </c>
      <c r="B79" s="56" t="s">
        <v>151</v>
      </c>
      <c r="C79" s="57" t="s">
        <v>102</v>
      </c>
      <c r="D79" s="14" t="s">
        <v>171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t="15.75" hidden="1" customHeight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95" t="s">
        <v>118</v>
      </c>
      <c r="B84" s="195"/>
      <c r="C84" s="195"/>
      <c r="D84" s="195"/>
      <c r="E84" s="195"/>
      <c r="F84" s="195"/>
      <c r="G84" s="195"/>
      <c r="H84" s="195"/>
      <c r="I84" s="195"/>
    </row>
    <row r="85" spans="1:9" ht="15.75" customHeight="1">
      <c r="A85" s="30">
        <v>16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17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I86+I85+I79+I78+I65+I62+I51+I42+I41+I40+I39+I38+I27+I20+I18+I17+I16</f>
        <v>45438.187081666671</v>
      </c>
    </row>
    <row r="88" spans="1:9" ht="15.75" customHeight="1">
      <c r="A88" s="184" t="s">
        <v>58</v>
      </c>
      <c r="B88" s="185"/>
      <c r="C88" s="185"/>
      <c r="D88" s="185"/>
      <c r="E88" s="185"/>
      <c r="F88" s="185"/>
      <c r="G88" s="185"/>
      <c r="H88" s="185"/>
      <c r="I88" s="186"/>
    </row>
    <row r="89" spans="1:9" ht="31.5" customHeight="1">
      <c r="A89" s="30">
        <v>18</v>
      </c>
      <c r="B89" s="134" t="s">
        <v>163</v>
      </c>
      <c r="C89" s="61" t="s">
        <v>28</v>
      </c>
      <c r="D89" s="41"/>
      <c r="E89" s="17"/>
      <c r="F89" s="135">
        <f>27*0.599/1000</f>
        <v>1.6173E-2</v>
      </c>
      <c r="G89" s="159">
        <v>21369.24</v>
      </c>
      <c r="H89" s="79">
        <f>G89*F89/1000</f>
        <v>0.34560471852000002</v>
      </c>
      <c r="I89" s="13">
        <f>G89*0.599*6/1000</f>
        <v>76.801048559999998</v>
      </c>
    </row>
    <row r="90" spans="1:9" ht="17.25" customHeight="1">
      <c r="A90" s="30">
        <v>19</v>
      </c>
      <c r="B90" s="160" t="s">
        <v>212</v>
      </c>
      <c r="C90" s="158" t="s">
        <v>102</v>
      </c>
      <c r="D90" s="41" t="s">
        <v>214</v>
      </c>
      <c r="E90" s="17"/>
      <c r="F90" s="39">
        <v>2</v>
      </c>
      <c r="G90" s="39">
        <v>1500</v>
      </c>
      <c r="H90" s="79"/>
      <c r="I90" s="13">
        <f>G90*2</f>
        <v>3000</v>
      </c>
    </row>
    <row r="91" spans="1:9" ht="17.25" customHeight="1">
      <c r="A91" s="30">
        <v>20</v>
      </c>
      <c r="B91" s="134" t="s">
        <v>197</v>
      </c>
      <c r="C91" s="61" t="s">
        <v>102</v>
      </c>
      <c r="D91" s="41"/>
      <c r="E91" s="17"/>
      <c r="F91" s="39">
        <v>1</v>
      </c>
      <c r="G91" s="39">
        <v>224.48</v>
      </c>
      <c r="H91" s="79"/>
      <c r="I91" s="13">
        <f>G91*1</f>
        <v>224.48</v>
      </c>
    </row>
    <row r="92" spans="1:9" ht="15.75" customHeight="1">
      <c r="A92" s="30"/>
      <c r="B92" s="50" t="s">
        <v>50</v>
      </c>
      <c r="C92" s="57"/>
      <c r="D92" s="52"/>
      <c r="E92" s="13"/>
      <c r="F92" s="13"/>
      <c r="G92" s="13"/>
      <c r="H92" s="80"/>
      <c r="I92" s="87">
        <f>SUM(I89:I91)</f>
        <v>3301.2810485599998</v>
      </c>
    </row>
    <row r="93" spans="1:9">
      <c r="A93" s="30"/>
      <c r="B93" s="52" t="s">
        <v>75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4"/>
      <c r="B94" s="51" t="s">
        <v>134</v>
      </c>
      <c r="C94" s="38"/>
      <c r="D94" s="38"/>
      <c r="E94" s="38"/>
      <c r="F94" s="38"/>
      <c r="G94" s="38"/>
      <c r="H94" s="38"/>
      <c r="I94" s="49">
        <f>I87+I92</f>
        <v>48739.468130226669</v>
      </c>
    </row>
    <row r="95" spans="1:9" ht="15.75" customHeight="1">
      <c r="A95" s="187" t="s">
        <v>215</v>
      </c>
      <c r="B95" s="187"/>
      <c r="C95" s="187"/>
      <c r="D95" s="187"/>
      <c r="E95" s="187"/>
      <c r="F95" s="187"/>
      <c r="G95" s="187"/>
      <c r="H95" s="187"/>
      <c r="I95" s="187"/>
    </row>
    <row r="96" spans="1:9" ht="15.75" customHeight="1">
      <c r="A96" s="68"/>
      <c r="B96" s="188" t="s">
        <v>216</v>
      </c>
      <c r="C96" s="188"/>
      <c r="D96" s="188"/>
      <c r="E96" s="188"/>
      <c r="F96" s="188"/>
      <c r="G96" s="188"/>
      <c r="H96" s="78"/>
      <c r="I96" s="3"/>
    </row>
    <row r="97" spans="1:9">
      <c r="A97" s="128"/>
      <c r="B97" s="189" t="s">
        <v>6</v>
      </c>
      <c r="C97" s="189"/>
      <c r="D97" s="189"/>
      <c r="E97" s="189"/>
      <c r="F97" s="189"/>
      <c r="G97" s="189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90" t="s">
        <v>7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90" t="s">
        <v>8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>
      <c r="A101" s="191" t="s">
        <v>59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>
      <c r="A102" s="11"/>
    </row>
    <row r="103" spans="1:9" ht="15.75" customHeight="1">
      <c r="A103" s="192" t="s">
        <v>9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4"/>
    </row>
    <row r="105" spans="1:9" ht="15.75" customHeight="1">
      <c r="B105" s="133" t="s">
        <v>10</v>
      </c>
      <c r="C105" s="193" t="s">
        <v>195</v>
      </c>
      <c r="D105" s="193"/>
      <c r="E105" s="193"/>
      <c r="F105" s="76"/>
      <c r="I105" s="132"/>
    </row>
    <row r="106" spans="1:9" ht="15.75" customHeight="1">
      <c r="A106" s="128"/>
      <c r="C106" s="189" t="s">
        <v>11</v>
      </c>
      <c r="D106" s="189"/>
      <c r="E106" s="189"/>
      <c r="F106" s="25"/>
      <c r="I106" s="131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133" t="s">
        <v>13</v>
      </c>
      <c r="C108" s="194"/>
      <c r="D108" s="194"/>
      <c r="E108" s="194"/>
      <c r="F108" s="77"/>
      <c r="I108" s="132"/>
    </row>
    <row r="109" spans="1:9">
      <c r="A109" s="128"/>
      <c r="C109" s="183" t="s">
        <v>11</v>
      </c>
      <c r="D109" s="183"/>
      <c r="E109" s="183"/>
      <c r="F109" s="128"/>
      <c r="I109" s="131" t="s">
        <v>12</v>
      </c>
    </row>
    <row r="110" spans="1:9" ht="15.75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82" t="s">
        <v>16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0" customHeight="1">
      <c r="A113" s="182" t="s">
        <v>17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21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5" customHeight="1">
      <c r="A115" s="182" t="s">
        <v>20</v>
      </c>
      <c r="B115" s="182"/>
      <c r="C115" s="182"/>
      <c r="D115" s="182"/>
      <c r="E115" s="182"/>
      <c r="F115" s="182"/>
      <c r="G115" s="182"/>
      <c r="H115" s="182"/>
      <c r="I115" s="182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4:I84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topLeftCell="A85" workbookViewId="0">
      <selection activeCell="G90" sqref="G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127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217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44286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2" t="s">
        <v>154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100</v>
      </c>
      <c r="C30" s="46" t="s">
        <v>83</v>
      </c>
      <c r="D30" s="35" t="s">
        <v>135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99</v>
      </c>
      <c r="C31" s="46" t="s">
        <v>83</v>
      </c>
      <c r="D31" s="35" t="s">
        <v>136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124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  <c r="J37" s="24"/>
    </row>
    <row r="38" spans="1:14" ht="15.75" customHeight="1">
      <c r="A38" s="30">
        <v>5</v>
      </c>
      <c r="B38" s="36" t="s">
        <v>25</v>
      </c>
      <c r="C38" s="46" t="s">
        <v>30</v>
      </c>
      <c r="D38" s="35" t="s">
        <v>222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G38*2</f>
        <v>4006</v>
      </c>
      <c r="J38" s="24"/>
      <c r="L38" s="19"/>
      <c r="M38" s="20"/>
      <c r="N38" s="21"/>
    </row>
    <row r="39" spans="1:14" ht="15.75" customHeight="1">
      <c r="A39" s="30">
        <v>6</v>
      </c>
      <c r="B39" s="36" t="s">
        <v>137</v>
      </c>
      <c r="C39" s="55" t="s">
        <v>28</v>
      </c>
      <c r="D39" s="35" t="s">
        <v>172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7</v>
      </c>
      <c r="B40" s="35" t="s">
        <v>65</v>
      </c>
      <c r="C40" s="46" t="s">
        <v>28</v>
      </c>
      <c r="D40" s="35" t="s">
        <v>173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138</v>
      </c>
      <c r="C41" s="46" t="s">
        <v>139</v>
      </c>
      <c r="D41" s="35" t="s">
        <v>64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8</v>
      </c>
      <c r="B42" s="35" t="s">
        <v>77</v>
      </c>
      <c r="C42" s="46" t="s">
        <v>83</v>
      </c>
      <c r="D42" s="35" t="s">
        <v>176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customHeight="1">
      <c r="A43" s="30">
        <v>9</v>
      </c>
      <c r="B43" s="35" t="s">
        <v>114</v>
      </c>
      <c r="C43" s="46" t="s">
        <v>83</v>
      </c>
      <c r="D43" s="35" t="s">
        <v>164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G43*F43/45</f>
        <v>61.229025</v>
      </c>
      <c r="J43" s="24"/>
      <c r="L43" s="19"/>
      <c r="M43" s="20"/>
      <c r="N43" s="21"/>
    </row>
    <row r="44" spans="1:14" ht="15.75" customHeight="1">
      <c r="A44" s="30">
        <v>10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G44*F44/45</f>
        <v>10.831444444444445</v>
      </c>
      <c r="J44" s="24"/>
      <c r="L44" s="19"/>
      <c r="M44" s="20"/>
      <c r="N44" s="21"/>
    </row>
    <row r="45" spans="1:14" ht="15.75" customHeight="1">
      <c r="A45" s="202" t="s">
        <v>120</v>
      </c>
      <c r="B45" s="203"/>
      <c r="C45" s="203"/>
      <c r="D45" s="203"/>
      <c r="E45" s="203"/>
      <c r="F45" s="203"/>
      <c r="G45" s="203"/>
      <c r="H45" s="203"/>
      <c r="I45" s="204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14" ht="15.7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14" ht="15.7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14" ht="15.75" hidden="1" customHeight="1">
      <c r="A51" s="30">
        <v>13</v>
      </c>
      <c r="B51" s="35" t="s">
        <v>54</v>
      </c>
      <c r="C51" s="46" t="s">
        <v>83</v>
      </c>
      <c r="D51" s="35" t="s">
        <v>125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14" ht="31.5" hidden="1" customHeight="1">
      <c r="A52" s="30">
        <v>14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14" ht="31.5" hidden="1" customHeight="1">
      <c r="A53" s="30">
        <v>15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14" ht="15.75" hidden="1" customHeight="1">
      <c r="A54" s="30">
        <v>16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14" ht="15.75" customHeight="1">
      <c r="A55" s="109">
        <v>11</v>
      </c>
      <c r="B55" s="105" t="s">
        <v>40</v>
      </c>
      <c r="C55" s="106" t="s">
        <v>102</v>
      </c>
      <c r="D55" s="167">
        <v>44265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14" ht="15.75" customHeight="1">
      <c r="A56" s="195" t="s">
        <v>119</v>
      </c>
      <c r="B56" s="195"/>
      <c r="C56" s="195"/>
      <c r="D56" s="195"/>
      <c r="E56" s="195"/>
      <c r="F56" s="195"/>
      <c r="G56" s="195"/>
      <c r="H56" s="195"/>
      <c r="I56" s="195"/>
      <c r="J56" s="24"/>
      <c r="L56" s="19"/>
      <c r="M56" s="20"/>
      <c r="N56" s="21"/>
    </row>
    <row r="57" spans="1:14" ht="15.75" customHeight="1">
      <c r="A57" s="30"/>
      <c r="B57" s="130" t="s">
        <v>42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14" ht="31.5" customHeight="1">
      <c r="A58" s="30">
        <v>12</v>
      </c>
      <c r="B58" s="41" t="s">
        <v>103</v>
      </c>
      <c r="C58" s="42" t="s">
        <v>80</v>
      </c>
      <c r="D58" s="41"/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G58*0.06</f>
        <v>145.87079999999997</v>
      </c>
      <c r="J58" s="24"/>
      <c r="L58" s="19"/>
    </row>
    <row r="59" spans="1:14" ht="15.75" hidden="1" customHeight="1">
      <c r="A59" s="30"/>
      <c r="B59" s="41" t="s">
        <v>140</v>
      </c>
      <c r="C59" s="42" t="s">
        <v>141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  <c r="J59" s="24"/>
      <c r="L59" s="19"/>
    </row>
    <row r="60" spans="1:14" ht="15.75" customHeight="1">
      <c r="A60" s="30"/>
      <c r="B60" s="130" t="s">
        <v>43</v>
      </c>
      <c r="C60" s="16"/>
      <c r="D60" s="14"/>
      <c r="E60" s="18"/>
      <c r="F60" s="13"/>
      <c r="G60" s="13"/>
      <c r="H60" s="13"/>
      <c r="I60" s="13"/>
    </row>
    <row r="61" spans="1:14" ht="15.75" hidden="1" customHeight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14" ht="15.75" customHeight="1">
      <c r="A62" s="30">
        <v>13</v>
      </c>
      <c r="B62" s="143" t="s">
        <v>142</v>
      </c>
      <c r="C62" s="42" t="s">
        <v>143</v>
      </c>
      <c r="D62" s="41" t="s">
        <v>164</v>
      </c>
      <c r="E62" s="17">
        <v>100</v>
      </c>
      <c r="F62" s="39">
        <f>E62*12</f>
        <v>1200</v>
      </c>
      <c r="G62" s="39">
        <v>1.4</v>
      </c>
      <c r="H62" s="39">
        <f>F62*G62/1000</f>
        <v>1.68</v>
      </c>
      <c r="I62" s="13">
        <f>F62/12*G62</f>
        <v>140</v>
      </c>
    </row>
    <row r="63" spans="1:14" ht="15.75" customHeight="1">
      <c r="A63" s="113">
        <v>14</v>
      </c>
      <c r="B63" s="35" t="s">
        <v>115</v>
      </c>
      <c r="C63" s="46" t="s">
        <v>80</v>
      </c>
      <c r="D63" s="35" t="s">
        <v>218</v>
      </c>
      <c r="E63" s="100">
        <v>168</v>
      </c>
      <c r="F63" s="101">
        <f>E63/100</f>
        <v>1.68</v>
      </c>
      <c r="G63" s="39">
        <v>1040.8399999999999</v>
      </c>
      <c r="H63" s="39"/>
      <c r="I63" s="13">
        <f>G63*F63</f>
        <v>1748.6111999999998</v>
      </c>
    </row>
    <row r="64" spans="1:14" ht="15.75" hidden="1" customHeight="1">
      <c r="A64" s="113"/>
      <c r="B64" s="144" t="s">
        <v>44</v>
      </c>
      <c r="C64" s="16"/>
      <c r="D64" s="14"/>
      <c r="E64" s="18"/>
      <c r="F64" s="13"/>
      <c r="G64" s="13"/>
      <c r="H64" s="13" t="s">
        <v>111</v>
      </c>
      <c r="I64" s="13"/>
    </row>
    <row r="65" spans="1:22" ht="15.75" hidden="1" customHeight="1">
      <c r="A65" s="30">
        <v>11</v>
      </c>
      <c r="B65" s="145" t="s">
        <v>45</v>
      </c>
      <c r="C65" s="42" t="s">
        <v>102</v>
      </c>
      <c r="D65" s="41" t="s">
        <v>186</v>
      </c>
      <c r="E65" s="17">
        <v>5</v>
      </c>
      <c r="F65" s="39">
        <f>E65</f>
        <v>5</v>
      </c>
      <c r="G65" s="39">
        <v>291.68</v>
      </c>
      <c r="H65" s="39">
        <f t="shared" ref="H65:H72" si="9">SUM(F65*G65/1000)</f>
        <v>1.4584000000000001</v>
      </c>
      <c r="I65" s="13">
        <f>G65*3</f>
        <v>875.04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46</v>
      </c>
      <c r="C66" s="146" t="s">
        <v>102</v>
      </c>
      <c r="D66" s="147" t="s">
        <v>64</v>
      </c>
      <c r="E66" s="148">
        <v>5</v>
      </c>
      <c r="F66" s="149">
        <f>E66</f>
        <v>5</v>
      </c>
      <c r="G66" s="150">
        <v>100.01</v>
      </c>
      <c r="H66" s="151">
        <f t="shared" si="9"/>
        <v>0.50004999999999999</v>
      </c>
      <c r="I66" s="119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47</v>
      </c>
      <c r="C67" s="44" t="s">
        <v>105</v>
      </c>
      <c r="D67" s="41" t="s">
        <v>52</v>
      </c>
      <c r="E67" s="100">
        <v>10348</v>
      </c>
      <c r="F67" s="40">
        <f>SUM(E67/100)</f>
        <v>103.48</v>
      </c>
      <c r="G67" s="39">
        <v>278.24</v>
      </c>
      <c r="H67" s="79">
        <f t="shared" si="9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48</v>
      </c>
      <c r="C68" s="42" t="s">
        <v>106</v>
      </c>
      <c r="D68" s="41" t="s">
        <v>52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9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83"/>
      <c r="S68" s="183"/>
      <c r="T68" s="183"/>
      <c r="U68" s="183"/>
    </row>
    <row r="69" spans="1:22" ht="15.75" hidden="1" customHeight="1">
      <c r="A69" s="30"/>
      <c r="B69" s="58" t="s">
        <v>49</v>
      </c>
      <c r="C69" s="42" t="s">
        <v>73</v>
      </c>
      <c r="D69" s="41" t="s">
        <v>52</v>
      </c>
      <c r="E69" s="100">
        <v>1645</v>
      </c>
      <c r="F69" s="39">
        <f>SUM(E69/100)</f>
        <v>16.45</v>
      </c>
      <c r="G69" s="39">
        <v>2720.94</v>
      </c>
      <c r="H69" s="79">
        <f t="shared" si="9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107</v>
      </c>
      <c r="C70" s="42" t="s">
        <v>31</v>
      </c>
      <c r="D70" s="41"/>
      <c r="E70" s="100">
        <v>9</v>
      </c>
      <c r="F70" s="39">
        <f>E70</f>
        <v>9</v>
      </c>
      <c r="G70" s="39">
        <v>42.61</v>
      </c>
      <c r="H70" s="79">
        <f t="shared" si="9"/>
        <v>0.38349</v>
      </c>
      <c r="I70" s="13">
        <v>0</v>
      </c>
    </row>
    <row r="71" spans="1:22" ht="15.75" hidden="1" customHeight="1">
      <c r="A71" s="30"/>
      <c r="B71" s="53" t="s">
        <v>108</v>
      </c>
      <c r="C71" s="42" t="s">
        <v>31</v>
      </c>
      <c r="D71" s="41"/>
      <c r="E71" s="100">
        <v>9</v>
      </c>
      <c r="F71" s="39">
        <f t="shared" ref="F71:F72" si="10">E71</f>
        <v>9</v>
      </c>
      <c r="G71" s="39">
        <v>46.04</v>
      </c>
      <c r="H71" s="79">
        <f t="shared" si="9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55</v>
      </c>
      <c r="C72" s="42" t="s">
        <v>56</v>
      </c>
      <c r="D72" s="41" t="s">
        <v>52</v>
      </c>
      <c r="E72" s="17">
        <v>2</v>
      </c>
      <c r="F72" s="39">
        <f t="shared" si="10"/>
        <v>2</v>
      </c>
      <c r="G72" s="39">
        <v>65.42</v>
      </c>
      <c r="H72" s="79">
        <f t="shared" si="9"/>
        <v>0.13084000000000001</v>
      </c>
      <c r="I72" s="13">
        <f>F72*G72</f>
        <v>130.84</v>
      </c>
    </row>
    <row r="73" spans="1:22" ht="15.75" customHeight="1">
      <c r="A73" s="30"/>
      <c r="B73" s="130" t="s">
        <v>69</v>
      </c>
      <c r="C73" s="16"/>
      <c r="D73" s="14"/>
      <c r="E73" s="18"/>
      <c r="F73" s="13"/>
      <c r="G73" s="13"/>
      <c r="H73" s="80" t="s">
        <v>111</v>
      </c>
      <c r="I73" s="13"/>
    </row>
    <row r="74" spans="1:22" ht="15.75" hidden="1" customHeight="1">
      <c r="A74" s="30"/>
      <c r="B74" s="14" t="s">
        <v>144</v>
      </c>
      <c r="C74" s="16" t="s">
        <v>145</v>
      </c>
      <c r="D74" s="41" t="s">
        <v>64</v>
      </c>
      <c r="E74" s="18">
        <v>1</v>
      </c>
      <c r="F74" s="13">
        <f>E74</f>
        <v>1</v>
      </c>
      <c r="G74" s="13">
        <v>1029.1199999999999</v>
      </c>
      <c r="H74" s="80">
        <f t="shared" ref="H74:H75" si="11">SUM(F74*G74/1000)</f>
        <v>1.0291199999999998</v>
      </c>
      <c r="I74" s="13">
        <v>0</v>
      </c>
    </row>
    <row r="75" spans="1:22" ht="15.75" hidden="1" customHeight="1">
      <c r="A75" s="30"/>
      <c r="B75" s="14" t="s">
        <v>146</v>
      </c>
      <c r="C75" s="16" t="s">
        <v>147</v>
      </c>
      <c r="D75" s="120"/>
      <c r="E75" s="18">
        <v>1</v>
      </c>
      <c r="F75" s="13">
        <v>1</v>
      </c>
      <c r="G75" s="13">
        <v>735</v>
      </c>
      <c r="H75" s="80">
        <f t="shared" si="11"/>
        <v>0.73499999999999999</v>
      </c>
      <c r="I75" s="13">
        <v>0</v>
      </c>
    </row>
    <row r="76" spans="1:22" ht="15.75" hidden="1" customHeight="1">
      <c r="A76" s="30">
        <v>15</v>
      </c>
      <c r="B76" s="14" t="s">
        <v>70</v>
      </c>
      <c r="C76" s="16" t="s">
        <v>71</v>
      </c>
      <c r="D76" s="41" t="s">
        <v>64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f>G76*0.2</f>
        <v>131.57400000000001</v>
      </c>
    </row>
    <row r="77" spans="1:22" ht="15.75" hidden="1" customHeight="1">
      <c r="A77" s="30"/>
      <c r="B77" s="14" t="s">
        <v>148</v>
      </c>
      <c r="C77" s="16" t="s">
        <v>102</v>
      </c>
      <c r="D77" s="41" t="s">
        <v>64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149</v>
      </c>
      <c r="C78" s="57" t="s">
        <v>102</v>
      </c>
      <c r="D78" s="41" t="s">
        <v>64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15</v>
      </c>
      <c r="B79" s="56" t="s">
        <v>150</v>
      </c>
      <c r="C79" s="57" t="s">
        <v>102</v>
      </c>
      <c r="D79" s="14" t="s">
        <v>171</v>
      </c>
      <c r="E79" s="18">
        <v>2</v>
      </c>
      <c r="F79" s="84">
        <f>E79*12</f>
        <v>24</v>
      </c>
      <c r="G79" s="13">
        <v>53.42</v>
      </c>
      <c r="H79" s="80">
        <f t="shared" ref="H79:H80" si="12">SUM(F79*G79/1000)</f>
        <v>1.2820799999999999</v>
      </c>
      <c r="I79" s="13">
        <f>G79*2</f>
        <v>106.84</v>
      </c>
    </row>
    <row r="80" spans="1:22" ht="31.5" customHeight="1">
      <c r="A80" s="30">
        <v>16</v>
      </c>
      <c r="B80" s="56" t="s">
        <v>151</v>
      </c>
      <c r="C80" s="57" t="s">
        <v>102</v>
      </c>
      <c r="D80" s="14" t="s">
        <v>171</v>
      </c>
      <c r="E80" s="18">
        <v>1</v>
      </c>
      <c r="F80" s="84">
        <f>E80*12</f>
        <v>12</v>
      </c>
      <c r="G80" s="13">
        <v>1194</v>
      </c>
      <c r="H80" s="80">
        <f t="shared" si="12"/>
        <v>14.327999999999999</v>
      </c>
      <c r="I80" s="13">
        <f>G80</f>
        <v>1194</v>
      </c>
    </row>
    <row r="81" spans="1:9" ht="15.75" hidden="1" customHeight="1">
      <c r="A81" s="30"/>
      <c r="B81" s="90" t="s">
        <v>72</v>
      </c>
      <c r="C81" s="16"/>
      <c r="D81" s="14"/>
      <c r="E81" s="18"/>
      <c r="F81" s="13"/>
      <c r="G81" s="13" t="s">
        <v>111</v>
      </c>
      <c r="H81" s="80" t="s">
        <v>111</v>
      </c>
      <c r="I81" s="13"/>
    </row>
    <row r="82" spans="1:9" ht="15.75" hidden="1" customHeight="1">
      <c r="A82" s="30"/>
      <c r="B82" s="43" t="s">
        <v>112</v>
      </c>
      <c r="C82" s="44" t="s">
        <v>73</v>
      </c>
      <c r="D82" s="58"/>
      <c r="E82" s="121"/>
      <c r="F82" s="40">
        <v>0.6</v>
      </c>
      <c r="G82" s="40">
        <v>3619.09</v>
      </c>
      <c r="H82" s="79">
        <f t="shared" ref="H82" si="13">SUM(F82*G82/1000)</f>
        <v>2.1714540000000002</v>
      </c>
      <c r="I82" s="13">
        <v>0</v>
      </c>
    </row>
    <row r="83" spans="1:9" ht="15.75" hidden="1" customHeight="1">
      <c r="A83" s="30"/>
      <c r="B83" s="93" t="s">
        <v>86</v>
      </c>
      <c r="C83" s="90"/>
      <c r="D83" s="32"/>
      <c r="E83" s="33"/>
      <c r="F83" s="87"/>
      <c r="G83" s="87"/>
      <c r="H83" s="91">
        <f>SUM(H58:H82)</f>
        <v>115.48976176000001</v>
      </c>
      <c r="I83" s="87"/>
    </row>
    <row r="84" spans="1:9" ht="15.75" hidden="1" customHeight="1">
      <c r="A84" s="109">
        <v>17</v>
      </c>
      <c r="B84" s="123" t="s">
        <v>109</v>
      </c>
      <c r="C84" s="124"/>
      <c r="D84" s="125"/>
      <c r="E84" s="122"/>
      <c r="F84" s="126">
        <v>1</v>
      </c>
      <c r="G84" s="126">
        <v>7005.5</v>
      </c>
      <c r="H84" s="127">
        <f>G84*F84/1000</f>
        <v>7.0054999999999996</v>
      </c>
      <c r="I84" s="112">
        <f>G84</f>
        <v>7005.5</v>
      </c>
    </row>
    <row r="85" spans="1:9" ht="15.75" customHeight="1">
      <c r="A85" s="195" t="s">
        <v>118</v>
      </c>
      <c r="B85" s="195"/>
      <c r="C85" s="195"/>
      <c r="D85" s="195"/>
      <c r="E85" s="195"/>
      <c r="F85" s="195"/>
      <c r="G85" s="195"/>
      <c r="H85" s="195"/>
      <c r="I85" s="195"/>
    </row>
    <row r="86" spans="1:9" ht="15.75" customHeight="1">
      <c r="A86" s="30">
        <v>17</v>
      </c>
      <c r="B86" s="41" t="s">
        <v>110</v>
      </c>
      <c r="C86" s="42" t="s">
        <v>53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18</v>
      </c>
      <c r="B87" s="14" t="s">
        <v>74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76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I87+I86+I80+I79+I63+I62+I58+I55+I44+I43+I42+I40+I39+I38+I20+I18+I17+I16</f>
        <v>39652.859831111105</v>
      </c>
    </row>
    <row r="89" spans="1:9" ht="15.75" customHeight="1">
      <c r="A89" s="184" t="s">
        <v>58</v>
      </c>
      <c r="B89" s="185"/>
      <c r="C89" s="185"/>
      <c r="D89" s="185"/>
      <c r="E89" s="185"/>
      <c r="F89" s="185"/>
      <c r="G89" s="185"/>
      <c r="H89" s="185"/>
      <c r="I89" s="186"/>
    </row>
    <row r="90" spans="1:9" ht="30" customHeight="1">
      <c r="A90" s="30">
        <v>19</v>
      </c>
      <c r="B90" s="134" t="s">
        <v>163</v>
      </c>
      <c r="C90" s="61" t="s">
        <v>28</v>
      </c>
      <c r="D90" s="41"/>
      <c r="E90" s="17"/>
      <c r="F90" s="135">
        <f>27*0.599/1000</f>
        <v>1.6173E-2</v>
      </c>
      <c r="G90" s="159">
        <v>21369.24</v>
      </c>
      <c r="H90" s="79">
        <f>G90*F90/1000</f>
        <v>0.34560471852000002</v>
      </c>
      <c r="I90" s="13">
        <f>G90*0.599*3/1000</f>
        <v>38.400524279999999</v>
      </c>
    </row>
    <row r="91" spans="1:9" ht="20.25" customHeight="1">
      <c r="A91" s="30">
        <v>20</v>
      </c>
      <c r="B91" s="134" t="s">
        <v>219</v>
      </c>
      <c r="C91" s="61" t="s">
        <v>39</v>
      </c>
      <c r="D91" s="41" t="s">
        <v>164</v>
      </c>
      <c r="E91" s="17"/>
      <c r="F91" s="39">
        <v>0.01</v>
      </c>
      <c r="G91" s="39">
        <v>28224.75</v>
      </c>
      <c r="H91" s="79"/>
      <c r="I91" s="13">
        <f>G91*0.01</f>
        <v>282.2475</v>
      </c>
    </row>
    <row r="92" spans="1:9" ht="18" customHeight="1">
      <c r="A92" s="30">
        <v>21</v>
      </c>
      <c r="B92" s="134" t="s">
        <v>220</v>
      </c>
      <c r="C92" s="61" t="s">
        <v>221</v>
      </c>
      <c r="D92" s="41" t="s">
        <v>184</v>
      </c>
      <c r="E92" s="17"/>
      <c r="F92" s="39">
        <v>0.02</v>
      </c>
      <c r="G92" s="39">
        <v>26638.18</v>
      </c>
      <c r="H92" s="79"/>
      <c r="I92" s="13">
        <f>G92*0.02</f>
        <v>532.7636</v>
      </c>
    </row>
    <row r="93" spans="1:9" ht="15.75" customHeight="1">
      <c r="A93" s="30"/>
      <c r="B93" s="50" t="s">
        <v>50</v>
      </c>
      <c r="C93" s="57"/>
      <c r="D93" s="52"/>
      <c r="E93" s="13"/>
      <c r="F93" s="13"/>
      <c r="G93" s="13"/>
      <c r="H93" s="80"/>
      <c r="I93" s="87">
        <f>SUM(I90:I92)</f>
        <v>853.41162428000007</v>
      </c>
    </row>
    <row r="94" spans="1:9">
      <c r="A94" s="30"/>
      <c r="B94" s="52" t="s">
        <v>75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134</v>
      </c>
      <c r="C95" s="38"/>
      <c r="D95" s="38"/>
      <c r="E95" s="38"/>
      <c r="F95" s="38"/>
      <c r="G95" s="38"/>
      <c r="H95" s="38"/>
      <c r="I95" s="49">
        <f>I88+I93</f>
        <v>40506.271455391106</v>
      </c>
    </row>
    <row r="96" spans="1:9" ht="15.75" customHeight="1">
      <c r="A96" s="187" t="s">
        <v>236</v>
      </c>
      <c r="B96" s="187"/>
      <c r="C96" s="187"/>
      <c r="D96" s="187"/>
      <c r="E96" s="187"/>
      <c r="F96" s="187"/>
      <c r="G96" s="187"/>
      <c r="H96" s="187"/>
      <c r="I96" s="187"/>
    </row>
    <row r="97" spans="1:9" ht="15.75" customHeight="1">
      <c r="A97" s="68"/>
      <c r="B97" s="188" t="s">
        <v>237</v>
      </c>
      <c r="C97" s="188"/>
      <c r="D97" s="188"/>
      <c r="E97" s="188"/>
      <c r="F97" s="188"/>
      <c r="G97" s="188"/>
      <c r="H97" s="78"/>
      <c r="I97" s="3"/>
    </row>
    <row r="98" spans="1:9">
      <c r="A98" s="128"/>
      <c r="B98" s="189" t="s">
        <v>6</v>
      </c>
      <c r="C98" s="189"/>
      <c r="D98" s="189"/>
      <c r="E98" s="189"/>
      <c r="F98" s="189"/>
      <c r="G98" s="189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90" t="s">
        <v>7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90" t="s">
        <v>8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>
      <c r="A102" s="191" t="s">
        <v>59</v>
      </c>
      <c r="B102" s="191"/>
      <c r="C102" s="191"/>
      <c r="D102" s="191"/>
      <c r="E102" s="191"/>
      <c r="F102" s="191"/>
      <c r="G102" s="191"/>
      <c r="H102" s="191"/>
      <c r="I102" s="191"/>
    </row>
    <row r="103" spans="1:9" ht="15.75">
      <c r="A103" s="11"/>
    </row>
    <row r="104" spans="1:9" ht="15.75" customHeight="1">
      <c r="A104" s="192" t="s">
        <v>9</v>
      </c>
      <c r="B104" s="192"/>
      <c r="C104" s="192"/>
      <c r="D104" s="192"/>
      <c r="E104" s="192"/>
      <c r="F104" s="192"/>
      <c r="G104" s="192"/>
      <c r="H104" s="192"/>
      <c r="I104" s="192"/>
    </row>
    <row r="105" spans="1:9" ht="15.75" customHeight="1">
      <c r="A105" s="4"/>
    </row>
    <row r="106" spans="1:9" ht="15.75" customHeight="1">
      <c r="B106" s="133" t="s">
        <v>10</v>
      </c>
      <c r="C106" s="193" t="s">
        <v>195</v>
      </c>
      <c r="D106" s="193"/>
      <c r="E106" s="193"/>
      <c r="F106" s="76"/>
      <c r="I106" s="132"/>
    </row>
    <row r="107" spans="1:9" ht="15.75" customHeight="1">
      <c r="A107" s="128"/>
      <c r="C107" s="189" t="s">
        <v>11</v>
      </c>
      <c r="D107" s="189"/>
      <c r="E107" s="189"/>
      <c r="F107" s="25"/>
      <c r="I107" s="131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133" t="s">
        <v>13</v>
      </c>
      <c r="C109" s="194"/>
      <c r="D109" s="194"/>
      <c r="E109" s="194"/>
      <c r="F109" s="77"/>
      <c r="I109" s="132"/>
    </row>
    <row r="110" spans="1:9">
      <c r="A110" s="128"/>
      <c r="C110" s="183" t="s">
        <v>11</v>
      </c>
      <c r="D110" s="183"/>
      <c r="E110" s="183"/>
      <c r="F110" s="128"/>
      <c r="I110" s="131" t="s">
        <v>12</v>
      </c>
    </row>
    <row r="111" spans="1:9" ht="15.75">
      <c r="A111" s="4" t="s">
        <v>14</v>
      </c>
    </row>
    <row r="112" spans="1:9">
      <c r="A112" s="181" t="s">
        <v>15</v>
      </c>
      <c r="B112" s="181"/>
      <c r="C112" s="181"/>
      <c r="D112" s="181"/>
      <c r="E112" s="181"/>
      <c r="F112" s="181"/>
      <c r="G112" s="181"/>
      <c r="H112" s="181"/>
      <c r="I112" s="181"/>
    </row>
    <row r="113" spans="1:9" ht="45" customHeight="1">
      <c r="A113" s="182" t="s">
        <v>16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17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30" customHeight="1">
      <c r="A115" s="182" t="s">
        <v>21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15" customHeight="1">
      <c r="A116" s="182" t="s">
        <v>20</v>
      </c>
      <c r="B116" s="182"/>
      <c r="C116" s="182"/>
      <c r="D116" s="182"/>
      <c r="E116" s="182"/>
      <c r="F116" s="182"/>
      <c r="G116" s="182"/>
      <c r="H116" s="182"/>
      <c r="I116" s="182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8:U68"/>
    <mergeCell ref="C110:E110"/>
    <mergeCell ref="A89:I89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5:I85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7"/>
  <sheetViews>
    <sheetView topLeftCell="A84" zoomScaleNormal="100" workbookViewId="0">
      <selection activeCell="B99" sqref="B99:G99"/>
    </sheetView>
  </sheetViews>
  <sheetFormatPr defaultRowHeight="15"/>
  <cols>
    <col min="2" max="2" width="58.42578125" customWidth="1"/>
    <col min="3" max="3" width="18.5703125" customWidth="1"/>
    <col min="4" max="4" width="29.140625" customWidth="1"/>
    <col min="5" max="6" width="0" hidden="1" customWidth="1"/>
    <col min="7" max="7" width="17.5703125" customWidth="1"/>
    <col min="8" max="8" width="0" hidden="1" customWidth="1"/>
    <col min="9" max="9" width="18.7109375" customWidth="1"/>
  </cols>
  <sheetData>
    <row r="1" spans="1:9" ht="15.75">
      <c r="A1" s="28" t="s">
        <v>159</v>
      </c>
      <c r="I1" s="27"/>
    </row>
    <row r="2" spans="1:9" ht="15.75">
      <c r="A2" s="29" t="s">
        <v>60</v>
      </c>
    </row>
    <row r="3" spans="1:9" ht="15.75">
      <c r="A3" s="196" t="s">
        <v>156</v>
      </c>
      <c r="B3" s="196"/>
      <c r="C3" s="196"/>
      <c r="D3" s="196"/>
      <c r="E3" s="196"/>
      <c r="F3" s="196"/>
      <c r="G3" s="196"/>
      <c r="H3" s="196"/>
      <c r="I3" s="196"/>
    </row>
    <row r="4" spans="1:9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9" ht="15.75">
      <c r="A5" s="196" t="s">
        <v>223</v>
      </c>
      <c r="B5" s="198"/>
      <c r="C5" s="198"/>
      <c r="D5" s="198"/>
      <c r="E5" s="198"/>
      <c r="F5" s="198"/>
      <c r="G5" s="198"/>
      <c r="H5" s="198"/>
      <c r="I5" s="198"/>
    </row>
    <row r="6" spans="1:9" ht="15.75">
      <c r="A6" s="2"/>
      <c r="B6" s="141"/>
      <c r="C6" s="141"/>
      <c r="D6" s="141"/>
      <c r="E6" s="141"/>
      <c r="F6" s="141"/>
      <c r="G6" s="141"/>
      <c r="H6" s="141"/>
      <c r="I6" s="31">
        <v>44316</v>
      </c>
    </row>
    <row r="7" spans="1:9" ht="15.75">
      <c r="B7" s="140"/>
      <c r="C7" s="140"/>
      <c r="D7" s="140"/>
      <c r="E7" s="3"/>
      <c r="F7" s="3"/>
      <c r="G7" s="3"/>
      <c r="H7" s="3"/>
    </row>
    <row r="8" spans="1:9" ht="106.5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</row>
    <row r="9" spans="1:9" ht="15.75">
      <c r="A9" s="4"/>
    </row>
    <row r="10" spans="1:9" ht="64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</row>
    <row r="11" spans="1:9" ht="15.75">
      <c r="A11" s="4"/>
    </row>
    <row r="12" spans="1:9" ht="57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</row>
    <row r="15" spans="1:9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</row>
    <row r="16" spans="1:9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idden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</row>
    <row r="20" spans="1:9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idden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</row>
    <row r="22" spans="1:9" hidden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</row>
    <row r="23" spans="1:9" hidden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</row>
    <row r="24" spans="1:9" hidden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</row>
    <row r="25" spans="1:9" ht="30" hidden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</row>
    <row r="26" spans="1:9" hidden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</row>
    <row r="27" spans="1:9" hidden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202" t="s">
        <v>154</v>
      </c>
      <c r="B28" s="203"/>
      <c r="C28" s="203"/>
      <c r="D28" s="203"/>
      <c r="E28" s="203"/>
      <c r="F28" s="203"/>
      <c r="G28" s="203"/>
      <c r="H28" s="203"/>
      <c r="I28" s="204"/>
    </row>
    <row r="29" spans="1:9" hidden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idden="1">
      <c r="A30" s="30">
        <v>7</v>
      </c>
      <c r="B30" s="81" t="s">
        <v>100</v>
      </c>
      <c r="C30" s="46" t="s">
        <v>83</v>
      </c>
      <c r="D30" s="35" t="s">
        <v>135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</row>
    <row r="31" spans="1:9" ht="45" hidden="1">
      <c r="A31" s="30">
        <v>8</v>
      </c>
      <c r="B31" s="81" t="s">
        <v>99</v>
      </c>
      <c r="C31" s="46" t="s">
        <v>83</v>
      </c>
      <c r="D31" s="35" t="s">
        <v>136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idden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idden="1">
      <c r="A33" s="30">
        <v>9</v>
      </c>
      <c r="B33" s="81" t="s">
        <v>124</v>
      </c>
      <c r="C33" s="46" t="s">
        <v>39</v>
      </c>
      <c r="D33" s="35" t="s">
        <v>61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idden="1">
      <c r="A34" s="30">
        <v>10</v>
      </c>
      <c r="B34" s="81" t="s">
        <v>98</v>
      </c>
      <c r="C34" s="46" t="s">
        <v>29</v>
      </c>
      <c r="D34" s="35" t="s">
        <v>61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</row>
    <row r="35" spans="1:9" hidden="1">
      <c r="A35" s="30"/>
      <c r="B35" s="35" t="s">
        <v>62</v>
      </c>
      <c r="C35" s="46" t="s">
        <v>31</v>
      </c>
      <c r="D35" s="35" t="s">
        <v>64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</row>
    <row r="36" spans="1:9" hidden="1">
      <c r="A36" s="30"/>
      <c r="B36" s="35" t="s">
        <v>63</v>
      </c>
      <c r="C36" s="46" t="s">
        <v>30</v>
      </c>
      <c r="D36" s="35" t="s">
        <v>64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</row>
    <row r="37" spans="1:9">
      <c r="A37" s="30"/>
      <c r="B37" s="92" t="s">
        <v>5</v>
      </c>
      <c r="C37" s="82"/>
      <c r="D37" s="81"/>
      <c r="E37" s="83"/>
      <c r="F37" s="84"/>
      <c r="G37" s="84"/>
      <c r="H37" s="85" t="s">
        <v>111</v>
      </c>
      <c r="I37" s="13"/>
    </row>
    <row r="38" spans="1:9" ht="18.75" customHeight="1">
      <c r="A38" s="30">
        <v>5</v>
      </c>
      <c r="B38" s="36" t="s">
        <v>25</v>
      </c>
      <c r="C38" s="46" t="s">
        <v>30</v>
      </c>
      <c r="D38" s="35" t="s">
        <v>224</v>
      </c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G38*1</f>
        <v>2003</v>
      </c>
    </row>
    <row r="39" spans="1:9">
      <c r="A39" s="30">
        <v>6</v>
      </c>
      <c r="B39" s="36" t="s">
        <v>137</v>
      </c>
      <c r="C39" s="55" t="s">
        <v>28</v>
      </c>
      <c r="D39" s="35" t="s">
        <v>172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</row>
    <row r="40" spans="1:9" ht="15" customHeight="1">
      <c r="A40" s="30">
        <v>7</v>
      </c>
      <c r="B40" s="35" t="s">
        <v>65</v>
      </c>
      <c r="C40" s="46" t="s">
        <v>28</v>
      </c>
      <c r="D40" s="35" t="s">
        <v>173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</row>
    <row r="41" spans="1:9" ht="15" hidden="1" customHeight="1">
      <c r="A41" s="30">
        <v>9</v>
      </c>
      <c r="B41" s="35" t="s">
        <v>138</v>
      </c>
      <c r="C41" s="46" t="s">
        <v>139</v>
      </c>
      <c r="D41" s="35" t="s">
        <v>166</v>
      </c>
      <c r="E41" s="100"/>
      <c r="F41" s="37">
        <v>39</v>
      </c>
      <c r="G41" s="34">
        <v>314</v>
      </c>
      <c r="H41" s="101">
        <f t="shared" si="4"/>
        <v>12.246</v>
      </c>
      <c r="I41" s="13">
        <f>G41*39</f>
        <v>12246</v>
      </c>
    </row>
    <row r="42" spans="1:9" ht="50.25" customHeight="1">
      <c r="A42" s="30">
        <v>8</v>
      </c>
      <c r="B42" s="35" t="s">
        <v>77</v>
      </c>
      <c r="C42" s="46" t="s">
        <v>83</v>
      </c>
      <c r="D42" s="35" t="s">
        <v>176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</row>
    <row r="43" spans="1:9" hidden="1">
      <c r="A43" s="30">
        <v>11</v>
      </c>
      <c r="B43" s="35" t="s">
        <v>114</v>
      </c>
      <c r="C43" s="46" t="s">
        <v>83</v>
      </c>
      <c r="D43" s="35" t="s">
        <v>174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(F43/7.5*1.5)*G43</f>
        <v>551.06122500000004</v>
      </c>
    </row>
    <row r="44" spans="1:9" hidden="1">
      <c r="A44" s="30">
        <v>12</v>
      </c>
      <c r="B44" s="36" t="s">
        <v>67</v>
      </c>
      <c r="C44" s="55" t="s">
        <v>31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(F44/7.5*1.5)*G44</f>
        <v>97.483000000000004</v>
      </c>
    </row>
    <row r="45" spans="1:9" ht="15.75" hidden="1" customHeight="1">
      <c r="A45" s="202" t="s">
        <v>120</v>
      </c>
      <c r="B45" s="203"/>
      <c r="C45" s="203"/>
      <c r="D45" s="203"/>
      <c r="E45" s="203"/>
      <c r="F45" s="203"/>
      <c r="G45" s="203"/>
      <c r="H45" s="203"/>
      <c r="I45" s="204"/>
    </row>
    <row r="46" spans="1:9" ht="23.25" hidden="1" customHeight="1">
      <c r="A46" s="30">
        <v>12</v>
      </c>
      <c r="B46" s="35" t="s">
        <v>101</v>
      </c>
      <c r="C46" s="46" t="s">
        <v>83</v>
      </c>
      <c r="D46" s="35" t="s">
        <v>41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</row>
    <row r="47" spans="1:9" ht="22.5" hidden="1" customHeight="1">
      <c r="A47" s="30">
        <v>13</v>
      </c>
      <c r="B47" s="35" t="s">
        <v>34</v>
      </c>
      <c r="C47" s="46" t="s">
        <v>83</v>
      </c>
      <c r="D47" s="35" t="s">
        <v>41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</row>
    <row r="48" spans="1:9" ht="25.5" hidden="1" customHeight="1">
      <c r="A48" s="30">
        <v>14</v>
      </c>
      <c r="B48" s="35" t="s">
        <v>35</v>
      </c>
      <c r="C48" s="46" t="s">
        <v>83</v>
      </c>
      <c r="D48" s="35" t="s">
        <v>41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</row>
    <row r="49" spans="1:9" ht="25.5" hidden="1" customHeight="1">
      <c r="A49" s="30">
        <v>15</v>
      </c>
      <c r="B49" s="35" t="s">
        <v>36</v>
      </c>
      <c r="C49" s="46" t="s">
        <v>83</v>
      </c>
      <c r="D49" s="35" t="s">
        <v>41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</row>
    <row r="50" spans="1:9" ht="23.25" hidden="1" customHeight="1">
      <c r="A50" s="30">
        <v>16</v>
      </c>
      <c r="B50" s="35" t="s">
        <v>32</v>
      </c>
      <c r="C50" s="46" t="s">
        <v>33</v>
      </c>
      <c r="D50" s="35" t="s">
        <v>41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</row>
    <row r="51" spans="1:9" ht="25.5" hidden="1" customHeight="1">
      <c r="A51" s="30">
        <v>13</v>
      </c>
      <c r="B51" s="35" t="s">
        <v>54</v>
      </c>
      <c r="C51" s="46" t="s">
        <v>83</v>
      </c>
      <c r="D51" s="35" t="s">
        <v>125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</row>
    <row r="52" spans="1:9" ht="33.75" hidden="1" customHeight="1">
      <c r="A52" s="30">
        <v>13</v>
      </c>
      <c r="B52" s="35" t="s">
        <v>84</v>
      </c>
      <c r="C52" s="46" t="s">
        <v>83</v>
      </c>
      <c r="D52" s="35" t="s">
        <v>41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</row>
    <row r="53" spans="1:9" ht="20.25" hidden="1" customHeight="1">
      <c r="A53" s="30">
        <v>14</v>
      </c>
      <c r="B53" s="35" t="s">
        <v>85</v>
      </c>
      <c r="C53" s="46" t="s">
        <v>37</v>
      </c>
      <c r="D53" s="35" t="s">
        <v>41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</row>
    <row r="54" spans="1:9" ht="22.5" hidden="1" customHeight="1">
      <c r="A54" s="30">
        <v>15</v>
      </c>
      <c r="B54" s="35" t="s">
        <v>38</v>
      </c>
      <c r="C54" s="46" t="s">
        <v>39</v>
      </c>
      <c r="D54" s="35" t="s">
        <v>41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</row>
    <row r="55" spans="1:9" ht="18.75" hidden="1" customHeight="1">
      <c r="A55" s="109">
        <v>14</v>
      </c>
      <c r="B55" s="105" t="s">
        <v>40</v>
      </c>
      <c r="C55" s="106" t="s">
        <v>102</v>
      </c>
      <c r="D55" s="105" t="s">
        <v>68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</row>
    <row r="56" spans="1:9">
      <c r="A56" s="195" t="s">
        <v>128</v>
      </c>
      <c r="B56" s="195"/>
      <c r="C56" s="195"/>
      <c r="D56" s="195"/>
      <c r="E56" s="195"/>
      <c r="F56" s="195"/>
      <c r="G56" s="195"/>
      <c r="H56" s="195"/>
      <c r="I56" s="195"/>
    </row>
    <row r="57" spans="1:9" hidden="1">
      <c r="A57" s="30"/>
      <c r="B57" s="142" t="s">
        <v>42</v>
      </c>
      <c r="C57" s="16"/>
      <c r="D57" s="14"/>
      <c r="E57" s="18"/>
      <c r="F57" s="13"/>
      <c r="G57" s="13"/>
      <c r="H57" s="13"/>
      <c r="I57" s="13"/>
    </row>
    <row r="58" spans="1:9" ht="30" hidden="1">
      <c r="A58" s="30">
        <v>16</v>
      </c>
      <c r="B58" s="41" t="s">
        <v>103</v>
      </c>
      <c r="C58" s="42" t="s">
        <v>80</v>
      </c>
      <c r="D58" s="158" t="s">
        <v>157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G58*0.28</f>
        <v>680.73040000000003</v>
      </c>
    </row>
    <row r="59" spans="1:9" hidden="1">
      <c r="A59" s="30"/>
      <c r="B59" s="41" t="s">
        <v>140</v>
      </c>
      <c r="C59" s="42" t="s">
        <v>141</v>
      </c>
      <c r="D59" s="41" t="s">
        <v>64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</row>
    <row r="60" spans="1:9">
      <c r="A60" s="30"/>
      <c r="B60" s="142" t="s">
        <v>43</v>
      </c>
      <c r="C60" s="16"/>
      <c r="D60" s="14"/>
      <c r="E60" s="18"/>
      <c r="F60" s="13"/>
      <c r="G60" s="13"/>
      <c r="H60" s="13"/>
      <c r="I60" s="13"/>
    </row>
    <row r="61" spans="1:9" hidden="1">
      <c r="A61" s="30"/>
      <c r="B61" s="41" t="s">
        <v>115</v>
      </c>
      <c r="C61" s="42" t="s">
        <v>80</v>
      </c>
      <c r="D61" s="41" t="s">
        <v>52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9">
      <c r="A62" s="30">
        <v>9</v>
      </c>
      <c r="B62" s="143" t="s">
        <v>142</v>
      </c>
      <c r="C62" s="42" t="s">
        <v>143</v>
      </c>
      <c r="D62" s="41" t="s">
        <v>164</v>
      </c>
      <c r="E62" s="17">
        <v>100</v>
      </c>
      <c r="F62" s="39">
        <f>E62*12</f>
        <v>1200</v>
      </c>
      <c r="G62" s="39">
        <v>1.4</v>
      </c>
      <c r="H62" s="39">
        <f>F62*G62/1000</f>
        <v>1.68</v>
      </c>
      <c r="I62" s="13">
        <f>F62/12*G62</f>
        <v>140</v>
      </c>
    </row>
    <row r="63" spans="1:9" ht="16.5" customHeight="1">
      <c r="A63" s="113"/>
      <c r="B63" s="144" t="s">
        <v>44</v>
      </c>
      <c r="C63" s="16"/>
      <c r="D63" s="14"/>
      <c r="E63" s="18"/>
      <c r="F63" s="13"/>
      <c r="G63" s="13"/>
      <c r="H63" s="13" t="s">
        <v>111</v>
      </c>
      <c r="I63" s="13"/>
    </row>
    <row r="64" spans="1:9" ht="18.75" customHeight="1">
      <c r="A64" s="30">
        <v>10</v>
      </c>
      <c r="B64" s="145" t="s">
        <v>45</v>
      </c>
      <c r="C64" s="42" t="s">
        <v>102</v>
      </c>
      <c r="D64" s="41" t="s">
        <v>170</v>
      </c>
      <c r="E64" s="17">
        <v>5</v>
      </c>
      <c r="F64" s="39">
        <f>E64</f>
        <v>5</v>
      </c>
      <c r="G64" s="39">
        <v>291.68</v>
      </c>
      <c r="H64" s="39">
        <f t="shared" ref="H64:H71" si="9">SUM(F64*G64/1000)</f>
        <v>1.4584000000000001</v>
      </c>
      <c r="I64" s="13">
        <f>G64*2</f>
        <v>583.36</v>
      </c>
    </row>
    <row r="65" spans="1:9" ht="27.75" hidden="1" customHeight="1">
      <c r="A65" s="30"/>
      <c r="B65" s="58" t="s">
        <v>46</v>
      </c>
      <c r="C65" s="146" t="s">
        <v>102</v>
      </c>
      <c r="D65" s="147" t="s">
        <v>64</v>
      </c>
      <c r="E65" s="148">
        <v>5</v>
      </c>
      <c r="F65" s="149">
        <f>E65</f>
        <v>5</v>
      </c>
      <c r="G65" s="150">
        <v>100.01</v>
      </c>
      <c r="H65" s="151">
        <f t="shared" si="9"/>
        <v>0.50004999999999999</v>
      </c>
      <c r="I65" s="119">
        <v>0</v>
      </c>
    </row>
    <row r="66" spans="1:9" ht="27" hidden="1" customHeight="1">
      <c r="A66" s="30"/>
      <c r="B66" s="58" t="s">
        <v>47</v>
      </c>
      <c r="C66" s="44" t="s">
        <v>105</v>
      </c>
      <c r="D66" s="41" t="s">
        <v>52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</row>
    <row r="67" spans="1:9" ht="24.75" hidden="1" customHeight="1">
      <c r="A67" s="30"/>
      <c r="B67" s="58" t="s">
        <v>48</v>
      </c>
      <c r="C67" s="42" t="s">
        <v>106</v>
      </c>
      <c r="D67" s="41" t="s">
        <v>52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</row>
    <row r="68" spans="1:9" ht="24.75" hidden="1" customHeight="1">
      <c r="A68" s="30"/>
      <c r="B68" s="58" t="s">
        <v>49</v>
      </c>
      <c r="C68" s="42" t="s">
        <v>73</v>
      </c>
      <c r="D68" s="41" t="s">
        <v>52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</row>
    <row r="69" spans="1:9" ht="21" hidden="1" customHeight="1">
      <c r="A69" s="30"/>
      <c r="B69" s="53" t="s">
        <v>107</v>
      </c>
      <c r="C69" s="42" t="s">
        <v>31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9" ht="20.25" hidden="1" customHeight="1">
      <c r="A70" s="30"/>
      <c r="B70" s="53" t="s">
        <v>108</v>
      </c>
      <c r="C70" s="42" t="s">
        <v>31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9" ht="21" hidden="1" customHeight="1">
      <c r="A71" s="30">
        <v>21</v>
      </c>
      <c r="B71" s="41" t="s">
        <v>55</v>
      </c>
      <c r="C71" s="42" t="s">
        <v>56</v>
      </c>
      <c r="D71" s="41" t="s">
        <v>52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9">
      <c r="A72" s="30"/>
      <c r="B72" s="142" t="s">
        <v>69</v>
      </c>
      <c r="C72" s="16"/>
      <c r="D72" s="14"/>
      <c r="E72" s="18"/>
      <c r="F72" s="13"/>
      <c r="G72" s="13"/>
      <c r="H72" s="80" t="s">
        <v>111</v>
      </c>
      <c r="I72" s="13"/>
    </row>
    <row r="73" spans="1:9" hidden="1">
      <c r="A73" s="30"/>
      <c r="B73" s="14" t="s">
        <v>144</v>
      </c>
      <c r="C73" s="16" t="s">
        <v>145</v>
      </c>
      <c r="D73" s="41" t="s">
        <v>64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9" hidden="1">
      <c r="A74" s="30"/>
      <c r="B74" s="14" t="s">
        <v>146</v>
      </c>
      <c r="C74" s="16" t="s">
        <v>147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9" hidden="1">
      <c r="A75" s="30">
        <v>16</v>
      </c>
      <c r="B75" s="14" t="s">
        <v>70</v>
      </c>
      <c r="C75" s="16" t="s">
        <v>71</v>
      </c>
      <c r="D75" s="41" t="s">
        <v>64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9" hidden="1">
      <c r="A76" s="30"/>
      <c r="B76" s="14" t="s">
        <v>148</v>
      </c>
      <c r="C76" s="16" t="s">
        <v>102</v>
      </c>
      <c r="D76" s="41" t="s">
        <v>64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9" hidden="1">
      <c r="A77" s="30"/>
      <c r="B77" s="56" t="s">
        <v>149</v>
      </c>
      <c r="C77" s="57" t="s">
        <v>102</v>
      </c>
      <c r="D77" s="41" t="s">
        <v>64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9" ht="30">
      <c r="A78" s="30">
        <v>11</v>
      </c>
      <c r="B78" s="56" t="s">
        <v>150</v>
      </c>
      <c r="C78" s="57" t="s">
        <v>102</v>
      </c>
      <c r="D78" s="14" t="s">
        <v>171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9" ht="30">
      <c r="A79" s="30">
        <v>12</v>
      </c>
      <c r="B79" s="56" t="s">
        <v>151</v>
      </c>
      <c r="C79" s="57" t="s">
        <v>102</v>
      </c>
      <c r="D79" s="14" t="s">
        <v>171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9" hidden="1">
      <c r="A80" s="30"/>
      <c r="B80" s="90" t="s">
        <v>72</v>
      </c>
      <c r="C80" s="16"/>
      <c r="D80" s="14"/>
      <c r="E80" s="18"/>
      <c r="F80" s="13"/>
      <c r="G80" s="13" t="s">
        <v>111</v>
      </c>
      <c r="H80" s="80" t="s">
        <v>111</v>
      </c>
      <c r="I80" s="13"/>
    </row>
    <row r="81" spans="1:9" hidden="1">
      <c r="A81" s="30"/>
      <c r="B81" s="43" t="s">
        <v>112</v>
      </c>
      <c r="C81" s="44" t="s">
        <v>73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28.5" hidden="1">
      <c r="A82" s="30"/>
      <c r="B82" s="93" t="s">
        <v>86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idden="1">
      <c r="A83" s="109">
        <v>17</v>
      </c>
      <c r="B83" s="123" t="s">
        <v>109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>
      <c r="A84" s="195" t="s">
        <v>129</v>
      </c>
      <c r="B84" s="195"/>
      <c r="C84" s="195"/>
      <c r="D84" s="195"/>
      <c r="E84" s="195"/>
      <c r="F84" s="195"/>
      <c r="G84" s="195"/>
      <c r="H84" s="195"/>
      <c r="I84" s="195"/>
    </row>
    <row r="85" spans="1:9">
      <c r="A85" s="30">
        <v>13</v>
      </c>
      <c r="B85" s="41" t="s">
        <v>110</v>
      </c>
      <c r="C85" s="42" t="s">
        <v>53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0">
      <c r="A86" s="30">
        <v>14</v>
      </c>
      <c r="B86" s="14" t="s">
        <v>74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>
      <c r="A87" s="30"/>
      <c r="B87" s="45" t="s">
        <v>76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I86+I85+I79+I78+I64+I62+I42+I40+I38+I39+I20+I18+I17+I16</f>
        <v>29374.677361666665</v>
      </c>
    </row>
    <row r="88" spans="1:9">
      <c r="A88" s="184" t="s">
        <v>58</v>
      </c>
      <c r="B88" s="185"/>
      <c r="C88" s="185"/>
      <c r="D88" s="185"/>
      <c r="E88" s="185"/>
      <c r="F88" s="185"/>
      <c r="G88" s="185"/>
      <c r="H88" s="185"/>
      <c r="I88" s="186"/>
    </row>
    <row r="89" spans="1:9" ht="30">
      <c r="A89" s="30">
        <v>15</v>
      </c>
      <c r="B89" s="134" t="s">
        <v>163</v>
      </c>
      <c r="C89" s="61" t="s">
        <v>28</v>
      </c>
      <c r="D89" s="41" t="s">
        <v>230</v>
      </c>
      <c r="E89" s="17"/>
      <c r="F89" s="135">
        <f>27*0.599/1000</f>
        <v>1.6173E-2</v>
      </c>
      <c r="G89" s="159">
        <v>21369.24</v>
      </c>
      <c r="H89" s="79">
        <f>G89*F89/1000</f>
        <v>0.34560471852000002</v>
      </c>
      <c r="I89" s="13">
        <f>G89*0.599*3/1000</f>
        <v>38.400524279999999</v>
      </c>
    </row>
    <row r="90" spans="1:9" ht="30">
      <c r="A90" s="30">
        <v>16</v>
      </c>
      <c r="B90" s="134" t="s">
        <v>185</v>
      </c>
      <c r="C90" s="61" t="s">
        <v>116</v>
      </c>
      <c r="D90" s="41"/>
      <c r="E90" s="17"/>
      <c r="F90" s="135">
        <v>2</v>
      </c>
      <c r="G90" s="39">
        <v>614.47</v>
      </c>
      <c r="H90" s="79"/>
      <c r="I90" s="13">
        <f>G90*1</f>
        <v>614.47</v>
      </c>
    </row>
    <row r="91" spans="1:9">
      <c r="A91" s="30">
        <v>17</v>
      </c>
      <c r="B91" s="134" t="s">
        <v>225</v>
      </c>
      <c r="C91" s="61" t="s">
        <v>102</v>
      </c>
      <c r="D91" s="41" t="s">
        <v>229</v>
      </c>
      <c r="E91" s="17"/>
      <c r="F91" s="39">
        <v>1</v>
      </c>
      <c r="G91" s="39">
        <v>228.9</v>
      </c>
      <c r="H91" s="79"/>
      <c r="I91" s="13">
        <f>G91*1</f>
        <v>228.9</v>
      </c>
    </row>
    <row r="92" spans="1:9">
      <c r="A92" s="30">
        <v>18</v>
      </c>
      <c r="B92" s="134" t="s">
        <v>197</v>
      </c>
      <c r="C92" s="61" t="s">
        <v>102</v>
      </c>
      <c r="D92" s="41"/>
      <c r="E92" s="17"/>
      <c r="F92" s="39">
        <v>2</v>
      </c>
      <c r="G92" s="39">
        <v>224.48</v>
      </c>
      <c r="H92" s="79"/>
      <c r="I92" s="13">
        <f>G92*1</f>
        <v>224.48</v>
      </c>
    </row>
    <row r="93" spans="1:9" ht="30">
      <c r="A93" s="30">
        <v>19</v>
      </c>
      <c r="B93" s="134" t="s">
        <v>226</v>
      </c>
      <c r="C93" s="61" t="s">
        <v>227</v>
      </c>
      <c r="D93" s="41" t="s">
        <v>228</v>
      </c>
      <c r="E93" s="17"/>
      <c r="F93" s="39">
        <v>1</v>
      </c>
      <c r="G93" s="39">
        <v>64.040000000000006</v>
      </c>
      <c r="H93" s="79"/>
      <c r="I93" s="13">
        <f>G93*1</f>
        <v>64.040000000000006</v>
      </c>
    </row>
    <row r="94" spans="1:9">
      <c r="A94" s="30"/>
      <c r="B94" s="50" t="s">
        <v>50</v>
      </c>
      <c r="C94" s="57"/>
      <c r="D94" s="52"/>
      <c r="E94" s="13"/>
      <c r="F94" s="13"/>
      <c r="G94" s="13"/>
      <c r="H94" s="80"/>
      <c r="I94" s="87">
        <f>SUM(I89:I93)</f>
        <v>1170.29052428</v>
      </c>
    </row>
    <row r="95" spans="1:9">
      <c r="A95" s="30"/>
      <c r="B95" s="52" t="s">
        <v>75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134</v>
      </c>
      <c r="C96" s="38"/>
      <c r="D96" s="38"/>
      <c r="E96" s="38"/>
      <c r="F96" s="38"/>
      <c r="G96" s="38"/>
      <c r="H96" s="38"/>
      <c r="I96" s="49">
        <f>I87+I94</f>
        <v>30544.967885946666</v>
      </c>
    </row>
    <row r="97" spans="1:9" ht="15.75">
      <c r="A97" s="187" t="s">
        <v>234</v>
      </c>
      <c r="B97" s="187"/>
      <c r="C97" s="187"/>
      <c r="D97" s="187"/>
      <c r="E97" s="187"/>
      <c r="F97" s="187"/>
      <c r="G97" s="187"/>
      <c r="H97" s="187"/>
      <c r="I97" s="187"/>
    </row>
    <row r="98" spans="1:9" ht="15.75">
      <c r="A98" s="68">
        <v>5</v>
      </c>
      <c r="B98" s="188" t="s">
        <v>235</v>
      </c>
      <c r="C98" s="188"/>
      <c r="D98" s="188"/>
      <c r="E98" s="188"/>
      <c r="F98" s="188"/>
      <c r="G98" s="188"/>
      <c r="H98" s="78"/>
      <c r="I98" s="3"/>
    </row>
    <row r="99" spans="1:9">
      <c r="A99" s="139"/>
      <c r="B99" s="189" t="s">
        <v>6</v>
      </c>
      <c r="C99" s="189"/>
      <c r="D99" s="189"/>
      <c r="E99" s="189"/>
      <c r="F99" s="189"/>
      <c r="G99" s="189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90" t="s">
        <v>7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>
      <c r="A102" s="190" t="s">
        <v>8</v>
      </c>
      <c r="B102" s="190"/>
      <c r="C102" s="190"/>
      <c r="D102" s="190"/>
      <c r="E102" s="190"/>
      <c r="F102" s="190"/>
      <c r="G102" s="190"/>
      <c r="H102" s="190"/>
      <c r="I102" s="190"/>
    </row>
    <row r="103" spans="1:9" ht="15.75">
      <c r="A103" s="191" t="s">
        <v>59</v>
      </c>
      <c r="B103" s="191"/>
      <c r="C103" s="191"/>
      <c r="D103" s="191"/>
      <c r="E103" s="191"/>
      <c r="F103" s="191"/>
      <c r="G103" s="191"/>
      <c r="H103" s="191"/>
      <c r="I103" s="191"/>
    </row>
    <row r="104" spans="1:9" ht="15.75">
      <c r="A104" s="11"/>
    </row>
    <row r="105" spans="1:9" ht="15.75">
      <c r="A105" s="192" t="s">
        <v>9</v>
      </c>
      <c r="B105" s="192"/>
      <c r="C105" s="192"/>
      <c r="D105" s="192"/>
      <c r="E105" s="192"/>
      <c r="F105" s="192"/>
      <c r="G105" s="192"/>
      <c r="H105" s="192"/>
      <c r="I105" s="192"/>
    </row>
    <row r="106" spans="1:9" ht="15.75">
      <c r="A106" s="4"/>
    </row>
    <row r="107" spans="1:9" ht="15.75">
      <c r="B107" s="140" t="s">
        <v>10</v>
      </c>
      <c r="C107" s="193" t="s">
        <v>195</v>
      </c>
      <c r="D107" s="193"/>
      <c r="E107" s="193"/>
      <c r="F107" s="76"/>
      <c r="I107" s="138"/>
    </row>
    <row r="108" spans="1:9">
      <c r="A108" s="139"/>
      <c r="C108" s="189" t="s">
        <v>11</v>
      </c>
      <c r="D108" s="189"/>
      <c r="E108" s="189"/>
      <c r="F108" s="25"/>
      <c r="I108" s="137" t="s">
        <v>12</v>
      </c>
    </row>
    <row r="109" spans="1:9" ht="15.75">
      <c r="A109" s="26"/>
      <c r="C109" s="12"/>
      <c r="D109" s="12"/>
      <c r="G109" s="12"/>
      <c r="H109" s="12"/>
    </row>
    <row r="110" spans="1:9" ht="15.75">
      <c r="B110" s="140" t="s">
        <v>13</v>
      </c>
      <c r="C110" s="194"/>
      <c r="D110" s="194"/>
      <c r="E110" s="194"/>
      <c r="F110" s="77"/>
      <c r="I110" s="138"/>
    </row>
    <row r="111" spans="1:9">
      <c r="A111" s="139"/>
      <c r="C111" s="183" t="s">
        <v>11</v>
      </c>
      <c r="D111" s="183"/>
      <c r="E111" s="183"/>
      <c r="F111" s="139"/>
      <c r="I111" s="137" t="s">
        <v>12</v>
      </c>
    </row>
    <row r="112" spans="1:9" ht="15.75">
      <c r="A112" s="4" t="s">
        <v>14</v>
      </c>
    </row>
    <row r="113" spans="1:9">
      <c r="A113" s="181" t="s">
        <v>15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50.25" customHeight="1">
      <c r="A114" s="182" t="s">
        <v>16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37.5" customHeight="1">
      <c r="A115" s="182" t="s">
        <v>17</v>
      </c>
      <c r="B115" s="182"/>
      <c r="C115" s="182"/>
      <c r="D115" s="182"/>
      <c r="E115" s="182"/>
      <c r="F115" s="182"/>
      <c r="G115" s="182"/>
      <c r="H115" s="182"/>
      <c r="I115" s="182"/>
    </row>
    <row r="116" spans="1:9" ht="30.75" customHeight="1">
      <c r="A116" s="182" t="s">
        <v>21</v>
      </c>
      <c r="B116" s="182"/>
      <c r="C116" s="182"/>
      <c r="D116" s="182"/>
      <c r="E116" s="182"/>
      <c r="F116" s="182"/>
      <c r="G116" s="182"/>
      <c r="H116" s="182"/>
      <c r="I116" s="182"/>
    </row>
    <row r="117" spans="1:9" ht="23.25" customHeight="1">
      <c r="A117" s="182" t="s">
        <v>20</v>
      </c>
      <c r="B117" s="182"/>
      <c r="C117" s="182"/>
      <c r="D117" s="182"/>
      <c r="E117" s="182"/>
      <c r="F117" s="182"/>
      <c r="G117" s="182"/>
      <c r="H117" s="182"/>
      <c r="I117" s="182"/>
    </row>
  </sheetData>
  <mergeCells count="28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5:I45"/>
    <mergeCell ref="A56:I56"/>
    <mergeCell ref="A84:I84"/>
    <mergeCell ref="A88:I88"/>
    <mergeCell ref="A97:I97"/>
    <mergeCell ref="B98:G98"/>
    <mergeCell ref="B99:G99"/>
    <mergeCell ref="A101:I10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" top="0.74803149606299213" bottom="0.74803149606299213" header="0.31496062992125984" footer="0.31496062992125984"/>
  <pageSetup paperSize="9" scale="59" orientation="portrait" horizontalDpi="0" verticalDpi="0" r:id="rId1"/>
  <rowBreaks count="1" manualBreakCount="1"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11"/>
  <sheetViews>
    <sheetView topLeftCell="A20" workbookViewId="0">
      <selection activeCell="G104" sqref="G104"/>
    </sheetView>
  </sheetViews>
  <sheetFormatPr defaultRowHeight="15"/>
  <cols>
    <col min="1" max="1" width="11" customWidth="1"/>
    <col min="2" max="2" width="53.42578125" customWidth="1"/>
    <col min="3" max="3" width="18.140625" customWidth="1"/>
    <col min="4" max="4" width="18" customWidth="1"/>
    <col min="5" max="5" width="0" hidden="1" customWidth="1"/>
    <col min="6" max="6" width="12.42578125" customWidth="1"/>
    <col min="7" max="7" width="18" customWidth="1"/>
    <col min="8" max="8" width="0" hidden="1" customWidth="1"/>
    <col min="9" max="9" width="18.140625" customWidth="1"/>
  </cols>
  <sheetData>
    <row r="1" spans="1:9" ht="15.75">
      <c r="A1" s="28" t="s">
        <v>159</v>
      </c>
      <c r="I1" s="27"/>
    </row>
    <row r="2" spans="1:9" ht="15.75">
      <c r="A2" s="29" t="s">
        <v>60</v>
      </c>
    </row>
    <row r="3" spans="1:9" ht="15.75">
      <c r="A3" s="196" t="s">
        <v>161</v>
      </c>
      <c r="B3" s="196"/>
      <c r="C3" s="196"/>
      <c r="D3" s="196"/>
      <c r="E3" s="196"/>
      <c r="F3" s="196"/>
      <c r="G3" s="196"/>
      <c r="H3" s="196"/>
      <c r="I3" s="196"/>
    </row>
    <row r="4" spans="1:9" ht="34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9" ht="15.75">
      <c r="A5" s="196" t="s">
        <v>231</v>
      </c>
      <c r="B5" s="198"/>
      <c r="C5" s="198"/>
      <c r="D5" s="198"/>
      <c r="E5" s="198"/>
      <c r="F5" s="198"/>
      <c r="G5" s="198"/>
      <c r="H5" s="198"/>
      <c r="I5" s="198"/>
    </row>
    <row r="6" spans="1:9" ht="15.75">
      <c r="A6" s="2"/>
      <c r="B6" s="152"/>
      <c r="C6" s="152"/>
      <c r="D6" s="152"/>
      <c r="E6" s="152"/>
      <c r="F6" s="152"/>
      <c r="G6" s="152"/>
      <c r="H6" s="152"/>
      <c r="I6" s="31">
        <v>44347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93.75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</row>
    <row r="9" spans="1:9" ht="15.75">
      <c r="A9" s="4"/>
    </row>
    <row r="10" spans="1:9" ht="63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</row>
    <row r="15" spans="1:9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</row>
    <row r="16" spans="1:9" ht="21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 ht="18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 ht="17.2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t="17.25" hidden="1" customHeight="1">
      <c r="A19" s="30">
        <v>4</v>
      </c>
      <c r="B19" s="35" t="s">
        <v>87</v>
      </c>
      <c r="C19" s="46" t="s">
        <v>88</v>
      </c>
      <c r="D19" s="35" t="s">
        <v>177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f>F19*G19</f>
        <v>401.70599999999996</v>
      </c>
    </row>
    <row r="20" spans="1:9" ht="17.2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t="17.25" hidden="1" customHeight="1">
      <c r="A21" s="30">
        <v>6</v>
      </c>
      <c r="B21" s="35" t="s">
        <v>91</v>
      </c>
      <c r="C21" s="46" t="s">
        <v>80</v>
      </c>
      <c r="D21" s="35" t="s">
        <v>164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0.054/2*G21</f>
        <v>7.6528799999999997</v>
      </c>
    </row>
    <row r="22" spans="1:9" ht="14.25" hidden="1" customHeight="1">
      <c r="A22" s="30">
        <v>7</v>
      </c>
      <c r="B22" s="35" t="s">
        <v>92</v>
      </c>
      <c r="C22" s="46" t="s">
        <v>51</v>
      </c>
      <c r="D22" s="35" t="s">
        <v>178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f>F22*G22</f>
        <v>915.33888000000002</v>
      </c>
    </row>
    <row r="23" spans="1:9" ht="15" hidden="1" customHeight="1">
      <c r="A23" s="30">
        <v>8</v>
      </c>
      <c r="B23" s="35" t="s">
        <v>93</v>
      </c>
      <c r="C23" s="46" t="s">
        <v>51</v>
      </c>
      <c r="D23" s="35" t="s">
        <v>179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f>F23*G23</f>
        <v>14.026319999999998</v>
      </c>
    </row>
    <row r="24" spans="1:9" ht="17.25" hidden="1" customHeight="1">
      <c r="A24" s="30">
        <v>9</v>
      </c>
      <c r="B24" s="35" t="s">
        <v>94</v>
      </c>
      <c r="C24" s="46" t="s">
        <v>51</v>
      </c>
      <c r="D24" s="35" t="s">
        <v>180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f>F24*G24</f>
        <v>51.112000000000002</v>
      </c>
    </row>
    <row r="25" spans="1:9" ht="33.75" hidden="1" customHeight="1">
      <c r="A25" s="30">
        <v>10</v>
      </c>
      <c r="B25" s="35" t="s">
        <v>96</v>
      </c>
      <c r="C25" s="46" t="s">
        <v>51</v>
      </c>
      <c r="D25" s="35" t="s">
        <v>171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f>F25*G25</f>
        <v>26.9268</v>
      </c>
    </row>
    <row r="26" spans="1:9" ht="18" hidden="1" customHeight="1">
      <c r="A26" s="30">
        <v>11</v>
      </c>
      <c r="B26" s="35" t="s">
        <v>97</v>
      </c>
      <c r="C26" s="46" t="s">
        <v>51</v>
      </c>
      <c r="D26" s="35" t="s">
        <v>164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f>F26*G26</f>
        <v>29.029624999999999</v>
      </c>
    </row>
    <row r="27" spans="1:9" ht="17.25" hidden="1" customHeight="1">
      <c r="A27" s="30">
        <v>6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202" t="s">
        <v>154</v>
      </c>
      <c r="B28" s="203"/>
      <c r="C28" s="203"/>
      <c r="D28" s="203"/>
      <c r="E28" s="203"/>
      <c r="F28" s="203"/>
      <c r="G28" s="203"/>
      <c r="H28" s="203"/>
      <c r="I28" s="204"/>
    </row>
    <row r="29" spans="1:9" ht="19.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t="19.5" customHeight="1">
      <c r="A30" s="30">
        <v>5</v>
      </c>
      <c r="B30" s="81" t="s">
        <v>100</v>
      </c>
      <c r="C30" s="46" t="s">
        <v>83</v>
      </c>
      <c r="D30" s="35" t="s">
        <v>169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</row>
    <row r="31" spans="1:9" ht="36.75" customHeight="1">
      <c r="A31" s="30">
        <v>6</v>
      </c>
      <c r="B31" s="81" t="s">
        <v>99</v>
      </c>
      <c r="C31" s="46" t="s">
        <v>83</v>
      </c>
      <c r="D31" s="35" t="s">
        <v>168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t="17.25" customHeight="1">
      <c r="A32" s="30">
        <v>7</v>
      </c>
      <c r="B32" s="81" t="s">
        <v>26</v>
      </c>
      <c r="C32" s="46" t="s">
        <v>83</v>
      </c>
      <c r="D32" s="35" t="s">
        <v>171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t="14.25" customHeight="1">
      <c r="A33" s="30">
        <v>8</v>
      </c>
      <c r="B33" s="81" t="s">
        <v>124</v>
      </c>
      <c r="C33" s="46" t="s">
        <v>39</v>
      </c>
      <c r="D33" s="35" t="s">
        <v>173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t="18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</row>
    <row r="35" spans="1:9" ht="18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</row>
    <row r="36" spans="1:9" hidden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</row>
    <row r="37" spans="1:9" hidden="1">
      <c r="A37" s="30">
        <v>7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1" si="5">F37/6*G37</f>
        <v>1335.3333333333333</v>
      </c>
    </row>
    <row r="38" spans="1:9" hidden="1">
      <c r="A38" s="30">
        <v>8</v>
      </c>
      <c r="B38" s="36" t="s">
        <v>137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</row>
    <row r="39" spans="1:9" ht="30" hidden="1">
      <c r="A39" s="30">
        <v>9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</row>
    <row r="40" spans="1:9" hidden="1">
      <c r="A40" s="30"/>
      <c r="B40" s="35" t="s">
        <v>138</v>
      </c>
      <c r="C40" s="46" t="s">
        <v>139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</row>
    <row r="41" spans="1:9" ht="60" hidden="1">
      <c r="A41" s="30">
        <v>10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</row>
    <row r="42" spans="1:9" hidden="1">
      <c r="A42" s="30">
        <v>11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>(F42/7.5*1.5)*G42</f>
        <v>551.06122500000004</v>
      </c>
    </row>
    <row r="43" spans="1:9" hidden="1">
      <c r="A43" s="30">
        <v>12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>(F43/7.5*1.5)*G43</f>
        <v>97.483000000000004</v>
      </c>
    </row>
    <row r="44" spans="1:9">
      <c r="A44" s="202" t="s">
        <v>120</v>
      </c>
      <c r="B44" s="203"/>
      <c r="C44" s="203"/>
      <c r="D44" s="203"/>
      <c r="E44" s="203"/>
      <c r="F44" s="203"/>
      <c r="G44" s="203"/>
      <c r="H44" s="203"/>
      <c r="I44" s="204"/>
    </row>
    <row r="45" spans="1:9" ht="18" customHeight="1">
      <c r="A45" s="30">
        <v>9</v>
      </c>
      <c r="B45" s="35" t="s">
        <v>101</v>
      </c>
      <c r="C45" s="46" t="s">
        <v>83</v>
      </c>
      <c r="D45" s="35" t="s">
        <v>164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</row>
    <row r="46" spans="1:9" ht="21" customHeight="1">
      <c r="A46" s="30">
        <v>10</v>
      </c>
      <c r="B46" s="35" t="s">
        <v>34</v>
      </c>
      <c r="C46" s="46" t="s">
        <v>83</v>
      </c>
      <c r="D46" s="35" t="s">
        <v>164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</row>
    <row r="47" spans="1:9" ht="18.75" customHeight="1">
      <c r="A47" s="30">
        <v>11</v>
      </c>
      <c r="B47" s="35" t="s">
        <v>35</v>
      </c>
      <c r="C47" s="46" t="s">
        <v>83</v>
      </c>
      <c r="D47" s="35" t="s">
        <v>164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</row>
    <row r="48" spans="1:9" ht="17.25" customHeight="1">
      <c r="A48" s="30">
        <v>12</v>
      </c>
      <c r="B48" s="35" t="s">
        <v>36</v>
      </c>
      <c r="C48" s="46" t="s">
        <v>83</v>
      </c>
      <c r="D48" s="35" t="s">
        <v>164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</row>
    <row r="49" spans="1:9" ht="18" customHeight="1">
      <c r="A49" s="30">
        <v>13</v>
      </c>
      <c r="B49" s="35" t="s">
        <v>32</v>
      </c>
      <c r="C49" s="46" t="s">
        <v>33</v>
      </c>
      <c r="D49" s="35" t="s">
        <v>164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</row>
    <row r="50" spans="1:9" ht="21.75" customHeight="1">
      <c r="A50" s="30">
        <v>14</v>
      </c>
      <c r="B50" s="35" t="s">
        <v>54</v>
      </c>
      <c r="C50" s="46" t="s">
        <v>83</v>
      </c>
      <c r="D50" s="35" t="s">
        <v>164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</row>
    <row r="51" spans="1:9" ht="33" customHeight="1">
      <c r="A51" s="30">
        <v>15</v>
      </c>
      <c r="B51" s="35" t="s">
        <v>84</v>
      </c>
      <c r="C51" s="46" t="s">
        <v>83</v>
      </c>
      <c r="D51" s="35" t="s">
        <v>164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F51/2*G51</f>
        <v>3398.3843199999992</v>
      </c>
    </row>
    <row r="52" spans="1:9" ht="30.75" customHeight="1">
      <c r="A52" s="30">
        <v>16</v>
      </c>
      <c r="B52" s="35" t="s">
        <v>85</v>
      </c>
      <c r="C52" s="46" t="s">
        <v>37</v>
      </c>
      <c r="D52" s="35" t="s">
        <v>164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 t="shared" ref="I52:I53" si="8">F52/2*G52</f>
        <v>358.11300000000006</v>
      </c>
    </row>
    <row r="53" spans="1:9" ht="17.25" customHeight="1">
      <c r="A53" s="30">
        <v>17</v>
      </c>
      <c r="B53" s="35" t="s">
        <v>38</v>
      </c>
      <c r="C53" s="46" t="s">
        <v>39</v>
      </c>
      <c r="D53" s="35" t="s">
        <v>164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 t="shared" si="8"/>
        <v>74.129199999999997</v>
      </c>
    </row>
    <row r="54" spans="1:9" ht="16.5" customHeight="1">
      <c r="A54" s="109">
        <v>18</v>
      </c>
      <c r="B54" s="105" t="s">
        <v>40</v>
      </c>
      <c r="C54" s="106" t="s">
        <v>102</v>
      </c>
      <c r="D54" s="167">
        <v>44343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</row>
    <row r="55" spans="1:9">
      <c r="A55" s="195" t="s">
        <v>119</v>
      </c>
      <c r="B55" s="195"/>
      <c r="C55" s="195"/>
      <c r="D55" s="195"/>
      <c r="E55" s="195"/>
      <c r="F55" s="195"/>
      <c r="G55" s="195"/>
      <c r="H55" s="195"/>
      <c r="I55" s="195"/>
    </row>
    <row r="56" spans="1:9" hidden="1">
      <c r="A56" s="30"/>
      <c r="B56" s="153" t="s">
        <v>42</v>
      </c>
      <c r="C56" s="16"/>
      <c r="D56" s="14"/>
      <c r="E56" s="18"/>
      <c r="F56" s="13"/>
      <c r="G56" s="13"/>
      <c r="H56" s="13"/>
      <c r="I56" s="13"/>
    </row>
    <row r="57" spans="1:9" ht="45" hidden="1">
      <c r="A57" s="30">
        <v>16</v>
      </c>
      <c r="B57" s="41" t="s">
        <v>103</v>
      </c>
      <c r="C57" s="42" t="s">
        <v>80</v>
      </c>
      <c r="D57" s="158" t="s">
        <v>157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G57*0.28</f>
        <v>680.73040000000003</v>
      </c>
    </row>
    <row r="58" spans="1:9" hidden="1">
      <c r="A58" s="30"/>
      <c r="B58" s="41" t="s">
        <v>140</v>
      </c>
      <c r="C58" s="42" t="s">
        <v>141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</row>
    <row r="59" spans="1:9" ht="22.5" customHeight="1">
      <c r="A59" s="30"/>
      <c r="B59" s="153" t="s">
        <v>43</v>
      </c>
      <c r="C59" s="16"/>
      <c r="D59" s="14"/>
      <c r="E59" s="18"/>
      <c r="F59" s="13"/>
      <c r="G59" s="13"/>
      <c r="H59" s="13"/>
      <c r="I59" s="13"/>
    </row>
    <row r="60" spans="1:9" hidden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9" ht="20.25" customHeight="1">
      <c r="A61" s="30">
        <v>19</v>
      </c>
      <c r="B61" s="143" t="s">
        <v>142</v>
      </c>
      <c r="C61" s="42" t="s">
        <v>143</v>
      </c>
      <c r="D61" s="41" t="s">
        <v>164</v>
      </c>
      <c r="E61" s="17">
        <v>100</v>
      </c>
      <c r="F61" s="39">
        <f>E61*12</f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9" ht="19.5" hidden="1" customHeight="1">
      <c r="A62" s="113"/>
      <c r="B62" s="144" t="s">
        <v>44</v>
      </c>
      <c r="C62" s="16"/>
      <c r="D62" s="14"/>
      <c r="E62" s="18"/>
      <c r="F62" s="13"/>
      <c r="G62" s="13"/>
      <c r="H62" s="13" t="s">
        <v>111</v>
      </c>
      <c r="I62" s="13"/>
    </row>
    <row r="63" spans="1:9" hidden="1">
      <c r="A63" s="30">
        <v>15</v>
      </c>
      <c r="B63" s="145" t="s">
        <v>45</v>
      </c>
      <c r="C63" s="42" t="s">
        <v>102</v>
      </c>
      <c r="D63" s="41" t="s">
        <v>64</v>
      </c>
      <c r="E63" s="17">
        <v>5</v>
      </c>
      <c r="F63" s="39">
        <f>E63</f>
        <v>5</v>
      </c>
      <c r="G63" s="39">
        <v>291.68</v>
      </c>
      <c r="H63" s="39">
        <f t="shared" ref="H63:H70" si="9">SUM(F63*G63/1000)</f>
        <v>1.4584000000000001</v>
      </c>
      <c r="I63" s="13">
        <f>G63</f>
        <v>291.68</v>
      </c>
    </row>
    <row r="64" spans="1:9" hidden="1">
      <c r="A64" s="30"/>
      <c r="B64" s="58" t="s">
        <v>46</v>
      </c>
      <c r="C64" s="146" t="s">
        <v>102</v>
      </c>
      <c r="D64" s="147" t="s">
        <v>64</v>
      </c>
      <c r="E64" s="148">
        <v>5</v>
      </c>
      <c r="F64" s="149">
        <f>E64</f>
        <v>5</v>
      </c>
      <c r="G64" s="150">
        <v>100.01</v>
      </c>
      <c r="H64" s="151">
        <f t="shared" si="9"/>
        <v>0.50004999999999999</v>
      </c>
      <c r="I64" s="119">
        <v>0</v>
      </c>
    </row>
    <row r="65" spans="1:9" ht="15" hidden="1" customHeight="1">
      <c r="A65" s="30">
        <v>29</v>
      </c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9"/>
        <v>28.792275200000002</v>
      </c>
      <c r="I65" s="13">
        <f t="shared" ref="I65:I70" si="10">F65*G65</f>
        <v>28792.275200000004</v>
      </c>
    </row>
    <row r="66" spans="1:9" ht="20.25" hidden="1" customHeight="1">
      <c r="A66" s="30">
        <v>30</v>
      </c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9"/>
        <v>2.2422046400000002</v>
      </c>
      <c r="I66" s="13">
        <f t="shared" si="10"/>
        <v>2242.2046400000004</v>
      </c>
    </row>
    <row r="67" spans="1:9" ht="15.75" hidden="1" customHeight="1">
      <c r="A67" s="30">
        <v>31</v>
      </c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9"/>
        <v>44.759462999999997</v>
      </c>
      <c r="I67" s="13">
        <f t="shared" si="10"/>
        <v>44759.462999999996</v>
      </c>
    </row>
    <row r="68" spans="1:9" ht="15.75" hidden="1" customHeight="1">
      <c r="A68" s="30">
        <v>32</v>
      </c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9"/>
        <v>0.38349</v>
      </c>
      <c r="I68" s="13">
        <f t="shared" si="10"/>
        <v>383.49</v>
      </c>
    </row>
    <row r="69" spans="1:9" ht="18.75" hidden="1" customHeight="1">
      <c r="A69" s="30">
        <v>33</v>
      </c>
      <c r="B69" s="53" t="s">
        <v>108</v>
      </c>
      <c r="C69" s="42" t="s">
        <v>31</v>
      </c>
      <c r="D69" s="41"/>
      <c r="E69" s="100">
        <v>9</v>
      </c>
      <c r="F69" s="39">
        <f t="shared" ref="F69:F70" si="11">E69</f>
        <v>9</v>
      </c>
      <c r="G69" s="39">
        <v>46.04</v>
      </c>
      <c r="H69" s="79">
        <f t="shared" si="9"/>
        <v>0.41436000000000001</v>
      </c>
      <c r="I69" s="13">
        <f t="shared" si="10"/>
        <v>414.36</v>
      </c>
    </row>
    <row r="70" spans="1:9" ht="18" hidden="1" customHeight="1">
      <c r="A70" s="30">
        <v>21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11"/>
        <v>2</v>
      </c>
      <c r="G70" s="39">
        <v>65.42</v>
      </c>
      <c r="H70" s="79">
        <f t="shared" si="9"/>
        <v>0.13084000000000001</v>
      </c>
      <c r="I70" s="13">
        <f t="shared" si="10"/>
        <v>130.84</v>
      </c>
    </row>
    <row r="71" spans="1:9" ht="18" customHeight="1">
      <c r="A71" s="30"/>
      <c r="B71" s="153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9" hidden="1">
      <c r="A72" s="30"/>
      <c r="B72" s="14" t="s">
        <v>144</v>
      </c>
      <c r="C72" s="16" t="s">
        <v>145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12">SUM(F72*G72/1000)</f>
        <v>1.0291199999999998</v>
      </c>
      <c r="I72" s="13">
        <v>0</v>
      </c>
    </row>
    <row r="73" spans="1:9" hidden="1">
      <c r="A73" s="30"/>
      <c r="B73" s="14" t="s">
        <v>146</v>
      </c>
      <c r="C73" s="16" t="s">
        <v>147</v>
      </c>
      <c r="D73" s="120"/>
      <c r="E73" s="18">
        <v>1</v>
      </c>
      <c r="F73" s="13">
        <v>1</v>
      </c>
      <c r="G73" s="13">
        <v>735</v>
      </c>
      <c r="H73" s="80">
        <f t="shared" si="12"/>
        <v>0.73499999999999999</v>
      </c>
      <c r="I73" s="13">
        <v>0</v>
      </c>
    </row>
    <row r="74" spans="1:9" hidden="1">
      <c r="A74" s="30">
        <v>16</v>
      </c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f>G74*0.2</f>
        <v>131.57400000000001</v>
      </c>
    </row>
    <row r="75" spans="1:9" hidden="1">
      <c r="A75" s="30"/>
      <c r="B75" s="14" t="s">
        <v>148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9" hidden="1">
      <c r="A76" s="30"/>
      <c r="B76" s="56" t="s">
        <v>149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9" ht="30.75" customHeight="1">
      <c r="A77" s="30">
        <v>20</v>
      </c>
      <c r="B77" s="56" t="s">
        <v>150</v>
      </c>
      <c r="C77" s="57" t="s">
        <v>102</v>
      </c>
      <c r="D77" s="14" t="s">
        <v>171</v>
      </c>
      <c r="E77" s="18">
        <v>2</v>
      </c>
      <c r="F77" s="84">
        <f>E77*12</f>
        <v>24</v>
      </c>
      <c r="G77" s="13">
        <v>53.42</v>
      </c>
      <c r="H77" s="80">
        <f t="shared" ref="H77:H78" si="13">SUM(F77*G77/1000)</f>
        <v>1.2820799999999999</v>
      </c>
      <c r="I77" s="13">
        <f>G77*2</f>
        <v>106.84</v>
      </c>
    </row>
    <row r="78" spans="1:9" ht="33" customHeight="1">
      <c r="A78" s="30">
        <v>21</v>
      </c>
      <c r="B78" s="56" t="s">
        <v>151</v>
      </c>
      <c r="C78" s="57" t="s">
        <v>102</v>
      </c>
      <c r="D78" s="14" t="s">
        <v>171</v>
      </c>
      <c r="E78" s="18">
        <v>1</v>
      </c>
      <c r="F78" s="84">
        <f>E78*12</f>
        <v>12</v>
      </c>
      <c r="G78" s="13">
        <v>1194</v>
      </c>
      <c r="H78" s="80">
        <f t="shared" si="13"/>
        <v>14.327999999999999</v>
      </c>
      <c r="I78" s="13">
        <f>G78</f>
        <v>1194</v>
      </c>
    </row>
    <row r="79" spans="1:9" hidden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9" hidden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4">SUM(F80*G80/1000)</f>
        <v>2.1714540000000002</v>
      </c>
      <c r="I80" s="13">
        <v>0</v>
      </c>
    </row>
    <row r="81" spans="1:9" ht="27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8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>
      <c r="A83" s="195" t="s">
        <v>118</v>
      </c>
      <c r="B83" s="195"/>
      <c r="C83" s="195"/>
      <c r="D83" s="195"/>
      <c r="E83" s="195"/>
      <c r="F83" s="195"/>
      <c r="G83" s="195"/>
      <c r="H83" s="195"/>
      <c r="I83" s="195"/>
    </row>
    <row r="84" spans="1:9" ht="16.5" customHeight="1">
      <c r="A84" s="30">
        <v>22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40.5" customHeight="1">
      <c r="A85" s="30">
        <v>23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I85+I84+I78+I77+I61+I54+I53+I52+I51+I50+I49+I48+I47+I46+I45+I33+I32+I31+I30+I20+I18+I17+I16</f>
        <v>42426.248793666673</v>
      </c>
    </row>
    <row r="87" spans="1:9">
      <c r="A87" s="184" t="s">
        <v>58</v>
      </c>
      <c r="B87" s="185"/>
      <c r="C87" s="185"/>
      <c r="D87" s="185"/>
      <c r="E87" s="185"/>
      <c r="F87" s="185"/>
      <c r="G87" s="185"/>
      <c r="H87" s="185"/>
      <c r="I87" s="186"/>
    </row>
    <row r="88" spans="1:9" ht="13.5" customHeight="1">
      <c r="A88" s="30"/>
      <c r="B88" s="50" t="s">
        <v>50</v>
      </c>
      <c r="C88" s="57"/>
      <c r="D88" s="52"/>
      <c r="E88" s="13"/>
      <c r="F88" s="13"/>
      <c r="G88" s="13"/>
      <c r="H88" s="80"/>
      <c r="I88" s="87">
        <v>0</v>
      </c>
    </row>
    <row r="89" spans="1:9">
      <c r="A89" s="30"/>
      <c r="B89" s="52" t="s">
        <v>75</v>
      </c>
      <c r="C89" s="15"/>
      <c r="D89" s="15"/>
      <c r="E89" s="47"/>
      <c r="F89" s="47"/>
      <c r="G89" s="48"/>
      <c r="H89" s="48"/>
      <c r="I89" s="17">
        <v>0</v>
      </c>
    </row>
    <row r="90" spans="1:9">
      <c r="A90" s="54"/>
      <c r="B90" s="51" t="s">
        <v>134</v>
      </c>
      <c r="C90" s="38"/>
      <c r="D90" s="38"/>
      <c r="E90" s="38"/>
      <c r="F90" s="38"/>
      <c r="G90" s="38"/>
      <c r="H90" s="38"/>
      <c r="I90" s="49">
        <f>I86+I88</f>
        <v>42426.248793666673</v>
      </c>
    </row>
    <row r="91" spans="1:9" ht="15.75">
      <c r="A91" s="187" t="s">
        <v>232</v>
      </c>
      <c r="B91" s="187"/>
      <c r="C91" s="187"/>
      <c r="D91" s="187"/>
      <c r="E91" s="187"/>
      <c r="F91" s="187"/>
      <c r="G91" s="187"/>
      <c r="H91" s="187"/>
      <c r="I91" s="187"/>
    </row>
    <row r="92" spans="1:9" ht="15.75">
      <c r="A92" s="68"/>
      <c r="B92" s="188" t="s">
        <v>233</v>
      </c>
      <c r="C92" s="188"/>
      <c r="D92" s="188"/>
      <c r="E92" s="188"/>
      <c r="F92" s="188"/>
      <c r="G92" s="188"/>
      <c r="H92" s="78"/>
      <c r="I92" s="3"/>
    </row>
    <row r="93" spans="1:9">
      <c r="A93" s="154"/>
      <c r="B93" s="189" t="s">
        <v>6</v>
      </c>
      <c r="C93" s="189"/>
      <c r="D93" s="189"/>
      <c r="E93" s="189"/>
      <c r="F93" s="189"/>
      <c r="G93" s="189"/>
      <c r="H93" s="25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90" t="s">
        <v>7</v>
      </c>
      <c r="B95" s="190"/>
      <c r="C95" s="190"/>
      <c r="D95" s="190"/>
      <c r="E95" s="190"/>
      <c r="F95" s="190"/>
      <c r="G95" s="190"/>
      <c r="H95" s="190"/>
      <c r="I95" s="190"/>
    </row>
    <row r="96" spans="1:9" ht="15.75">
      <c r="A96" s="190" t="s">
        <v>8</v>
      </c>
      <c r="B96" s="190"/>
      <c r="C96" s="190"/>
      <c r="D96" s="190"/>
      <c r="E96" s="190"/>
      <c r="F96" s="190"/>
      <c r="G96" s="190"/>
      <c r="H96" s="190"/>
      <c r="I96" s="190"/>
    </row>
    <row r="97" spans="1:9" ht="15.75">
      <c r="A97" s="191" t="s">
        <v>59</v>
      </c>
      <c r="B97" s="191"/>
      <c r="C97" s="191"/>
      <c r="D97" s="191"/>
      <c r="E97" s="191"/>
      <c r="F97" s="191"/>
      <c r="G97" s="191"/>
      <c r="H97" s="191"/>
      <c r="I97" s="191"/>
    </row>
    <row r="98" spans="1:9" ht="15.75">
      <c r="A98" s="11"/>
    </row>
    <row r="99" spans="1:9" ht="15.75">
      <c r="A99" s="192" t="s">
        <v>9</v>
      </c>
      <c r="B99" s="192"/>
      <c r="C99" s="192"/>
      <c r="D99" s="192"/>
      <c r="E99" s="192"/>
      <c r="F99" s="192"/>
      <c r="G99" s="192"/>
      <c r="H99" s="192"/>
      <c r="I99" s="192"/>
    </row>
    <row r="100" spans="1:9" ht="15.75">
      <c r="A100" s="4"/>
    </row>
    <row r="101" spans="1:9" ht="15.75">
      <c r="B101" s="156" t="s">
        <v>10</v>
      </c>
      <c r="C101" s="193" t="s">
        <v>195</v>
      </c>
      <c r="D101" s="193"/>
      <c r="E101" s="193"/>
      <c r="F101" s="76"/>
      <c r="I101" s="157"/>
    </row>
    <row r="102" spans="1:9">
      <c r="A102" s="154"/>
      <c r="C102" s="189" t="s">
        <v>11</v>
      </c>
      <c r="D102" s="189"/>
      <c r="E102" s="189"/>
      <c r="F102" s="25"/>
      <c r="I102" s="155" t="s">
        <v>12</v>
      </c>
    </row>
    <row r="103" spans="1:9" ht="15.75">
      <c r="A103" s="26"/>
      <c r="C103" s="12"/>
      <c r="D103" s="12"/>
      <c r="G103" s="12"/>
      <c r="H103" s="12"/>
    </row>
    <row r="104" spans="1:9" ht="15.75">
      <c r="B104" s="156" t="s">
        <v>13</v>
      </c>
      <c r="C104" s="194"/>
      <c r="D104" s="194"/>
      <c r="E104" s="194"/>
      <c r="F104" s="77"/>
      <c r="I104" s="157"/>
    </row>
    <row r="105" spans="1:9">
      <c r="A105" s="154"/>
      <c r="C105" s="183" t="s">
        <v>11</v>
      </c>
      <c r="D105" s="183"/>
      <c r="E105" s="183"/>
      <c r="F105" s="154"/>
      <c r="I105" s="155" t="s">
        <v>12</v>
      </c>
    </row>
    <row r="106" spans="1:9" ht="15.75">
      <c r="A106" s="4" t="s">
        <v>14</v>
      </c>
    </row>
    <row r="107" spans="1:9">
      <c r="A107" s="181" t="s">
        <v>15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47.25" customHeight="1">
      <c r="A108" s="182" t="s">
        <v>16</v>
      </c>
      <c r="B108" s="182"/>
      <c r="C108" s="182"/>
      <c r="D108" s="182"/>
      <c r="E108" s="182"/>
      <c r="F108" s="182"/>
      <c r="G108" s="182"/>
      <c r="H108" s="182"/>
      <c r="I108" s="182"/>
    </row>
    <row r="109" spans="1:9" ht="47.25" customHeight="1">
      <c r="A109" s="182" t="s">
        <v>17</v>
      </c>
      <c r="B109" s="182"/>
      <c r="C109" s="182"/>
      <c r="D109" s="182"/>
      <c r="E109" s="182"/>
      <c r="F109" s="182"/>
      <c r="G109" s="182"/>
      <c r="H109" s="182"/>
      <c r="I109" s="182"/>
    </row>
    <row r="110" spans="1:9" ht="37.5" customHeight="1">
      <c r="A110" s="182" t="s">
        <v>21</v>
      </c>
      <c r="B110" s="182"/>
      <c r="C110" s="182"/>
      <c r="D110" s="182"/>
      <c r="E110" s="182"/>
      <c r="F110" s="182"/>
      <c r="G110" s="182"/>
      <c r="H110" s="182"/>
      <c r="I110" s="182"/>
    </row>
    <row r="111" spans="1:9" ht="15.75">
      <c r="A111" s="182" t="s">
        <v>20</v>
      </c>
      <c r="B111" s="182"/>
      <c r="C111" s="182"/>
      <c r="D111" s="182"/>
      <c r="E111" s="182"/>
      <c r="F111" s="182"/>
      <c r="G111" s="182"/>
      <c r="H111" s="182"/>
      <c r="I111" s="182"/>
    </row>
  </sheetData>
  <mergeCells count="28">
    <mergeCell ref="A107:I107"/>
    <mergeCell ref="A108:I108"/>
    <mergeCell ref="A109:I109"/>
    <mergeCell ref="A110:I110"/>
    <mergeCell ref="A111:I111"/>
    <mergeCell ref="C105:E10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3:I83"/>
  </mergeCells>
  <pageMargins left="0.70866141732283472" right="0" top="0.74803149606299213" bottom="0.74803149606299213" header="0.31496062992125984" footer="0.31496062992125984"/>
  <pageSetup paperSize="9" scale="6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19"/>
  <sheetViews>
    <sheetView topLeftCell="A78" workbookViewId="0">
      <selection activeCell="G106" sqref="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158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238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44377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customHeight="1">
      <c r="A19" s="30">
        <v>4</v>
      </c>
      <c r="B19" s="35" t="s">
        <v>87</v>
      </c>
      <c r="C19" s="46" t="s">
        <v>88</v>
      </c>
      <c r="D19" s="35" t="s">
        <v>187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f>G19*F19</f>
        <v>401.70599999999996</v>
      </c>
      <c r="J19" s="23"/>
      <c r="K19" s="8"/>
      <c r="L19" s="8"/>
      <c r="M19" s="8"/>
    </row>
    <row r="20" spans="1:13" ht="15.75" customHeight="1">
      <c r="A20" s="30">
        <v>5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6</v>
      </c>
      <c r="B21" s="35" t="s">
        <v>91</v>
      </c>
      <c r="C21" s="46" t="s">
        <v>80</v>
      </c>
      <c r="D21" s="35" t="s">
        <v>164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>
        <v>7</v>
      </c>
      <c r="B22" s="35" t="s">
        <v>92</v>
      </c>
      <c r="C22" s="46" t="s">
        <v>51</v>
      </c>
      <c r="D22" s="35" t="s">
        <v>164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f>G22*F22</f>
        <v>915.33888000000002</v>
      </c>
      <c r="J22" s="23"/>
      <c r="K22" s="8"/>
      <c r="L22" s="8"/>
      <c r="M22" s="8"/>
    </row>
    <row r="23" spans="1:13" ht="15.75" hidden="1" customHeight="1">
      <c r="A23" s="30">
        <v>8</v>
      </c>
      <c r="B23" s="35" t="s">
        <v>93</v>
      </c>
      <c r="C23" s="46" t="s">
        <v>51</v>
      </c>
      <c r="D23" s="35" t="s">
        <v>164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f>G23*F23</f>
        <v>14.026319999999998</v>
      </c>
      <c r="J23" s="23"/>
      <c r="K23" s="8"/>
      <c r="L23" s="8"/>
      <c r="M23" s="8"/>
    </row>
    <row r="24" spans="1:13" ht="15.75" hidden="1" customHeight="1">
      <c r="A24" s="30">
        <v>9</v>
      </c>
      <c r="B24" s="35" t="s">
        <v>94</v>
      </c>
      <c r="C24" s="46" t="s">
        <v>51</v>
      </c>
      <c r="D24" s="35" t="s">
        <v>164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f>G24*F24</f>
        <v>51.112000000000002</v>
      </c>
      <c r="J24" s="23"/>
      <c r="K24" s="8"/>
      <c r="L24" s="8"/>
      <c r="M24" s="8"/>
    </row>
    <row r="25" spans="1:13" ht="31.5" hidden="1" customHeight="1">
      <c r="A25" s="30">
        <v>10</v>
      </c>
      <c r="B25" s="35" t="s">
        <v>96</v>
      </c>
      <c r="C25" s="46" t="s">
        <v>51</v>
      </c>
      <c r="D25" s="35" t="s">
        <v>164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f>G25*F25</f>
        <v>26.9268</v>
      </c>
      <c r="J25" s="23"/>
      <c r="K25" s="8"/>
      <c r="L25" s="8"/>
      <c r="M25" s="8"/>
    </row>
    <row r="26" spans="1:13" ht="15.75" hidden="1" customHeight="1">
      <c r="A26" s="30">
        <v>11</v>
      </c>
      <c r="B26" s="35" t="s">
        <v>97</v>
      </c>
      <c r="C26" s="46" t="s">
        <v>51</v>
      </c>
      <c r="D26" s="35" t="s">
        <v>164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f>G26*F26</f>
        <v>29.029624999999999</v>
      </c>
      <c r="J26" s="23"/>
      <c r="K26" s="8"/>
      <c r="L26" s="8"/>
      <c r="M26" s="8"/>
    </row>
    <row r="27" spans="1:13" ht="15.75" hidden="1" customHeight="1">
      <c r="A27" s="30">
        <v>12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202" t="s">
        <v>78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100</v>
      </c>
      <c r="C30" s="46" t="s">
        <v>83</v>
      </c>
      <c r="D30" s="35" t="s">
        <v>169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99</v>
      </c>
      <c r="C31" s="46" t="s">
        <v>83</v>
      </c>
      <c r="D31" s="35" t="s">
        <v>168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124</v>
      </c>
      <c r="C33" s="46" t="s">
        <v>39</v>
      </c>
      <c r="D33" s="35" t="s">
        <v>173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137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138</v>
      </c>
      <c r="C40" s="46" t="s">
        <v>139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hidden="1" customHeight="1">
      <c r="A44" s="202" t="s">
        <v>120</v>
      </c>
      <c r="B44" s="203"/>
      <c r="C44" s="203"/>
      <c r="D44" s="203"/>
      <c r="E44" s="203"/>
      <c r="F44" s="203"/>
      <c r="G44" s="203"/>
      <c r="H44" s="203"/>
      <c r="I44" s="204"/>
      <c r="J44" s="24"/>
      <c r="L44" s="19"/>
      <c r="M44" s="20"/>
      <c r="N44" s="21"/>
    </row>
    <row r="45" spans="1:14" ht="15.75" hidden="1" customHeight="1">
      <c r="A45" s="30"/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11</v>
      </c>
      <c r="B50" s="35" t="s">
        <v>54</v>
      </c>
      <c r="C50" s="46" t="s">
        <v>83</v>
      </c>
      <c r="D50" s="35" t="s">
        <v>125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hidden="1" customHeight="1">
      <c r="A51" s="30"/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hidden="1" customHeight="1">
      <c r="A54" s="109">
        <v>12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5" t="s">
        <v>128</v>
      </c>
      <c r="B55" s="195"/>
      <c r="C55" s="195"/>
      <c r="D55" s="195"/>
      <c r="E55" s="195"/>
      <c r="F55" s="195"/>
      <c r="G55" s="195"/>
      <c r="H55" s="195"/>
      <c r="I55" s="195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140</v>
      </c>
      <c r="C58" s="42" t="s">
        <v>141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9</v>
      </c>
      <c r="B61" s="41" t="s">
        <v>142</v>
      </c>
      <c r="C61" s="42" t="s">
        <v>143</v>
      </c>
      <c r="D61" s="41" t="s">
        <v>164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hidden="1" customHeight="1">
      <c r="A63" s="30">
        <v>12</v>
      </c>
      <c r="B63" s="58" t="s">
        <v>45</v>
      </c>
      <c r="C63" s="42" t="s">
        <v>102</v>
      </c>
      <c r="D63" s="41" t="s">
        <v>64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G63*4</f>
        <v>1166.72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0">
        <v>10</v>
      </c>
      <c r="B65" s="58" t="s">
        <v>47</v>
      </c>
      <c r="C65" s="44" t="s">
        <v>105</v>
      </c>
      <c r="D65" s="41"/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f>G65*F65</f>
        <v>28792.275200000004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0">
        <v>11</v>
      </c>
      <c r="B66" s="58" t="s">
        <v>48</v>
      </c>
      <c r="C66" s="42" t="s">
        <v>106</v>
      </c>
      <c r="D66" s="41"/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f>G66*F66</f>
        <v>2242.2046400000004</v>
      </c>
      <c r="J66" s="5"/>
      <c r="K66" s="5"/>
      <c r="L66" s="5"/>
      <c r="M66" s="5"/>
      <c r="N66" s="5"/>
      <c r="O66" s="5"/>
      <c r="P66" s="5"/>
      <c r="Q66" s="5"/>
      <c r="R66" s="183"/>
      <c r="S66" s="183"/>
      <c r="T66" s="183"/>
      <c r="U66" s="183"/>
    </row>
    <row r="67" spans="1:21" ht="15.75" customHeight="1">
      <c r="A67" s="30">
        <v>12</v>
      </c>
      <c r="B67" s="58" t="s">
        <v>49</v>
      </c>
      <c r="C67" s="42" t="s">
        <v>73</v>
      </c>
      <c r="D67" s="41"/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f>G67*F67</f>
        <v>44759.462999999996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0">
        <v>13</v>
      </c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f>G68*F68</f>
        <v>383.49</v>
      </c>
    </row>
    <row r="69" spans="1:21" ht="15.75" customHeight="1">
      <c r="A69" s="30">
        <v>14</v>
      </c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f>G69*F69</f>
        <v>414.36</v>
      </c>
    </row>
    <row r="70" spans="1:21" ht="22.5" hidden="1" customHeight="1">
      <c r="A70" s="30">
        <v>13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21" ht="15.75" customHeight="1">
      <c r="A71" s="30"/>
      <c r="B71" s="66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144</v>
      </c>
      <c r="C72" s="16" t="s">
        <v>145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146</v>
      </c>
      <c r="C73" s="16" t="s">
        <v>147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148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149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15</v>
      </c>
      <c r="B77" s="56" t="s">
        <v>150</v>
      </c>
      <c r="C77" s="57" t="s">
        <v>102</v>
      </c>
      <c r="D77" s="14" t="s">
        <v>164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16</v>
      </c>
      <c r="B78" s="56" t="s">
        <v>151</v>
      </c>
      <c r="C78" s="57" t="s">
        <v>102</v>
      </c>
      <c r="D78" s="14" t="s">
        <v>171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5" t="s">
        <v>129</v>
      </c>
      <c r="B83" s="195"/>
      <c r="C83" s="195"/>
      <c r="D83" s="195"/>
      <c r="E83" s="195"/>
      <c r="F83" s="195"/>
      <c r="G83" s="195"/>
      <c r="H83" s="195"/>
      <c r="I83" s="195"/>
    </row>
    <row r="84" spans="1:9" ht="15.75" customHeight="1">
      <c r="A84" s="30">
        <v>17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18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I85+I84+I78+I77+I69+I68+I67+I66+I65+I61+I33+I31+I30+I20+I19+I18+I17+I16</f>
        <v>101160.67633566669</v>
      </c>
    </row>
    <row r="87" spans="1:9" ht="15.75" customHeight="1">
      <c r="A87" s="184" t="s">
        <v>58</v>
      </c>
      <c r="B87" s="185"/>
      <c r="C87" s="185"/>
      <c r="D87" s="185"/>
      <c r="E87" s="185"/>
      <c r="F87" s="185"/>
      <c r="G87" s="185"/>
      <c r="H87" s="185"/>
      <c r="I87" s="186"/>
    </row>
    <row r="88" spans="1:9" ht="20.25" customHeight="1">
      <c r="A88" s="169">
        <v>19</v>
      </c>
      <c r="B88" s="134" t="s">
        <v>219</v>
      </c>
      <c r="C88" s="61" t="s">
        <v>39</v>
      </c>
      <c r="D88" s="41" t="s">
        <v>164</v>
      </c>
      <c r="E88" s="17"/>
      <c r="F88" s="39">
        <v>0.02</v>
      </c>
      <c r="G88" s="39">
        <v>28224.75</v>
      </c>
      <c r="H88" s="176"/>
      <c r="I88" s="168">
        <f>G88*0.01</f>
        <v>282.2475</v>
      </c>
    </row>
    <row r="89" spans="1:9" ht="32.25" customHeight="1">
      <c r="A89" s="169">
        <v>20</v>
      </c>
      <c r="B89" s="134" t="s">
        <v>226</v>
      </c>
      <c r="C89" s="61" t="s">
        <v>227</v>
      </c>
      <c r="D89" s="41" t="s">
        <v>242</v>
      </c>
      <c r="E89" s="17"/>
      <c r="F89" s="39">
        <v>2</v>
      </c>
      <c r="G89" s="39">
        <v>64.040000000000006</v>
      </c>
      <c r="H89" s="176"/>
      <c r="I89" s="173">
        <f>G89*1</f>
        <v>64.040000000000006</v>
      </c>
    </row>
    <row r="90" spans="1:9" ht="18" customHeight="1">
      <c r="A90" s="169">
        <v>21</v>
      </c>
      <c r="B90" s="134" t="s">
        <v>239</v>
      </c>
      <c r="C90" s="61" t="s">
        <v>162</v>
      </c>
      <c r="D90" s="41" t="s">
        <v>240</v>
      </c>
      <c r="E90" s="17"/>
      <c r="F90" s="39">
        <v>10</v>
      </c>
      <c r="G90" s="39">
        <v>295.36</v>
      </c>
      <c r="H90" s="176"/>
      <c r="I90" s="173">
        <f>G90*10</f>
        <v>2953.6000000000004</v>
      </c>
    </row>
    <row r="91" spans="1:9" ht="32.25" customHeight="1">
      <c r="A91" s="169">
        <v>22</v>
      </c>
      <c r="B91" s="134" t="s">
        <v>189</v>
      </c>
      <c r="C91" s="61" t="s">
        <v>37</v>
      </c>
      <c r="D91" s="41" t="s">
        <v>164</v>
      </c>
      <c r="E91" s="17"/>
      <c r="F91" s="39">
        <v>0.02</v>
      </c>
      <c r="G91" s="39">
        <v>4233.72</v>
      </c>
      <c r="H91" s="176"/>
      <c r="I91" s="168">
        <v>0</v>
      </c>
    </row>
    <row r="92" spans="1:9" ht="32.25" customHeight="1">
      <c r="A92" s="169">
        <v>23</v>
      </c>
      <c r="B92" s="134" t="s">
        <v>194</v>
      </c>
      <c r="C92" s="61" t="s">
        <v>116</v>
      </c>
      <c r="D92" s="41" t="s">
        <v>241</v>
      </c>
      <c r="E92" s="17"/>
      <c r="F92" s="135">
        <v>1</v>
      </c>
      <c r="G92" s="39">
        <v>697.33</v>
      </c>
      <c r="H92" s="177"/>
      <c r="I92" s="168">
        <f>G92*1</f>
        <v>697.33</v>
      </c>
    </row>
    <row r="93" spans="1:9" ht="19.5" customHeight="1">
      <c r="A93" s="169">
        <v>24</v>
      </c>
      <c r="B93" s="160" t="s">
        <v>243</v>
      </c>
      <c r="C93" s="158" t="s">
        <v>88</v>
      </c>
      <c r="D93" s="41" t="s">
        <v>245</v>
      </c>
      <c r="E93" s="17"/>
      <c r="F93" s="39">
        <v>0.06</v>
      </c>
      <c r="G93" s="39">
        <v>48874.7</v>
      </c>
      <c r="H93" s="178"/>
      <c r="I93" s="168">
        <f>G93*0.06</f>
        <v>2932.4819999999995</v>
      </c>
    </row>
    <row r="94" spans="1:9" ht="16.5" customHeight="1">
      <c r="A94" s="169">
        <v>25</v>
      </c>
      <c r="B94" s="179" t="s">
        <v>244</v>
      </c>
      <c r="C94" s="61" t="s">
        <v>53</v>
      </c>
      <c r="D94" s="41"/>
      <c r="E94" s="17"/>
      <c r="F94" s="39">
        <v>3</v>
      </c>
      <c r="G94" s="39">
        <v>763.67</v>
      </c>
      <c r="H94" s="178"/>
      <c r="I94" s="168">
        <f>G94*3</f>
        <v>2291.0099999999998</v>
      </c>
    </row>
    <row r="95" spans="1:9" ht="16.5" customHeight="1">
      <c r="A95" s="169">
        <v>26</v>
      </c>
      <c r="B95" s="179" t="s">
        <v>246</v>
      </c>
      <c r="C95" s="61" t="s">
        <v>247</v>
      </c>
      <c r="D95" s="41"/>
      <c r="E95" s="17"/>
      <c r="F95" s="39">
        <v>1</v>
      </c>
      <c r="G95" s="39">
        <v>17065.95</v>
      </c>
      <c r="H95" s="178"/>
      <c r="I95" s="168">
        <f>G95*1</f>
        <v>17065.95</v>
      </c>
    </row>
    <row r="96" spans="1:9" ht="15.75" customHeight="1">
      <c r="A96" s="30"/>
      <c r="B96" s="50" t="s">
        <v>50</v>
      </c>
      <c r="C96" s="57"/>
      <c r="D96" s="52"/>
      <c r="E96" s="13"/>
      <c r="F96" s="13"/>
      <c r="G96" s="13"/>
      <c r="H96" s="80"/>
      <c r="I96" s="87">
        <f>SUM(I88:I95)</f>
        <v>26286.659500000002</v>
      </c>
    </row>
    <row r="97" spans="1:9">
      <c r="A97" s="30"/>
      <c r="B97" s="52" t="s">
        <v>75</v>
      </c>
      <c r="C97" s="15"/>
      <c r="D97" s="15"/>
      <c r="E97" s="47"/>
      <c r="F97" s="47"/>
      <c r="G97" s="48"/>
      <c r="H97" s="48"/>
      <c r="I97" s="17">
        <v>0</v>
      </c>
    </row>
    <row r="98" spans="1:9">
      <c r="A98" s="54"/>
      <c r="B98" s="51" t="s">
        <v>134</v>
      </c>
      <c r="C98" s="38"/>
      <c r="D98" s="38"/>
      <c r="E98" s="38"/>
      <c r="F98" s="38"/>
      <c r="G98" s="38"/>
      <c r="H98" s="38"/>
      <c r="I98" s="49">
        <f>I86+I96</f>
        <v>127447.33583566669</v>
      </c>
    </row>
    <row r="99" spans="1:9" ht="15.75" customHeight="1">
      <c r="A99" s="187" t="s">
        <v>248</v>
      </c>
      <c r="B99" s="187"/>
      <c r="C99" s="187"/>
      <c r="D99" s="187"/>
      <c r="E99" s="187"/>
      <c r="F99" s="187"/>
      <c r="G99" s="187"/>
      <c r="H99" s="187"/>
      <c r="I99" s="187"/>
    </row>
    <row r="100" spans="1:9" ht="15.75" customHeight="1">
      <c r="A100" s="68"/>
      <c r="B100" s="188" t="s">
        <v>249</v>
      </c>
      <c r="C100" s="188"/>
      <c r="D100" s="188"/>
      <c r="E100" s="188"/>
      <c r="F100" s="188"/>
      <c r="G100" s="188"/>
      <c r="H100" s="78"/>
      <c r="I100" s="3"/>
    </row>
    <row r="101" spans="1:9">
      <c r="A101" s="64"/>
      <c r="B101" s="189" t="s">
        <v>6</v>
      </c>
      <c r="C101" s="189"/>
      <c r="D101" s="189"/>
      <c r="E101" s="189"/>
      <c r="F101" s="189"/>
      <c r="G101" s="189"/>
      <c r="H101" s="25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90" t="s">
        <v>7</v>
      </c>
      <c r="B103" s="190"/>
      <c r="C103" s="190"/>
      <c r="D103" s="190"/>
      <c r="E103" s="190"/>
      <c r="F103" s="190"/>
      <c r="G103" s="190"/>
      <c r="H103" s="190"/>
      <c r="I103" s="190"/>
    </row>
    <row r="104" spans="1:9" ht="15.75" customHeight="1">
      <c r="A104" s="190" t="s">
        <v>8</v>
      </c>
      <c r="B104" s="190"/>
      <c r="C104" s="190"/>
      <c r="D104" s="190"/>
      <c r="E104" s="190"/>
      <c r="F104" s="190"/>
      <c r="G104" s="190"/>
      <c r="H104" s="190"/>
      <c r="I104" s="190"/>
    </row>
    <row r="105" spans="1:9" ht="15.75">
      <c r="A105" s="191" t="s">
        <v>59</v>
      </c>
      <c r="B105" s="191"/>
      <c r="C105" s="191"/>
      <c r="D105" s="191"/>
      <c r="E105" s="191"/>
      <c r="F105" s="191"/>
      <c r="G105" s="191"/>
      <c r="H105" s="191"/>
      <c r="I105" s="191"/>
    </row>
    <row r="106" spans="1:9" ht="15.75">
      <c r="A106" s="11"/>
    </row>
    <row r="107" spans="1:9" ht="15.75" customHeight="1">
      <c r="A107" s="192" t="s">
        <v>9</v>
      </c>
      <c r="B107" s="192"/>
      <c r="C107" s="192"/>
      <c r="D107" s="192"/>
      <c r="E107" s="192"/>
      <c r="F107" s="192"/>
      <c r="G107" s="192"/>
      <c r="H107" s="192"/>
      <c r="I107" s="192"/>
    </row>
    <row r="108" spans="1:9" ht="15.75" customHeight="1">
      <c r="A108" s="4"/>
    </row>
    <row r="109" spans="1:9" ht="15.75" customHeight="1">
      <c r="B109" s="65" t="s">
        <v>10</v>
      </c>
      <c r="C109" s="193" t="s">
        <v>195</v>
      </c>
      <c r="D109" s="193"/>
      <c r="E109" s="193"/>
      <c r="F109" s="76"/>
      <c r="I109" s="63"/>
    </row>
    <row r="110" spans="1:9" ht="15.75" customHeight="1">
      <c r="A110" s="64"/>
      <c r="C110" s="189" t="s">
        <v>11</v>
      </c>
      <c r="D110" s="189"/>
      <c r="E110" s="189"/>
      <c r="F110" s="25"/>
      <c r="I110" s="62" t="s">
        <v>12</v>
      </c>
    </row>
    <row r="111" spans="1:9" ht="15.75" customHeight="1">
      <c r="A111" s="26"/>
      <c r="C111" s="12"/>
      <c r="D111" s="12"/>
      <c r="G111" s="12"/>
      <c r="H111" s="12"/>
    </row>
    <row r="112" spans="1:9" ht="15.75" customHeight="1">
      <c r="B112" s="65" t="s">
        <v>13</v>
      </c>
      <c r="C112" s="194"/>
      <c r="D112" s="194"/>
      <c r="E112" s="194"/>
      <c r="F112" s="77"/>
      <c r="I112" s="63"/>
    </row>
    <row r="113" spans="1:9">
      <c r="A113" s="64"/>
      <c r="C113" s="183" t="s">
        <v>11</v>
      </c>
      <c r="D113" s="183"/>
      <c r="E113" s="183"/>
      <c r="F113" s="64"/>
      <c r="I113" s="62" t="s">
        <v>12</v>
      </c>
    </row>
    <row r="114" spans="1:9" ht="15.75">
      <c r="A114" s="4" t="s">
        <v>14</v>
      </c>
    </row>
    <row r="115" spans="1:9">
      <c r="A115" s="181" t="s">
        <v>15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45" customHeight="1">
      <c r="A116" s="182" t="s">
        <v>16</v>
      </c>
      <c r="B116" s="182"/>
      <c r="C116" s="182"/>
      <c r="D116" s="182"/>
      <c r="E116" s="182"/>
      <c r="F116" s="182"/>
      <c r="G116" s="182"/>
      <c r="H116" s="182"/>
      <c r="I116" s="182"/>
    </row>
    <row r="117" spans="1:9" ht="30" customHeight="1">
      <c r="A117" s="182" t="s">
        <v>17</v>
      </c>
      <c r="B117" s="182"/>
      <c r="C117" s="182"/>
      <c r="D117" s="182"/>
      <c r="E117" s="182"/>
      <c r="F117" s="182"/>
      <c r="G117" s="182"/>
      <c r="H117" s="182"/>
      <c r="I117" s="182"/>
    </row>
    <row r="118" spans="1:9" ht="30" customHeight="1">
      <c r="A118" s="182" t="s">
        <v>21</v>
      </c>
      <c r="B118" s="182"/>
      <c r="C118" s="182"/>
      <c r="D118" s="182"/>
      <c r="E118" s="182"/>
      <c r="F118" s="182"/>
      <c r="G118" s="182"/>
      <c r="H118" s="182"/>
      <c r="I118" s="182"/>
    </row>
    <row r="119" spans="1:9" ht="15" customHeight="1">
      <c r="A119" s="182" t="s">
        <v>20</v>
      </c>
      <c r="B119" s="182"/>
      <c r="C119" s="182"/>
      <c r="D119" s="182"/>
      <c r="E119" s="182"/>
      <c r="F119" s="182"/>
      <c r="G119" s="182"/>
      <c r="H119" s="182"/>
      <c r="I119" s="182"/>
    </row>
  </sheetData>
  <autoFilter ref="I12:I60"/>
  <mergeCells count="29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8:I28"/>
    <mergeCell ref="A44:I44"/>
    <mergeCell ref="A55:I55"/>
    <mergeCell ref="A87:I87"/>
    <mergeCell ref="A99:I99"/>
    <mergeCell ref="B100:G100"/>
    <mergeCell ref="B101:G101"/>
    <mergeCell ref="A103:I103"/>
    <mergeCell ref="A104:I104"/>
    <mergeCell ref="R66:U66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4"/>
  <sheetViews>
    <sheetView topLeftCell="A59" zoomScaleNormal="100" workbookViewId="0">
      <selection activeCell="I101" sqref="I101"/>
    </sheetView>
  </sheetViews>
  <sheetFormatPr defaultRowHeight="15"/>
  <cols>
    <col min="1" max="1" width="11.140625" customWidth="1"/>
    <col min="2" max="2" width="56.7109375" customWidth="1"/>
    <col min="3" max="3" width="18.7109375" customWidth="1"/>
    <col min="4" max="4" width="28.28515625" customWidth="1"/>
    <col min="5" max="5" width="0" hidden="1" customWidth="1"/>
    <col min="6" max="6" width="14.28515625" hidden="1" customWidth="1"/>
    <col min="7" max="7" width="17.28515625" customWidth="1"/>
    <col min="8" max="8" width="0" hidden="1" customWidth="1"/>
    <col min="9" max="9" width="16.42578125" customWidth="1"/>
  </cols>
  <sheetData>
    <row r="1" spans="1:9" ht="15.75">
      <c r="A1" s="28" t="s">
        <v>159</v>
      </c>
      <c r="I1" s="27"/>
    </row>
    <row r="2" spans="1:9" ht="15.75">
      <c r="A2" s="29" t="s">
        <v>60</v>
      </c>
    </row>
    <row r="3" spans="1:9" ht="15.75">
      <c r="A3" s="196" t="s">
        <v>160</v>
      </c>
      <c r="B3" s="196"/>
      <c r="C3" s="196"/>
      <c r="D3" s="196"/>
      <c r="E3" s="196"/>
      <c r="F3" s="196"/>
      <c r="G3" s="196"/>
      <c r="H3" s="196"/>
      <c r="I3" s="196"/>
    </row>
    <row r="4" spans="1:9" ht="32.2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9" ht="15.75">
      <c r="A5" s="196" t="s">
        <v>250</v>
      </c>
      <c r="B5" s="198"/>
      <c r="C5" s="198"/>
      <c r="D5" s="198"/>
      <c r="E5" s="198"/>
      <c r="F5" s="198"/>
      <c r="G5" s="198"/>
      <c r="H5" s="198"/>
      <c r="I5" s="198"/>
    </row>
    <row r="6" spans="1:9" ht="15.75">
      <c r="A6" s="2"/>
      <c r="B6" s="165"/>
      <c r="C6" s="165"/>
      <c r="D6" s="165"/>
      <c r="E6" s="165"/>
      <c r="F6" s="165"/>
      <c r="G6" s="165"/>
      <c r="H6" s="165"/>
      <c r="I6" s="31">
        <v>44408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80.25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</row>
    <row r="9" spans="1:9" ht="15.75">
      <c r="A9" s="4"/>
    </row>
    <row r="10" spans="1:9" ht="60.7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</row>
    <row r="15" spans="1:9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</row>
    <row r="16" spans="1:9" ht="17.2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 ht="1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idden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</row>
    <row r="20" spans="1:9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>
      <c r="A21" s="30">
        <v>5</v>
      </c>
      <c r="B21" s="35" t="s">
        <v>91</v>
      </c>
      <c r="C21" s="46" t="s">
        <v>80</v>
      </c>
      <c r="D21" s="35" t="s">
        <v>164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</row>
    <row r="22" spans="1:9">
      <c r="A22" s="30">
        <v>6</v>
      </c>
      <c r="B22" s="35" t="s">
        <v>92</v>
      </c>
      <c r="C22" s="46" t="s">
        <v>51</v>
      </c>
      <c r="D22" s="35" t="s">
        <v>178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f>G22*F22</f>
        <v>915.33888000000002</v>
      </c>
    </row>
    <row r="23" spans="1:9">
      <c r="A23" s="30">
        <v>7</v>
      </c>
      <c r="B23" s="35" t="s">
        <v>93</v>
      </c>
      <c r="C23" s="46" t="s">
        <v>51</v>
      </c>
      <c r="D23" s="35" t="s">
        <v>178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f>G23*F23</f>
        <v>14.026319999999998</v>
      </c>
    </row>
    <row r="24" spans="1:9">
      <c r="A24" s="30">
        <v>8</v>
      </c>
      <c r="B24" s="35" t="s">
        <v>94</v>
      </c>
      <c r="C24" s="46" t="s">
        <v>51</v>
      </c>
      <c r="D24" s="35" t="s">
        <v>164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f>G24*F24</f>
        <v>51.112000000000002</v>
      </c>
    </row>
    <row r="25" spans="1:9" ht="30">
      <c r="A25" s="30">
        <v>9</v>
      </c>
      <c r="B25" s="35" t="s">
        <v>96</v>
      </c>
      <c r="C25" s="46" t="s">
        <v>51</v>
      </c>
      <c r="D25" s="35" t="s">
        <v>171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f>G25*F25</f>
        <v>26.9268</v>
      </c>
    </row>
    <row r="26" spans="1:9">
      <c r="A26" s="30">
        <v>10</v>
      </c>
      <c r="B26" s="35" t="s">
        <v>97</v>
      </c>
      <c r="C26" s="46" t="s">
        <v>51</v>
      </c>
      <c r="D26" s="35" t="s">
        <v>180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f>G26*F26</f>
        <v>29.029624999999999</v>
      </c>
    </row>
    <row r="27" spans="1:9" ht="19.5" hidden="1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202" t="s">
        <v>78</v>
      </c>
      <c r="B28" s="203"/>
      <c r="C28" s="203"/>
      <c r="D28" s="203"/>
      <c r="E28" s="203"/>
      <c r="F28" s="203"/>
      <c r="G28" s="203"/>
      <c r="H28" s="203"/>
      <c r="I28" s="204"/>
    </row>
    <row r="29" spans="1:9" ht="18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t="15" customHeight="1">
      <c r="A30" s="30">
        <v>11</v>
      </c>
      <c r="B30" s="81" t="s">
        <v>100</v>
      </c>
      <c r="C30" s="46" t="s">
        <v>83</v>
      </c>
      <c r="D30" s="35" t="s">
        <v>169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</row>
    <row r="31" spans="1:9" ht="35.25" customHeight="1">
      <c r="A31" s="30">
        <v>12</v>
      </c>
      <c r="B31" s="81" t="s">
        <v>99</v>
      </c>
      <c r="C31" s="46" t="s">
        <v>83</v>
      </c>
      <c r="D31" s="35" t="s">
        <v>168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idden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t="15" customHeight="1">
      <c r="A33" s="30">
        <v>13</v>
      </c>
      <c r="B33" s="81" t="s">
        <v>124</v>
      </c>
      <c r="C33" s="46" t="s">
        <v>39</v>
      </c>
      <c r="D33" s="35" t="s">
        <v>173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idden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</row>
    <row r="35" spans="1:9" hidden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</row>
    <row r="36" spans="1:9" hidden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</row>
    <row r="37" spans="1:9" hidden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</row>
    <row r="38" spans="1:9" hidden="1">
      <c r="A38" s="30">
        <v>9</v>
      </c>
      <c r="B38" s="36" t="s">
        <v>137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</row>
    <row r="39" spans="1:9" hidden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</row>
    <row r="40" spans="1:9" hidden="1">
      <c r="A40" s="30"/>
      <c r="B40" s="35" t="s">
        <v>138</v>
      </c>
      <c r="C40" s="46" t="s">
        <v>139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</row>
    <row r="41" spans="1:9" ht="45" hidden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</row>
    <row r="42" spans="1:9" hidden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</row>
    <row r="43" spans="1:9" hidden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</row>
    <row r="44" spans="1:9" hidden="1">
      <c r="A44" s="202" t="s">
        <v>120</v>
      </c>
      <c r="B44" s="203"/>
      <c r="C44" s="203"/>
      <c r="D44" s="203"/>
      <c r="E44" s="203"/>
      <c r="F44" s="203"/>
      <c r="G44" s="203"/>
      <c r="H44" s="203"/>
      <c r="I44" s="204"/>
    </row>
    <row r="45" spans="1:9" hidden="1">
      <c r="A45" s="30"/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</row>
    <row r="46" spans="1:9" hidden="1">
      <c r="A46" s="30"/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</row>
    <row r="47" spans="1:9" hidden="1">
      <c r="A47" s="30"/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</row>
    <row r="48" spans="1:9" hidden="1">
      <c r="A48" s="30"/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</row>
    <row r="49" spans="1:9" hidden="1">
      <c r="A49" s="30"/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</row>
    <row r="50" spans="1:9" hidden="1">
      <c r="A50" s="30">
        <v>11</v>
      </c>
      <c r="B50" s="35" t="s">
        <v>54</v>
      </c>
      <c r="C50" s="46" t="s">
        <v>83</v>
      </c>
      <c r="D50" s="35" t="s">
        <v>125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</row>
    <row r="51" spans="1:9" ht="30" hidden="1">
      <c r="A51" s="30"/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</row>
    <row r="52" spans="1:9" ht="30" hidden="1">
      <c r="A52" s="30"/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</row>
    <row r="53" spans="1:9" hidden="1">
      <c r="A53" s="30"/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</row>
    <row r="54" spans="1:9" hidden="1">
      <c r="A54" s="109">
        <v>12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</row>
    <row r="55" spans="1:9">
      <c r="A55" s="195" t="s">
        <v>128</v>
      </c>
      <c r="B55" s="195"/>
      <c r="C55" s="195"/>
      <c r="D55" s="195"/>
      <c r="E55" s="195"/>
      <c r="F55" s="195"/>
      <c r="G55" s="195"/>
      <c r="H55" s="195"/>
      <c r="I55" s="195"/>
    </row>
    <row r="56" spans="1:9" hidden="1">
      <c r="A56" s="30"/>
      <c r="B56" s="166" t="s">
        <v>42</v>
      </c>
      <c r="C56" s="16"/>
      <c r="D56" s="14"/>
      <c r="E56" s="18"/>
      <c r="F56" s="13"/>
      <c r="G56" s="13"/>
      <c r="H56" s="13"/>
      <c r="I56" s="13"/>
    </row>
    <row r="57" spans="1:9" ht="30" hidden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</row>
    <row r="58" spans="1:9" ht="15.75" hidden="1" customHeight="1">
      <c r="A58" s="30">
        <v>11</v>
      </c>
      <c r="B58" s="41" t="s">
        <v>140</v>
      </c>
      <c r="C58" s="42" t="s">
        <v>141</v>
      </c>
      <c r="D58" s="41" t="s">
        <v>181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f>G58*3</f>
        <v>4746.1499999999996</v>
      </c>
    </row>
    <row r="59" spans="1:9" ht="17.25" customHeight="1">
      <c r="A59" s="30"/>
      <c r="B59" s="166" t="s">
        <v>43</v>
      </c>
      <c r="C59" s="16"/>
      <c r="D59" s="14"/>
      <c r="E59" s="18"/>
      <c r="F59" s="13"/>
      <c r="G59" s="13"/>
      <c r="H59" s="13"/>
      <c r="I59" s="13"/>
    </row>
    <row r="60" spans="1:9" hidden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9" ht="15" customHeight="1">
      <c r="A61" s="30">
        <v>14</v>
      </c>
      <c r="B61" s="41" t="s">
        <v>142</v>
      </c>
      <c r="C61" s="42" t="s">
        <v>143</v>
      </c>
      <c r="D61" s="41" t="s">
        <v>164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9" hidden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9" hidden="1">
      <c r="A63" s="30">
        <v>12</v>
      </c>
      <c r="B63" s="58" t="s">
        <v>45</v>
      </c>
      <c r="C63" s="42" t="s">
        <v>102</v>
      </c>
      <c r="D63" s="41" t="s">
        <v>64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G63*4</f>
        <v>1166.72</v>
      </c>
    </row>
    <row r="64" spans="1:9" hidden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</row>
    <row r="65" spans="1:9" hidden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</row>
    <row r="66" spans="1:9" hidden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</row>
    <row r="67" spans="1:9" hidden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</row>
    <row r="68" spans="1:9" hidden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9" hidden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9" hidden="1">
      <c r="A70" s="30">
        <v>13</v>
      </c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9" ht="18" customHeight="1">
      <c r="A71" s="30"/>
      <c r="B71" s="166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9" hidden="1">
      <c r="A72" s="30"/>
      <c r="B72" s="14" t="s">
        <v>144</v>
      </c>
      <c r="C72" s="16" t="s">
        <v>145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9" hidden="1">
      <c r="A73" s="30"/>
      <c r="B73" s="14" t="s">
        <v>146</v>
      </c>
      <c r="C73" s="16" t="s">
        <v>147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9" hidden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9" hidden="1">
      <c r="A75" s="30"/>
      <c r="B75" s="14" t="s">
        <v>148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9" hidden="1">
      <c r="A76" s="30"/>
      <c r="B76" s="56" t="s">
        <v>149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9" ht="30" customHeight="1">
      <c r="A77" s="30">
        <v>15</v>
      </c>
      <c r="B77" s="56" t="s">
        <v>150</v>
      </c>
      <c r="C77" s="57" t="s">
        <v>102</v>
      </c>
      <c r="D77" s="14" t="s">
        <v>164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9" ht="33" customHeight="1">
      <c r="A78" s="30">
        <v>16</v>
      </c>
      <c r="B78" s="56" t="s">
        <v>151</v>
      </c>
      <c r="C78" s="57" t="s">
        <v>102</v>
      </c>
      <c r="D78" s="14" t="s">
        <v>171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9" hidden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9" hidden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28.5" hidden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idden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>
      <c r="A83" s="195" t="s">
        <v>129</v>
      </c>
      <c r="B83" s="195"/>
      <c r="C83" s="195"/>
      <c r="D83" s="195"/>
      <c r="E83" s="195"/>
      <c r="F83" s="195"/>
      <c r="G83" s="195"/>
      <c r="H83" s="195"/>
      <c r="I83" s="195"/>
    </row>
    <row r="84" spans="1:9" ht="17.25" customHeight="1">
      <c r="A84" s="30">
        <v>17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0" customHeight="1">
      <c r="A85" s="30">
        <v>18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I85+I84+I78+I77+I61+I33+I31+I30+I26+I25+I24+I23+I22+I21+I20+I18+I17+I16</f>
        <v>25211.26400066667</v>
      </c>
    </row>
    <row r="87" spans="1:9">
      <c r="A87" s="184" t="s">
        <v>58</v>
      </c>
      <c r="B87" s="185"/>
      <c r="C87" s="185"/>
      <c r="D87" s="185"/>
      <c r="E87" s="185"/>
      <c r="F87" s="185"/>
      <c r="G87" s="185"/>
      <c r="H87" s="185"/>
      <c r="I87" s="186"/>
    </row>
    <row r="88" spans="1:9" ht="21" customHeight="1">
      <c r="A88" s="30">
        <v>19</v>
      </c>
      <c r="B88" s="134" t="s">
        <v>251</v>
      </c>
      <c r="C88" s="61" t="s">
        <v>116</v>
      </c>
      <c r="D88" s="41" t="s">
        <v>254</v>
      </c>
      <c r="E88" s="17"/>
      <c r="F88" s="39">
        <v>2</v>
      </c>
      <c r="G88" s="39">
        <v>138.44999999999999</v>
      </c>
      <c r="H88" s="79"/>
      <c r="I88" s="13">
        <f>G88*2</f>
        <v>276.89999999999998</v>
      </c>
    </row>
    <row r="89" spans="1:9" ht="13.5" customHeight="1">
      <c r="A89" s="30">
        <v>20</v>
      </c>
      <c r="B89" s="134" t="s">
        <v>252</v>
      </c>
      <c r="C89" s="61" t="s">
        <v>196</v>
      </c>
      <c r="D89" s="41"/>
      <c r="E89" s="17"/>
      <c r="F89" s="39">
        <v>0.1</v>
      </c>
      <c r="G89" s="39">
        <v>613.53</v>
      </c>
      <c r="H89" s="79"/>
      <c r="I89" s="13">
        <f>G89*0.1</f>
        <v>61.353000000000002</v>
      </c>
    </row>
    <row r="90" spans="1:9" ht="15" customHeight="1">
      <c r="A90" s="30">
        <v>21</v>
      </c>
      <c r="B90" s="134" t="s">
        <v>239</v>
      </c>
      <c r="C90" s="61" t="s">
        <v>162</v>
      </c>
      <c r="D90" s="41" t="s">
        <v>253</v>
      </c>
      <c r="E90" s="17"/>
      <c r="F90" s="39">
        <v>12</v>
      </c>
      <c r="G90" s="39">
        <v>295.36</v>
      </c>
      <c r="H90" s="79"/>
      <c r="I90" s="13">
        <v>0</v>
      </c>
    </row>
    <row r="91" spans="1:9" ht="18" customHeight="1">
      <c r="A91" s="30"/>
      <c r="B91" s="50" t="s">
        <v>50</v>
      </c>
      <c r="C91" s="57"/>
      <c r="D91" s="52"/>
      <c r="E91" s="13"/>
      <c r="F91" s="13"/>
      <c r="G91" s="13"/>
      <c r="H91" s="80"/>
      <c r="I91" s="87">
        <f>SUM(I88:I90)</f>
        <v>338.25299999999999</v>
      </c>
    </row>
    <row r="92" spans="1:9">
      <c r="A92" s="30"/>
      <c r="B92" s="52" t="s">
        <v>75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134</v>
      </c>
      <c r="C93" s="38"/>
      <c r="D93" s="38"/>
      <c r="E93" s="38"/>
      <c r="F93" s="38"/>
      <c r="G93" s="38"/>
      <c r="H93" s="38"/>
      <c r="I93" s="49">
        <f>I86+I91</f>
        <v>25549.51700066667</v>
      </c>
    </row>
    <row r="94" spans="1:9" ht="15.75">
      <c r="A94" s="187" t="s">
        <v>255</v>
      </c>
      <c r="B94" s="187"/>
      <c r="C94" s="187"/>
      <c r="D94" s="187"/>
      <c r="E94" s="187"/>
      <c r="F94" s="187"/>
      <c r="G94" s="187"/>
      <c r="H94" s="187"/>
      <c r="I94" s="187"/>
    </row>
    <row r="95" spans="1:9" ht="15.75">
      <c r="A95" s="68"/>
      <c r="B95" s="188" t="s">
        <v>256</v>
      </c>
      <c r="C95" s="188"/>
      <c r="D95" s="188"/>
      <c r="E95" s="188"/>
      <c r="F95" s="188"/>
      <c r="G95" s="188"/>
      <c r="H95" s="78"/>
      <c r="I95" s="3"/>
    </row>
    <row r="96" spans="1:9">
      <c r="A96" s="161"/>
      <c r="B96" s="189" t="s">
        <v>6</v>
      </c>
      <c r="C96" s="189"/>
      <c r="D96" s="189"/>
      <c r="E96" s="189"/>
      <c r="F96" s="189"/>
      <c r="G96" s="189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90" t="s">
        <v>7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>
      <c r="A99" s="190" t="s">
        <v>8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>
      <c r="A100" s="191" t="s">
        <v>59</v>
      </c>
      <c r="B100" s="191"/>
      <c r="C100" s="191"/>
      <c r="D100" s="191"/>
      <c r="E100" s="191"/>
      <c r="F100" s="191"/>
      <c r="G100" s="191"/>
      <c r="H100" s="191"/>
      <c r="I100" s="191"/>
    </row>
    <row r="101" spans="1:9" ht="15.75">
      <c r="A101" s="11"/>
    </row>
    <row r="102" spans="1:9" ht="15.75">
      <c r="A102" s="192" t="s">
        <v>9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5.75">
      <c r="A103" s="4"/>
    </row>
    <row r="104" spans="1:9" ht="15.75">
      <c r="B104" s="163" t="s">
        <v>10</v>
      </c>
      <c r="C104" s="193" t="s">
        <v>195</v>
      </c>
      <c r="D104" s="193"/>
      <c r="E104" s="193"/>
      <c r="F104" s="76"/>
      <c r="I104" s="164"/>
    </row>
    <row r="105" spans="1:9">
      <c r="A105" s="161"/>
      <c r="C105" s="189" t="s">
        <v>11</v>
      </c>
      <c r="D105" s="189"/>
      <c r="E105" s="189"/>
      <c r="F105" s="25"/>
      <c r="I105" s="162" t="s">
        <v>12</v>
      </c>
    </row>
    <row r="106" spans="1:9" ht="15.75">
      <c r="A106" s="26"/>
      <c r="C106" s="12"/>
      <c r="D106" s="12"/>
      <c r="G106" s="12"/>
      <c r="H106" s="12"/>
    </row>
    <row r="107" spans="1:9" ht="15.75">
      <c r="B107" s="163" t="s">
        <v>13</v>
      </c>
      <c r="C107" s="194"/>
      <c r="D107" s="194"/>
      <c r="E107" s="194"/>
      <c r="F107" s="77"/>
      <c r="I107" s="164"/>
    </row>
    <row r="108" spans="1:9">
      <c r="A108" s="161"/>
      <c r="C108" s="183" t="s">
        <v>11</v>
      </c>
      <c r="D108" s="183"/>
      <c r="E108" s="183"/>
      <c r="F108" s="161"/>
      <c r="I108" s="162" t="s">
        <v>12</v>
      </c>
    </row>
    <row r="109" spans="1:9" ht="15.75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4.25" customHeight="1">
      <c r="A111" s="182" t="s">
        <v>16</v>
      </c>
      <c r="B111" s="182"/>
      <c r="C111" s="182"/>
      <c r="D111" s="182"/>
      <c r="E111" s="182"/>
      <c r="F111" s="182"/>
      <c r="G111" s="182"/>
      <c r="H111" s="182"/>
      <c r="I111" s="182"/>
    </row>
    <row r="112" spans="1:9" ht="45" customHeight="1">
      <c r="A112" s="182" t="s">
        <v>17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5.25" customHeight="1">
      <c r="A113" s="182" t="s">
        <v>21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15.75">
      <c r="A114" s="182" t="s">
        <v>20</v>
      </c>
      <c r="B114" s="182"/>
      <c r="C114" s="182"/>
      <c r="D114" s="182"/>
      <c r="E114" s="182"/>
      <c r="F114" s="182"/>
      <c r="G114" s="182"/>
      <c r="H114" s="182"/>
      <c r="I114" s="182"/>
    </row>
  </sheetData>
  <mergeCells count="28"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3:I83"/>
    <mergeCell ref="C108:E10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110:I110"/>
    <mergeCell ref="A111:I111"/>
    <mergeCell ref="A112:I112"/>
    <mergeCell ref="A113:I113"/>
    <mergeCell ref="A114:I114"/>
  </mergeCells>
  <pageMargins left="0.70866141732283472" right="0" top="0.74803149606299213" bottom="0.74803149606299213" header="0.31496062992125984" footer="0.31496062992125984"/>
  <pageSetup paperSize="9" scale="61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topLeftCell="A77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130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257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44439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188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F16/156*11*G16</f>
        <v>955.83400000000006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174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F17/104*7*G17</f>
        <v>2433.0319999999997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5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202" t="s">
        <v>78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5</v>
      </c>
      <c r="B30" s="81" t="s">
        <v>100</v>
      </c>
      <c r="C30" s="46" t="s">
        <v>83</v>
      </c>
      <c r="D30" s="35" t="s">
        <v>169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6</v>
      </c>
      <c r="B31" s="81" t="s">
        <v>99</v>
      </c>
      <c r="C31" s="46" t="s">
        <v>83</v>
      </c>
      <c r="D31" s="35" t="s">
        <v>168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7</v>
      </c>
      <c r="B33" s="81" t="s">
        <v>124</v>
      </c>
      <c r="C33" s="46" t="s">
        <v>39</v>
      </c>
      <c r="D33" s="35" t="s">
        <v>173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137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138</v>
      </c>
      <c r="C40" s="46" t="s">
        <v>139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customHeight="1">
      <c r="A44" s="202" t="s">
        <v>120</v>
      </c>
      <c r="B44" s="203"/>
      <c r="C44" s="203"/>
      <c r="D44" s="203"/>
      <c r="E44" s="203"/>
      <c r="F44" s="203"/>
      <c r="G44" s="203"/>
      <c r="H44" s="203"/>
      <c r="I44" s="204"/>
      <c r="J44" s="24"/>
      <c r="L44" s="19"/>
      <c r="M44" s="20"/>
      <c r="N44" s="21"/>
    </row>
    <row r="45" spans="1:14" ht="15.75" hidden="1" customHeight="1">
      <c r="A45" s="30"/>
      <c r="B45" s="35" t="s">
        <v>101</v>
      </c>
      <c r="C45" s="46" t="s">
        <v>83</v>
      </c>
      <c r="D45" s="35" t="s">
        <v>41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35" t="s">
        <v>34</v>
      </c>
      <c r="C46" s="46" t="s">
        <v>83</v>
      </c>
      <c r="D46" s="35" t="s">
        <v>41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35" t="s">
        <v>35</v>
      </c>
      <c r="C47" s="46" t="s">
        <v>83</v>
      </c>
      <c r="D47" s="35" t="s">
        <v>41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36</v>
      </c>
      <c r="C48" s="46" t="s">
        <v>83</v>
      </c>
      <c r="D48" s="35" t="s">
        <v>41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35" t="s">
        <v>32</v>
      </c>
      <c r="C49" s="46" t="s">
        <v>33</v>
      </c>
      <c r="D49" s="35" t="s">
        <v>41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11</v>
      </c>
      <c r="B50" s="35" t="s">
        <v>54</v>
      </c>
      <c r="C50" s="46" t="s">
        <v>83</v>
      </c>
      <c r="D50" s="35" t="s">
        <v>125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hidden="1" customHeight="1">
      <c r="A51" s="30"/>
      <c r="B51" s="35" t="s">
        <v>84</v>
      </c>
      <c r="C51" s="46" t="s">
        <v>83</v>
      </c>
      <c r="D51" s="35" t="s">
        <v>41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35" t="s">
        <v>85</v>
      </c>
      <c r="C52" s="46" t="s">
        <v>37</v>
      </c>
      <c r="D52" s="35" t="s">
        <v>41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35" t="s">
        <v>38</v>
      </c>
      <c r="C53" s="46" t="s">
        <v>39</v>
      </c>
      <c r="D53" s="35" t="s">
        <v>41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customHeight="1">
      <c r="A54" s="109">
        <v>8</v>
      </c>
      <c r="B54" s="105" t="s">
        <v>40</v>
      </c>
      <c r="C54" s="106" t="s">
        <v>102</v>
      </c>
      <c r="D54" s="167">
        <v>44439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5" t="s">
        <v>119</v>
      </c>
      <c r="B55" s="195"/>
      <c r="C55" s="195"/>
      <c r="D55" s="195"/>
      <c r="E55" s="195"/>
      <c r="F55" s="195"/>
      <c r="G55" s="195"/>
      <c r="H55" s="195"/>
      <c r="I55" s="195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140</v>
      </c>
      <c r="C58" s="42" t="s">
        <v>141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9</v>
      </c>
      <c r="B61" s="41" t="s">
        <v>142</v>
      </c>
      <c r="C61" s="42" t="s">
        <v>143</v>
      </c>
      <c r="D61" s="41" t="s">
        <v>164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4.2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customHeight="1">
      <c r="A63" s="30">
        <v>10</v>
      </c>
      <c r="B63" s="58" t="s">
        <v>45</v>
      </c>
      <c r="C63" s="42" t="s">
        <v>102</v>
      </c>
      <c r="D63" s="41" t="s">
        <v>172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G63*5</f>
        <v>1458.4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9.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2.5" hidden="1" customHeight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2.5" hidden="1" customHeight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83"/>
      <c r="S66" s="183"/>
      <c r="T66" s="183"/>
      <c r="U66" s="183"/>
    </row>
    <row r="67" spans="1:21" ht="21.75" hidden="1" customHeight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0.25" hidden="1" customHeight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21" ht="18" hidden="1" customHeight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21" ht="18" hidden="1" customHeight="1">
      <c r="A70" s="30"/>
      <c r="B70" s="41" t="s">
        <v>55</v>
      </c>
      <c r="C70" s="42" t="s">
        <v>56</v>
      </c>
      <c r="D70" s="41" t="s">
        <v>52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v>0</v>
      </c>
    </row>
    <row r="71" spans="1:21" ht="15.75" customHeight="1">
      <c r="A71" s="30"/>
      <c r="B71" s="69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144</v>
      </c>
      <c r="C72" s="16" t="s">
        <v>145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146</v>
      </c>
      <c r="C73" s="16" t="s">
        <v>147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148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149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11</v>
      </c>
      <c r="B77" s="56" t="s">
        <v>150</v>
      </c>
      <c r="C77" s="57" t="s">
        <v>102</v>
      </c>
      <c r="D77" s="14" t="s">
        <v>164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12</v>
      </c>
      <c r="B78" s="56" t="s">
        <v>151</v>
      </c>
      <c r="C78" s="57" t="s">
        <v>102</v>
      </c>
      <c r="D78" s="14" t="s">
        <v>171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5" t="s">
        <v>118</v>
      </c>
      <c r="B83" s="195"/>
      <c r="C83" s="195"/>
      <c r="D83" s="195"/>
      <c r="E83" s="195"/>
      <c r="F83" s="195"/>
      <c r="G83" s="195"/>
      <c r="H83" s="195"/>
      <c r="I83" s="195"/>
    </row>
    <row r="84" spans="1:9" ht="15.75" customHeight="1">
      <c r="A84" s="30">
        <v>13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14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I85+I84+I78+I77+I63+I61+I54+I33+I31+I30+I20+I18+I17+I16</f>
        <v>31764.496162333333</v>
      </c>
    </row>
    <row r="87" spans="1:9" ht="15.75" customHeight="1">
      <c r="A87" s="184" t="s">
        <v>58</v>
      </c>
      <c r="B87" s="185"/>
      <c r="C87" s="185"/>
      <c r="D87" s="185"/>
      <c r="E87" s="185"/>
      <c r="F87" s="185"/>
      <c r="G87" s="185"/>
      <c r="H87" s="185"/>
      <c r="I87" s="186"/>
    </row>
    <row r="88" spans="1:9" ht="18.75" customHeight="1">
      <c r="A88" s="30">
        <v>15</v>
      </c>
      <c r="B88" s="134" t="s">
        <v>258</v>
      </c>
      <c r="C88" s="61" t="s">
        <v>28</v>
      </c>
      <c r="D88" s="41"/>
      <c r="E88" s="17"/>
      <c r="F88" s="39">
        <v>0.161</v>
      </c>
      <c r="G88" s="39">
        <v>4683.09</v>
      </c>
      <c r="H88" s="79"/>
      <c r="I88" s="13">
        <f>G88*0.161</f>
        <v>753.97748999999999</v>
      </c>
    </row>
    <row r="89" spans="1:9" ht="20.25" customHeight="1">
      <c r="A89" s="30">
        <v>16</v>
      </c>
      <c r="B89" s="160" t="s">
        <v>243</v>
      </c>
      <c r="C89" s="158" t="s">
        <v>88</v>
      </c>
      <c r="D89" s="41" t="s">
        <v>184</v>
      </c>
      <c r="E89" s="17"/>
      <c r="F89" s="39">
        <v>0.1</v>
      </c>
      <c r="G89" s="39">
        <v>48874.7</v>
      </c>
      <c r="H89" s="79"/>
      <c r="I89" s="13">
        <f>G89*0.04</f>
        <v>1954.9879999999998</v>
      </c>
    </row>
    <row r="90" spans="1:9" ht="15.75" customHeight="1">
      <c r="A90" s="30">
        <v>17</v>
      </c>
      <c r="B90" s="134" t="s">
        <v>259</v>
      </c>
      <c r="C90" s="61" t="s">
        <v>102</v>
      </c>
      <c r="D90" s="41"/>
      <c r="E90" s="17"/>
      <c r="F90" s="39">
        <v>1</v>
      </c>
      <c r="G90" s="39">
        <v>224.48</v>
      </c>
      <c r="H90" s="79"/>
      <c r="I90" s="13">
        <f>G90*1</f>
        <v>224.48</v>
      </c>
    </row>
    <row r="91" spans="1:9" ht="15.75" customHeight="1">
      <c r="A91" s="30"/>
      <c r="B91" s="50" t="s">
        <v>50</v>
      </c>
      <c r="C91" s="57"/>
      <c r="D91" s="52"/>
      <c r="E91" s="13"/>
      <c r="F91" s="13"/>
      <c r="G91" s="13"/>
      <c r="H91" s="80"/>
      <c r="I91" s="87">
        <f>SUM(I88:I90)</f>
        <v>2933.4454899999996</v>
      </c>
    </row>
    <row r="92" spans="1:9">
      <c r="A92" s="30"/>
      <c r="B92" s="52" t="s">
        <v>75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134</v>
      </c>
      <c r="C93" s="38"/>
      <c r="D93" s="38"/>
      <c r="E93" s="38"/>
      <c r="F93" s="38"/>
      <c r="G93" s="38"/>
      <c r="H93" s="38"/>
      <c r="I93" s="49">
        <f>I86+I91</f>
        <v>34697.941652333335</v>
      </c>
    </row>
    <row r="94" spans="1:9">
      <c r="A94" s="205"/>
      <c r="B94" s="206"/>
      <c r="C94" s="206"/>
      <c r="D94" s="206"/>
      <c r="E94" s="206"/>
      <c r="F94" s="206"/>
      <c r="G94" s="206"/>
      <c r="H94" s="206"/>
      <c r="I94" s="206"/>
    </row>
    <row r="95" spans="1:9" ht="15.75" customHeight="1">
      <c r="A95" s="187" t="s">
        <v>260</v>
      </c>
      <c r="B95" s="187"/>
      <c r="C95" s="187"/>
      <c r="D95" s="187"/>
      <c r="E95" s="187"/>
      <c r="F95" s="187"/>
      <c r="G95" s="187"/>
      <c r="H95" s="187"/>
      <c r="I95" s="187"/>
    </row>
    <row r="96" spans="1:9" ht="15.75" customHeight="1">
      <c r="A96" s="68"/>
      <c r="B96" s="188" t="s">
        <v>261</v>
      </c>
      <c r="C96" s="188"/>
      <c r="D96" s="188"/>
      <c r="E96" s="188"/>
      <c r="F96" s="188"/>
      <c r="G96" s="188"/>
      <c r="H96" s="78"/>
      <c r="I96" s="3"/>
    </row>
    <row r="97" spans="1:9">
      <c r="A97" s="74"/>
      <c r="B97" s="189" t="s">
        <v>6</v>
      </c>
      <c r="C97" s="189"/>
      <c r="D97" s="189"/>
      <c r="E97" s="189"/>
      <c r="F97" s="189"/>
      <c r="G97" s="189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90" t="s">
        <v>7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90" t="s">
        <v>8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>
      <c r="A101" s="191" t="s">
        <v>59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>
      <c r="A102" s="11"/>
    </row>
    <row r="103" spans="1:9" ht="15.75" customHeight="1">
      <c r="A103" s="192" t="s">
        <v>9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4"/>
    </row>
    <row r="105" spans="1:9" ht="15.75" customHeight="1">
      <c r="B105" s="71" t="s">
        <v>10</v>
      </c>
      <c r="C105" s="193" t="s">
        <v>195</v>
      </c>
      <c r="D105" s="193"/>
      <c r="E105" s="193"/>
      <c r="F105" s="76"/>
      <c r="I105" s="73"/>
    </row>
    <row r="106" spans="1:9" ht="15.75" customHeight="1">
      <c r="A106" s="74"/>
      <c r="C106" s="189" t="s">
        <v>11</v>
      </c>
      <c r="D106" s="189"/>
      <c r="E106" s="189"/>
      <c r="F106" s="25"/>
      <c r="I106" s="72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71" t="s">
        <v>13</v>
      </c>
      <c r="C108" s="194"/>
      <c r="D108" s="194"/>
      <c r="E108" s="194"/>
      <c r="F108" s="77"/>
      <c r="I108" s="73"/>
    </row>
    <row r="109" spans="1:9">
      <c r="A109" s="74"/>
      <c r="C109" s="183" t="s">
        <v>11</v>
      </c>
      <c r="D109" s="183"/>
      <c r="E109" s="183"/>
      <c r="F109" s="74"/>
      <c r="I109" s="72" t="s">
        <v>12</v>
      </c>
    </row>
    <row r="110" spans="1:9" ht="15.75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82" t="s">
        <v>16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0" customHeight="1">
      <c r="A113" s="182" t="s">
        <v>17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21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5" customHeight="1">
      <c r="A115" s="182" t="s">
        <v>20</v>
      </c>
      <c r="B115" s="182"/>
      <c r="C115" s="182"/>
      <c r="D115" s="182"/>
      <c r="E115" s="182"/>
      <c r="F115" s="182"/>
      <c r="G115" s="182"/>
      <c r="H115" s="182"/>
      <c r="I115" s="182"/>
    </row>
  </sheetData>
  <autoFilter ref="I12:I60"/>
  <mergeCells count="30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94:I94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opLeftCell="A70" workbookViewId="0">
      <selection activeCell="G107" sqref="G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159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96" t="s">
        <v>131</v>
      </c>
      <c r="B3" s="196"/>
      <c r="C3" s="196"/>
      <c r="D3" s="196"/>
      <c r="E3" s="196"/>
      <c r="F3" s="196"/>
      <c r="G3" s="196"/>
      <c r="H3" s="196"/>
      <c r="I3" s="196"/>
      <c r="J3" s="3"/>
      <c r="K3" s="3"/>
      <c r="L3" s="3"/>
    </row>
    <row r="4" spans="1:13" ht="31.5" customHeight="1">
      <c r="A4" s="197" t="s">
        <v>117</v>
      </c>
      <c r="B4" s="197"/>
      <c r="C4" s="197"/>
      <c r="D4" s="197"/>
      <c r="E4" s="197"/>
      <c r="F4" s="197"/>
      <c r="G4" s="197"/>
      <c r="H4" s="197"/>
      <c r="I4" s="197"/>
    </row>
    <row r="5" spans="1:13" ht="15.75">
      <c r="A5" s="196" t="s">
        <v>262</v>
      </c>
      <c r="B5" s="198"/>
      <c r="C5" s="198"/>
      <c r="D5" s="198"/>
      <c r="E5" s="198"/>
      <c r="F5" s="198"/>
      <c r="G5" s="198"/>
      <c r="H5" s="198"/>
      <c r="I5" s="198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44469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9" t="s">
        <v>190</v>
      </c>
      <c r="B8" s="199"/>
      <c r="C8" s="199"/>
      <c r="D8" s="199"/>
      <c r="E8" s="199"/>
      <c r="F8" s="199"/>
      <c r="G8" s="199"/>
      <c r="H8" s="199"/>
      <c r="I8" s="19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200" t="s">
        <v>133</v>
      </c>
      <c r="B10" s="200"/>
      <c r="C10" s="200"/>
      <c r="D10" s="200"/>
      <c r="E10" s="200"/>
      <c r="F10" s="200"/>
      <c r="G10" s="200"/>
      <c r="H10" s="200"/>
      <c r="I10" s="200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01" t="s">
        <v>57</v>
      </c>
      <c r="B14" s="201"/>
      <c r="C14" s="201"/>
      <c r="D14" s="201"/>
      <c r="E14" s="201"/>
      <c r="F14" s="201"/>
      <c r="G14" s="201"/>
      <c r="H14" s="201"/>
      <c r="I14" s="201"/>
      <c r="J14" s="8"/>
      <c r="K14" s="8"/>
      <c r="L14" s="8"/>
      <c r="M14" s="8"/>
    </row>
    <row r="15" spans="1:13" ht="15" customHeight="1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8"/>
      <c r="K15" s="8"/>
      <c r="L15" s="8"/>
      <c r="M15" s="8"/>
    </row>
    <row r="16" spans="1:13" ht="15.75" customHeight="1">
      <c r="A16" s="30">
        <v>1</v>
      </c>
      <c r="B16" s="35" t="s">
        <v>79</v>
      </c>
      <c r="C16" s="46" t="s">
        <v>80</v>
      </c>
      <c r="D16" s="35" t="s">
        <v>168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122</v>
      </c>
      <c r="C17" s="46" t="s">
        <v>80</v>
      </c>
      <c r="D17" s="35" t="s">
        <v>169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123</v>
      </c>
      <c r="C18" s="46" t="s">
        <v>80</v>
      </c>
      <c r="D18" s="35" t="s">
        <v>170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87</v>
      </c>
      <c r="C19" s="46" t="s">
        <v>88</v>
      </c>
      <c r="D19" s="35" t="s">
        <v>89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90</v>
      </c>
      <c r="C20" s="46" t="s">
        <v>80</v>
      </c>
      <c r="D20" s="35" t="s">
        <v>171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customHeight="1">
      <c r="A21" s="30">
        <v>5</v>
      </c>
      <c r="B21" s="35" t="s">
        <v>91</v>
      </c>
      <c r="C21" s="46" t="s">
        <v>80</v>
      </c>
      <c r="D21" s="35" t="s">
        <v>41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92</v>
      </c>
      <c r="C22" s="46" t="s">
        <v>51</v>
      </c>
      <c r="D22" s="35" t="s">
        <v>89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93</v>
      </c>
      <c r="C23" s="46" t="s">
        <v>51</v>
      </c>
      <c r="D23" s="35" t="s">
        <v>89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94</v>
      </c>
      <c r="C24" s="46" t="s">
        <v>51</v>
      </c>
      <c r="D24" s="35" t="s">
        <v>95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96</v>
      </c>
      <c r="C25" s="46" t="s">
        <v>51</v>
      </c>
      <c r="D25" s="35" t="s">
        <v>52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97</v>
      </c>
      <c r="C26" s="46" t="s">
        <v>51</v>
      </c>
      <c r="D26" s="35" t="s">
        <v>89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hidden="1" customHeight="1">
      <c r="A27" s="30">
        <v>6</v>
      </c>
      <c r="B27" s="35" t="s">
        <v>167</v>
      </c>
      <c r="C27" s="46" t="s">
        <v>143</v>
      </c>
      <c r="D27" s="35" t="s">
        <v>175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202" t="s">
        <v>78</v>
      </c>
      <c r="B28" s="203"/>
      <c r="C28" s="203"/>
      <c r="D28" s="203"/>
      <c r="E28" s="203"/>
      <c r="F28" s="203"/>
      <c r="G28" s="203"/>
      <c r="H28" s="203"/>
      <c r="I28" s="204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100</v>
      </c>
      <c r="C30" s="46" t="s">
        <v>83</v>
      </c>
      <c r="D30" s="35" t="s">
        <v>169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99</v>
      </c>
      <c r="C31" s="46" t="s">
        <v>83</v>
      </c>
      <c r="D31" s="35" t="s">
        <v>168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83</v>
      </c>
      <c r="D32" s="35" t="s">
        <v>52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124</v>
      </c>
      <c r="C33" s="46" t="s">
        <v>39</v>
      </c>
      <c r="D33" s="35" t="s">
        <v>173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62</v>
      </c>
      <c r="C34" s="46" t="s">
        <v>31</v>
      </c>
      <c r="D34" s="35" t="s">
        <v>64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63</v>
      </c>
      <c r="C35" s="46" t="s">
        <v>30</v>
      </c>
      <c r="D35" s="35" t="s">
        <v>64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111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30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137</v>
      </c>
      <c r="C38" s="55" t="s">
        <v>28</v>
      </c>
      <c r="D38" s="35" t="s">
        <v>81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65</v>
      </c>
      <c r="C39" s="46" t="s">
        <v>28</v>
      </c>
      <c r="D39" s="35" t="s">
        <v>82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138</v>
      </c>
      <c r="C40" s="46" t="s">
        <v>139</v>
      </c>
      <c r="D40" s="35" t="s">
        <v>64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77</v>
      </c>
      <c r="C41" s="46" t="s">
        <v>83</v>
      </c>
      <c r="D41" s="35" t="s">
        <v>113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114</v>
      </c>
      <c r="C42" s="46" t="s">
        <v>83</v>
      </c>
      <c r="D42" s="35" t="s">
        <v>66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67</v>
      </c>
      <c r="C43" s="55" t="s">
        <v>31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customHeight="1">
      <c r="A44" s="202" t="s">
        <v>120</v>
      </c>
      <c r="B44" s="203"/>
      <c r="C44" s="203"/>
      <c r="D44" s="203"/>
      <c r="E44" s="203"/>
      <c r="F44" s="203"/>
      <c r="G44" s="203"/>
      <c r="H44" s="203"/>
      <c r="I44" s="204"/>
      <c r="J44" s="24"/>
      <c r="L44" s="19"/>
      <c r="M44" s="20"/>
      <c r="N44" s="21"/>
    </row>
    <row r="45" spans="1:14" ht="15.75" customHeight="1">
      <c r="A45" s="30">
        <v>9</v>
      </c>
      <c r="B45" s="35" t="s">
        <v>101</v>
      </c>
      <c r="C45" s="46" t="s">
        <v>83</v>
      </c>
      <c r="D45" s="35" t="s">
        <v>164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  <c r="J45" s="24"/>
      <c r="L45" s="19"/>
      <c r="M45" s="20"/>
      <c r="N45" s="21"/>
    </row>
    <row r="46" spans="1:14" ht="15.75" customHeight="1">
      <c r="A46" s="30">
        <v>10</v>
      </c>
      <c r="B46" s="35" t="s">
        <v>34</v>
      </c>
      <c r="C46" s="46" t="s">
        <v>83</v>
      </c>
      <c r="D46" s="35" t="s">
        <v>164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  <c r="J46" s="24"/>
      <c r="L46" s="19"/>
      <c r="M46" s="20"/>
      <c r="N46" s="21"/>
    </row>
    <row r="47" spans="1:14" ht="15.75" customHeight="1">
      <c r="A47" s="30">
        <v>11</v>
      </c>
      <c r="B47" s="35" t="s">
        <v>35</v>
      </c>
      <c r="C47" s="46" t="s">
        <v>83</v>
      </c>
      <c r="D47" s="35" t="s">
        <v>164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  <c r="J47" s="24"/>
      <c r="L47" s="19"/>
      <c r="M47" s="20"/>
      <c r="N47" s="21"/>
    </row>
    <row r="48" spans="1:14" ht="15.75" customHeight="1">
      <c r="A48" s="30">
        <v>12</v>
      </c>
      <c r="B48" s="35" t="s">
        <v>36</v>
      </c>
      <c r="C48" s="46" t="s">
        <v>83</v>
      </c>
      <c r="D48" s="35" t="s">
        <v>164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  <c r="J48" s="24"/>
      <c r="L48" s="19"/>
      <c r="M48" s="20"/>
      <c r="N48" s="21"/>
    </row>
    <row r="49" spans="1:22" ht="15.75" customHeight="1">
      <c r="A49" s="30">
        <v>13</v>
      </c>
      <c r="B49" s="35" t="s">
        <v>32</v>
      </c>
      <c r="C49" s="46" t="s">
        <v>33</v>
      </c>
      <c r="D49" s="35" t="s">
        <v>164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  <c r="J49" s="24"/>
      <c r="L49" s="19"/>
      <c r="M49" s="20"/>
      <c r="N49" s="21"/>
    </row>
    <row r="50" spans="1:22" ht="17.25" customHeight="1">
      <c r="A50" s="30">
        <v>14</v>
      </c>
      <c r="B50" s="35" t="s">
        <v>54</v>
      </c>
      <c r="C50" s="46" t="s">
        <v>83</v>
      </c>
      <c r="D50" s="35" t="s">
        <v>164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customHeight="1">
      <c r="A51" s="30">
        <v>15</v>
      </c>
      <c r="B51" s="35" t="s">
        <v>84</v>
      </c>
      <c r="C51" s="46" t="s">
        <v>83</v>
      </c>
      <c r="D51" s="35" t="s">
        <v>164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G51*F51/2</f>
        <v>3398.3843199999992</v>
      </c>
      <c r="J51" s="24"/>
      <c r="L51" s="19"/>
      <c r="M51" s="20"/>
      <c r="N51" s="21"/>
    </row>
    <row r="52" spans="1:22" ht="31.5" customHeight="1">
      <c r="A52" s="30">
        <v>16</v>
      </c>
      <c r="B52" s="35" t="s">
        <v>85</v>
      </c>
      <c r="C52" s="46" t="s">
        <v>37</v>
      </c>
      <c r="D52" s="35" t="s">
        <v>164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>G52*F52/2</f>
        <v>358.11300000000006</v>
      </c>
      <c r="J52" s="24"/>
      <c r="L52" s="19"/>
      <c r="M52" s="20"/>
      <c r="N52" s="21"/>
    </row>
    <row r="53" spans="1:22" ht="15.75" customHeight="1">
      <c r="A53" s="30">
        <v>17</v>
      </c>
      <c r="B53" s="35" t="s">
        <v>38</v>
      </c>
      <c r="C53" s="46" t="s">
        <v>39</v>
      </c>
      <c r="D53" s="35" t="s">
        <v>164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>G53*F53/2</f>
        <v>74.129199999999997</v>
      </c>
      <c r="J53" s="24"/>
      <c r="L53" s="19"/>
      <c r="M53" s="20"/>
      <c r="N53" s="21"/>
    </row>
    <row r="54" spans="1:22" ht="15.75" hidden="1" customHeight="1">
      <c r="A54" s="109">
        <v>18</v>
      </c>
      <c r="B54" s="105" t="s">
        <v>40</v>
      </c>
      <c r="C54" s="106" t="s">
        <v>102</v>
      </c>
      <c r="D54" s="105" t="s">
        <v>68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95" t="s">
        <v>119</v>
      </c>
      <c r="B55" s="195"/>
      <c r="C55" s="195"/>
      <c r="D55" s="195"/>
      <c r="E55" s="195"/>
      <c r="F55" s="195"/>
      <c r="G55" s="195"/>
      <c r="H55" s="195"/>
      <c r="I55" s="195"/>
      <c r="J55" s="24"/>
      <c r="L55" s="19"/>
      <c r="M55" s="20"/>
      <c r="N55" s="21"/>
    </row>
    <row r="56" spans="1:22" ht="15.75" hidden="1" customHeight="1">
      <c r="A56" s="30"/>
      <c r="B56" s="69" t="s">
        <v>42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103</v>
      </c>
      <c r="C57" s="42" t="s">
        <v>80</v>
      </c>
      <c r="D57" s="41" t="s">
        <v>104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140</v>
      </c>
      <c r="C58" s="42" t="s">
        <v>141</v>
      </c>
      <c r="D58" s="41" t="s">
        <v>64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115</v>
      </c>
      <c r="C60" s="42" t="s">
        <v>80</v>
      </c>
      <c r="D60" s="41" t="s">
        <v>52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18</v>
      </c>
      <c r="B61" s="41" t="s">
        <v>142</v>
      </c>
      <c r="C61" s="42" t="s">
        <v>143</v>
      </c>
      <c r="D61" s="41" t="s">
        <v>164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44</v>
      </c>
      <c r="C62" s="115"/>
      <c r="D62" s="116"/>
      <c r="E62" s="86"/>
      <c r="F62" s="117"/>
      <c r="G62" s="117"/>
      <c r="H62" s="118" t="s">
        <v>111</v>
      </c>
      <c r="I62" s="119"/>
    </row>
    <row r="63" spans="1:22" ht="15.75" hidden="1" customHeight="1">
      <c r="A63" s="30">
        <v>20</v>
      </c>
      <c r="B63" s="58" t="s">
        <v>45</v>
      </c>
      <c r="C63" s="42" t="s">
        <v>102</v>
      </c>
      <c r="D63" s="41" t="s">
        <v>186</v>
      </c>
      <c r="E63" s="17">
        <v>5</v>
      </c>
      <c r="F63" s="34">
        <f>E63</f>
        <v>5</v>
      </c>
      <c r="G63" s="39">
        <v>291.68</v>
      </c>
      <c r="H63" s="79">
        <f t="shared" ref="H63:H70" si="8">SUM(F63*G63/1000)</f>
        <v>1.4584000000000001</v>
      </c>
      <c r="I63" s="13">
        <f>G63*3</f>
        <v>875.04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46</v>
      </c>
      <c r="C64" s="42" t="s">
        <v>102</v>
      </c>
      <c r="D64" s="41" t="s">
        <v>64</v>
      </c>
      <c r="E64" s="17">
        <v>5</v>
      </c>
      <c r="F64" s="34">
        <f>E64</f>
        <v>5</v>
      </c>
      <c r="G64" s="39">
        <v>100.01</v>
      </c>
      <c r="H64" s="79">
        <f t="shared" si="8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58" t="s">
        <v>47</v>
      </c>
      <c r="C65" s="44" t="s">
        <v>105</v>
      </c>
      <c r="D65" s="41" t="s">
        <v>52</v>
      </c>
      <c r="E65" s="100">
        <v>10348</v>
      </c>
      <c r="F65" s="40">
        <f>SUM(E65/100)</f>
        <v>103.48</v>
      </c>
      <c r="G65" s="39">
        <v>278.24</v>
      </c>
      <c r="H65" s="79">
        <f t="shared" si="8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0"/>
      <c r="B66" s="58" t="s">
        <v>48</v>
      </c>
      <c r="C66" s="42" t="s">
        <v>106</v>
      </c>
      <c r="D66" s="41" t="s">
        <v>52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8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83"/>
      <c r="S66" s="183"/>
      <c r="T66" s="183"/>
      <c r="U66" s="183"/>
    </row>
    <row r="67" spans="1:21" ht="15.75" hidden="1" customHeight="1">
      <c r="A67" s="30"/>
      <c r="B67" s="58" t="s">
        <v>49</v>
      </c>
      <c r="C67" s="42" t="s">
        <v>73</v>
      </c>
      <c r="D67" s="41" t="s">
        <v>52</v>
      </c>
      <c r="E67" s="100">
        <v>1645</v>
      </c>
      <c r="F67" s="39">
        <f>SUM(E67/100)</f>
        <v>16.45</v>
      </c>
      <c r="G67" s="39">
        <v>2720.94</v>
      </c>
      <c r="H67" s="79">
        <f t="shared" si="8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0"/>
      <c r="B68" s="53" t="s">
        <v>107</v>
      </c>
      <c r="C68" s="42" t="s">
        <v>31</v>
      </c>
      <c r="D68" s="41"/>
      <c r="E68" s="100">
        <v>9</v>
      </c>
      <c r="F68" s="39">
        <f>E68</f>
        <v>9</v>
      </c>
      <c r="G68" s="39">
        <v>42.61</v>
      </c>
      <c r="H68" s="79">
        <f t="shared" si="8"/>
        <v>0.38349</v>
      </c>
      <c r="I68" s="13">
        <v>0</v>
      </c>
    </row>
    <row r="69" spans="1:21" ht="15.75" hidden="1" customHeight="1">
      <c r="A69" s="30"/>
      <c r="B69" s="53" t="s">
        <v>108</v>
      </c>
      <c r="C69" s="42" t="s">
        <v>31</v>
      </c>
      <c r="D69" s="41"/>
      <c r="E69" s="100">
        <v>9</v>
      </c>
      <c r="F69" s="39">
        <f t="shared" ref="F69:F70" si="9">E69</f>
        <v>9</v>
      </c>
      <c r="G69" s="39">
        <v>46.04</v>
      </c>
      <c r="H69" s="79">
        <f t="shared" si="8"/>
        <v>0.41436000000000001</v>
      </c>
      <c r="I69" s="13">
        <v>0</v>
      </c>
    </row>
    <row r="70" spans="1:21" ht="15.75" customHeight="1">
      <c r="A70" s="30">
        <v>19</v>
      </c>
      <c r="B70" s="41" t="s">
        <v>55</v>
      </c>
      <c r="C70" s="42" t="s">
        <v>56</v>
      </c>
      <c r="D70" s="41" t="s">
        <v>171</v>
      </c>
      <c r="E70" s="17">
        <v>2</v>
      </c>
      <c r="F70" s="39">
        <f t="shared" si="9"/>
        <v>2</v>
      </c>
      <c r="G70" s="39">
        <v>65.42</v>
      </c>
      <c r="H70" s="79">
        <f t="shared" si="8"/>
        <v>0.13084000000000001</v>
      </c>
      <c r="I70" s="13">
        <f>F70*G70</f>
        <v>130.84</v>
      </c>
    </row>
    <row r="71" spans="1:21" ht="15.75" customHeight="1">
      <c r="A71" s="30"/>
      <c r="B71" s="69" t="s">
        <v>69</v>
      </c>
      <c r="C71" s="16"/>
      <c r="D71" s="14"/>
      <c r="E71" s="18"/>
      <c r="F71" s="13"/>
      <c r="G71" s="13"/>
      <c r="H71" s="80" t="s">
        <v>111</v>
      </c>
      <c r="I71" s="13"/>
    </row>
    <row r="72" spans="1:21" ht="15.75" hidden="1" customHeight="1">
      <c r="A72" s="30"/>
      <c r="B72" s="14" t="s">
        <v>144</v>
      </c>
      <c r="C72" s="16" t="s">
        <v>145</v>
      </c>
      <c r="D72" s="41" t="s">
        <v>64</v>
      </c>
      <c r="E72" s="18">
        <v>1</v>
      </c>
      <c r="F72" s="13">
        <f>E72</f>
        <v>1</v>
      </c>
      <c r="G72" s="13">
        <v>1029.1199999999999</v>
      </c>
      <c r="H72" s="80">
        <f t="shared" ref="H72:H73" si="10">SUM(F72*G72/1000)</f>
        <v>1.0291199999999998</v>
      </c>
      <c r="I72" s="13">
        <v>0</v>
      </c>
    </row>
    <row r="73" spans="1:21" ht="15.75" hidden="1" customHeight="1">
      <c r="A73" s="30"/>
      <c r="B73" s="14" t="s">
        <v>146</v>
      </c>
      <c r="C73" s="16" t="s">
        <v>147</v>
      </c>
      <c r="D73" s="120"/>
      <c r="E73" s="18">
        <v>1</v>
      </c>
      <c r="F73" s="13">
        <v>1</v>
      </c>
      <c r="G73" s="13">
        <v>735</v>
      </c>
      <c r="H73" s="80">
        <f t="shared" si="10"/>
        <v>0.73499999999999999</v>
      </c>
      <c r="I73" s="13">
        <v>0</v>
      </c>
    </row>
    <row r="74" spans="1:21" ht="15.75" hidden="1" customHeight="1">
      <c r="A74" s="30"/>
      <c r="B74" s="14" t="s">
        <v>70</v>
      </c>
      <c r="C74" s="16" t="s">
        <v>71</v>
      </c>
      <c r="D74" s="41" t="s">
        <v>64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148</v>
      </c>
      <c r="C75" s="16" t="s">
        <v>102</v>
      </c>
      <c r="D75" s="41" t="s">
        <v>64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149</v>
      </c>
      <c r="C76" s="57" t="s">
        <v>102</v>
      </c>
      <c r="D76" s="41" t="s">
        <v>64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2.25" customHeight="1">
      <c r="A77" s="30">
        <v>20</v>
      </c>
      <c r="B77" s="56" t="s">
        <v>150</v>
      </c>
      <c r="C77" s="57" t="s">
        <v>102</v>
      </c>
      <c r="D77" s="14" t="s">
        <v>171</v>
      </c>
      <c r="E77" s="18">
        <v>2</v>
      </c>
      <c r="F77" s="84">
        <f>E77*12</f>
        <v>24</v>
      </c>
      <c r="G77" s="13">
        <v>53.42</v>
      </c>
      <c r="H77" s="80">
        <f t="shared" ref="H77:H78" si="11">SUM(F77*G77/1000)</f>
        <v>1.2820799999999999</v>
      </c>
      <c r="I77" s="13">
        <f>G77*2</f>
        <v>106.84</v>
      </c>
    </row>
    <row r="78" spans="1:21" ht="31.5" customHeight="1">
      <c r="A78" s="30">
        <v>21</v>
      </c>
      <c r="B78" s="56" t="s">
        <v>151</v>
      </c>
      <c r="C78" s="57" t="s">
        <v>102</v>
      </c>
      <c r="D78" s="14" t="s">
        <v>164</v>
      </c>
      <c r="E78" s="18">
        <v>1</v>
      </c>
      <c r="F78" s="84">
        <f>E78*12</f>
        <v>12</v>
      </c>
      <c r="G78" s="13">
        <v>1194</v>
      </c>
      <c r="H78" s="80">
        <f t="shared" si="11"/>
        <v>14.327999999999999</v>
      </c>
      <c r="I78" s="13">
        <f>G78</f>
        <v>1194</v>
      </c>
    </row>
    <row r="79" spans="1:21" ht="15.75" hidden="1" customHeight="1">
      <c r="A79" s="30"/>
      <c r="B79" s="90" t="s">
        <v>72</v>
      </c>
      <c r="C79" s="16"/>
      <c r="D79" s="14"/>
      <c r="E79" s="18"/>
      <c r="F79" s="13"/>
      <c r="G79" s="13" t="s">
        <v>111</v>
      </c>
      <c r="H79" s="80" t="s">
        <v>111</v>
      </c>
      <c r="I79" s="13"/>
    </row>
    <row r="80" spans="1:21" ht="15.75" hidden="1" customHeight="1">
      <c r="A80" s="30"/>
      <c r="B80" s="43" t="s">
        <v>112</v>
      </c>
      <c r="C80" s="44" t="s">
        <v>73</v>
      </c>
      <c r="D80" s="58"/>
      <c r="E80" s="121"/>
      <c r="F80" s="40">
        <v>0.6</v>
      </c>
      <c r="G80" s="40">
        <v>3619.09</v>
      </c>
      <c r="H80" s="79">
        <f t="shared" ref="H80" si="12">SUM(F80*G80/1000)</f>
        <v>2.1714540000000002</v>
      </c>
      <c r="I80" s="13">
        <v>0</v>
      </c>
    </row>
    <row r="81" spans="1:9" ht="15.75" hidden="1" customHeight="1">
      <c r="A81" s="30"/>
      <c r="B81" s="93" t="s">
        <v>86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109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95" t="s">
        <v>118</v>
      </c>
      <c r="B83" s="195"/>
      <c r="C83" s="195"/>
      <c r="D83" s="195"/>
      <c r="E83" s="195"/>
      <c r="F83" s="195"/>
      <c r="G83" s="195"/>
      <c r="H83" s="195"/>
      <c r="I83" s="195"/>
    </row>
    <row r="84" spans="1:9" ht="15.75" customHeight="1">
      <c r="A84" s="30">
        <v>22</v>
      </c>
      <c r="B84" s="41" t="s">
        <v>110</v>
      </c>
      <c r="C84" s="42" t="s">
        <v>53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23</v>
      </c>
      <c r="B85" s="14" t="s">
        <v>74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76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I85+I84+I78+I77+I70+I61+I53+I52+I51+I50+I49+I48+I47+I46+I45++I33+I31+I30+I21+I20+I18+I17+I16</f>
        <v>34358.009436666674</v>
      </c>
    </row>
    <row r="87" spans="1:9" ht="15.75" customHeight="1">
      <c r="A87" s="184" t="s">
        <v>58</v>
      </c>
      <c r="B87" s="185"/>
      <c r="C87" s="185"/>
      <c r="D87" s="185"/>
      <c r="E87" s="185"/>
      <c r="F87" s="185"/>
      <c r="G87" s="185"/>
      <c r="H87" s="185"/>
      <c r="I87" s="186"/>
    </row>
    <row r="88" spans="1:9" ht="15.75" customHeight="1">
      <c r="A88" s="30">
        <v>24</v>
      </c>
      <c r="B88" s="134" t="s">
        <v>263</v>
      </c>
      <c r="C88" s="61" t="s">
        <v>102</v>
      </c>
      <c r="D88" s="41" t="s">
        <v>267</v>
      </c>
      <c r="E88" s="17"/>
      <c r="F88" s="39">
        <v>1</v>
      </c>
      <c r="G88" s="39">
        <v>101.85</v>
      </c>
      <c r="H88" s="79"/>
      <c r="I88" s="13">
        <v>0</v>
      </c>
    </row>
    <row r="89" spans="1:9" ht="15.75" customHeight="1">
      <c r="A89" s="30">
        <v>25</v>
      </c>
      <c r="B89" s="134" t="s">
        <v>264</v>
      </c>
      <c r="C89" s="61" t="s">
        <v>28</v>
      </c>
      <c r="D89" s="41" t="s">
        <v>164</v>
      </c>
      <c r="E89" s="17"/>
      <c r="F89" s="39">
        <v>0.05</v>
      </c>
      <c r="G89" s="39">
        <v>6726.89</v>
      </c>
      <c r="H89" s="79"/>
      <c r="I89" s="13">
        <v>0</v>
      </c>
    </row>
    <row r="90" spans="1:9" ht="15.75" customHeight="1">
      <c r="A90" s="30">
        <v>26</v>
      </c>
      <c r="B90" s="134" t="s">
        <v>265</v>
      </c>
      <c r="C90" s="175" t="s">
        <v>196</v>
      </c>
      <c r="D90" s="41"/>
      <c r="E90" s="17"/>
      <c r="F90" s="39">
        <v>0.04</v>
      </c>
      <c r="G90" s="39">
        <v>4113.16</v>
      </c>
      <c r="H90" s="79"/>
      <c r="I90" s="13">
        <f>G90*0.04</f>
        <v>164.5264</v>
      </c>
    </row>
    <row r="91" spans="1:9" ht="15.75" customHeight="1">
      <c r="A91" s="30">
        <v>27</v>
      </c>
      <c r="B91" s="134" t="s">
        <v>266</v>
      </c>
      <c r="C91" s="61" t="s">
        <v>102</v>
      </c>
      <c r="D91" s="41"/>
      <c r="E91" s="17"/>
      <c r="F91" s="39">
        <v>1</v>
      </c>
      <c r="G91" s="39">
        <v>224.48</v>
      </c>
      <c r="H91" s="79"/>
      <c r="I91" s="13">
        <f>G91*1</f>
        <v>224.48</v>
      </c>
    </row>
    <row r="92" spans="1:9" ht="15.75" customHeight="1">
      <c r="A92" s="30"/>
      <c r="B92" s="50" t="s">
        <v>50</v>
      </c>
      <c r="C92" s="57"/>
      <c r="D92" s="52"/>
      <c r="E92" s="13"/>
      <c r="F92" s="13"/>
      <c r="G92" s="13"/>
      <c r="H92" s="80"/>
      <c r="I92" s="87">
        <f>SUM(I88:I91)</f>
        <v>389.00639999999999</v>
      </c>
    </row>
    <row r="93" spans="1:9">
      <c r="A93" s="30"/>
      <c r="B93" s="52" t="s">
        <v>75</v>
      </c>
      <c r="C93" s="15"/>
      <c r="D93" s="15"/>
      <c r="E93" s="47"/>
      <c r="F93" s="47"/>
      <c r="G93" s="48"/>
      <c r="H93" s="48"/>
      <c r="I93" s="17">
        <v>0</v>
      </c>
    </row>
    <row r="94" spans="1:9">
      <c r="A94" s="54"/>
      <c r="B94" s="51" t="s">
        <v>134</v>
      </c>
      <c r="C94" s="38"/>
      <c r="D94" s="38"/>
      <c r="E94" s="38"/>
      <c r="F94" s="38"/>
      <c r="G94" s="38"/>
      <c r="H94" s="38"/>
      <c r="I94" s="49">
        <f>I86+I92</f>
        <v>34747.015836666673</v>
      </c>
    </row>
    <row r="95" spans="1:9" ht="15.75" customHeight="1">
      <c r="A95" s="187" t="s">
        <v>268</v>
      </c>
      <c r="B95" s="187"/>
      <c r="C95" s="187"/>
      <c r="D95" s="187"/>
      <c r="E95" s="187"/>
      <c r="F95" s="187"/>
      <c r="G95" s="187"/>
      <c r="H95" s="187"/>
      <c r="I95" s="187"/>
    </row>
    <row r="96" spans="1:9" ht="15.75" customHeight="1">
      <c r="A96" s="68"/>
      <c r="B96" s="188" t="s">
        <v>269</v>
      </c>
      <c r="C96" s="188"/>
      <c r="D96" s="188"/>
      <c r="E96" s="188"/>
      <c r="F96" s="188"/>
      <c r="G96" s="188"/>
      <c r="H96" s="78"/>
      <c r="I96" s="3"/>
    </row>
    <row r="97" spans="1:9">
      <c r="A97" s="74"/>
      <c r="B97" s="189" t="s">
        <v>6</v>
      </c>
      <c r="C97" s="189"/>
      <c r="D97" s="189"/>
      <c r="E97" s="189"/>
      <c r="F97" s="189"/>
      <c r="G97" s="189"/>
      <c r="H97" s="25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90" t="s">
        <v>7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90" t="s">
        <v>8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>
      <c r="A101" s="191" t="s">
        <v>59</v>
      </c>
      <c r="B101" s="191"/>
      <c r="C101" s="191"/>
      <c r="D101" s="191"/>
      <c r="E101" s="191"/>
      <c r="F101" s="191"/>
      <c r="G101" s="191"/>
      <c r="H101" s="191"/>
      <c r="I101" s="191"/>
    </row>
    <row r="102" spans="1:9" ht="15.75">
      <c r="A102" s="11"/>
    </row>
    <row r="103" spans="1:9" ht="15.75" customHeight="1">
      <c r="A103" s="192" t="s">
        <v>9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5.75" customHeight="1">
      <c r="A104" s="4"/>
    </row>
    <row r="105" spans="1:9" ht="15.75" customHeight="1">
      <c r="B105" s="71" t="s">
        <v>10</v>
      </c>
      <c r="C105" s="193" t="s">
        <v>195</v>
      </c>
      <c r="D105" s="193"/>
      <c r="E105" s="193"/>
      <c r="F105" s="76"/>
      <c r="I105" s="73"/>
    </row>
    <row r="106" spans="1:9" ht="15.75" customHeight="1">
      <c r="A106" s="74"/>
      <c r="C106" s="189" t="s">
        <v>11</v>
      </c>
      <c r="D106" s="189"/>
      <c r="E106" s="189"/>
      <c r="F106" s="25"/>
      <c r="I106" s="72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71" t="s">
        <v>13</v>
      </c>
      <c r="C108" s="194"/>
      <c r="D108" s="194"/>
      <c r="E108" s="194"/>
      <c r="F108" s="77"/>
      <c r="I108" s="73"/>
    </row>
    <row r="109" spans="1:9">
      <c r="A109" s="74"/>
      <c r="C109" s="183" t="s">
        <v>11</v>
      </c>
      <c r="D109" s="183"/>
      <c r="E109" s="183"/>
      <c r="F109" s="74"/>
      <c r="I109" s="72" t="s">
        <v>12</v>
      </c>
    </row>
    <row r="110" spans="1:9" ht="15.75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82" t="s">
        <v>16</v>
      </c>
      <c r="B112" s="182"/>
      <c r="C112" s="182"/>
      <c r="D112" s="182"/>
      <c r="E112" s="182"/>
      <c r="F112" s="182"/>
      <c r="G112" s="182"/>
      <c r="H112" s="182"/>
      <c r="I112" s="182"/>
    </row>
    <row r="113" spans="1:9" ht="30" customHeight="1">
      <c r="A113" s="182" t="s">
        <v>17</v>
      </c>
      <c r="B113" s="182"/>
      <c r="C113" s="182"/>
      <c r="D113" s="182"/>
      <c r="E113" s="182"/>
      <c r="F113" s="182"/>
      <c r="G113" s="182"/>
      <c r="H113" s="182"/>
      <c r="I113" s="182"/>
    </row>
    <row r="114" spans="1:9" ht="30" customHeight="1">
      <c r="A114" s="182" t="s">
        <v>21</v>
      </c>
      <c r="B114" s="182"/>
      <c r="C114" s="182"/>
      <c r="D114" s="182"/>
      <c r="E114" s="182"/>
      <c r="F114" s="182"/>
      <c r="G114" s="182"/>
      <c r="H114" s="182"/>
      <c r="I114" s="182"/>
    </row>
    <row r="115" spans="1:9" ht="15" customHeight="1">
      <c r="A115" s="182" t="s">
        <v>20</v>
      </c>
      <c r="B115" s="182"/>
      <c r="C115" s="182"/>
      <c r="D115" s="182"/>
      <c r="E115" s="182"/>
      <c r="F115" s="182"/>
      <c r="G115" s="182"/>
      <c r="H115" s="182"/>
      <c r="I115" s="182"/>
    </row>
  </sheetData>
  <autoFilter ref="I12:I6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'06.21'!Область_печати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2022-02-10T13:22:07Z</cp:lastPrinted>
  <dcterms:created xsi:type="dcterms:W3CDTF">2016-03-25T08:33:47Z</dcterms:created>
  <dcterms:modified xsi:type="dcterms:W3CDTF">2022-02-10T13:23:08Z</dcterms:modified>
</cp:coreProperties>
</file>