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540" windowWidth="15495" windowHeight="11280" activeTab="11"/>
  </bookViews>
  <sheets>
    <sheet name="01.20" sheetId="17" r:id="rId1"/>
    <sheet name="02.20" sheetId="29" r:id="rId2"/>
    <sheet name="03.20" sheetId="30" r:id="rId3"/>
    <sheet name="04.20" sheetId="31" r:id="rId4"/>
    <sheet name="05.20" sheetId="32" r:id="rId5"/>
    <sheet name="06.20" sheetId="33" r:id="rId6"/>
    <sheet name="07.20" sheetId="34" r:id="rId7"/>
    <sheet name="08.20" sheetId="35" r:id="rId8"/>
    <sheet name="09.20" sheetId="36" r:id="rId9"/>
    <sheet name="10.20" sheetId="37" r:id="rId10"/>
    <sheet name="11.20" sheetId="38" r:id="rId11"/>
    <sheet name="12.20" sheetId="39" r:id="rId12"/>
  </sheets>
  <definedNames>
    <definedName name="_xlnm._FilterDatabase" localSheetId="0" hidden="1">'01.20'!$I$12:$I$55</definedName>
    <definedName name="_xlnm._FilterDatabase" localSheetId="1" hidden="1">'02.20'!$I$12:$I$55</definedName>
    <definedName name="_xlnm._FilterDatabase" localSheetId="2" hidden="1">'03.20'!$I$12:$I$55</definedName>
    <definedName name="_xlnm.Print_Area" localSheetId="0">'01.20'!$A$1:$I$121</definedName>
    <definedName name="_xlnm.Print_Area" localSheetId="1">'02.20'!$A$1:$I$120</definedName>
    <definedName name="_xlnm.Print_Area" localSheetId="2">'03.20'!$A$1:$I$114</definedName>
    <definedName name="_xlnm.Print_Area" localSheetId="4">'05.20'!$A$1:$I$114</definedName>
  </definedNames>
  <calcPr calcId="124519"/>
</workbook>
</file>

<file path=xl/calcChain.xml><?xml version="1.0" encoding="utf-8"?>
<calcChain xmlns="http://schemas.openxmlformats.org/spreadsheetml/2006/main">
  <c r="I88" i="39"/>
  <c r="I99"/>
  <c r="I98"/>
  <c r="I97"/>
  <c r="I94"/>
  <c r="I93"/>
  <c r="I91"/>
  <c r="I90"/>
  <c r="I39"/>
  <c r="I87" i="37"/>
  <c r="I64"/>
  <c r="I89" i="38"/>
  <c r="I93" l="1"/>
  <c r="I92"/>
  <c r="I91"/>
  <c r="I45"/>
  <c r="I44"/>
  <c r="I90" i="35" l="1"/>
  <c r="I90" i="37"/>
  <c r="I89"/>
  <c r="I87" i="36"/>
  <c r="I96"/>
  <c r="I94"/>
  <c r="I64"/>
  <c r="I86" i="35" l="1"/>
  <c r="I90" i="34"/>
  <c r="I88"/>
  <c r="I96" i="33" l="1"/>
  <c r="I86" i="34" l="1"/>
  <c r="I73"/>
  <c r="I87" i="33"/>
  <c r="I94"/>
  <c r="I93"/>
  <c r="I92"/>
  <c r="I91"/>
  <c r="I89"/>
  <c r="I64"/>
  <c r="I17" i="32"/>
  <c r="I16"/>
  <c r="I86"/>
  <c r="I91"/>
  <c r="I90"/>
  <c r="I89"/>
  <c r="F89"/>
  <c r="I88"/>
  <c r="F27"/>
  <c r="H27" s="1"/>
  <c r="I26"/>
  <c r="H26"/>
  <c r="F25"/>
  <c r="I25" s="1"/>
  <c r="F24"/>
  <c r="H24" s="1"/>
  <c r="F23"/>
  <c r="I23" s="1"/>
  <c r="F22"/>
  <c r="H22" s="1"/>
  <c r="F21"/>
  <c r="I21" s="1"/>
  <c r="I20"/>
  <c r="H20"/>
  <c r="F19"/>
  <c r="H19" s="1"/>
  <c r="I18"/>
  <c r="H18"/>
  <c r="F17"/>
  <c r="F16"/>
  <c r="H16" s="1"/>
  <c r="I88" i="31"/>
  <c r="I38"/>
  <c r="I104"/>
  <c r="I103"/>
  <c r="I102"/>
  <c r="I101"/>
  <c r="I100"/>
  <c r="I99"/>
  <c r="I98"/>
  <c r="I97"/>
  <c r="I96"/>
  <c r="I95"/>
  <c r="I94"/>
  <c r="I93"/>
  <c r="I92"/>
  <c r="I90"/>
  <c r="F90"/>
  <c r="I89" i="30"/>
  <c r="I44"/>
  <c r="I43"/>
  <c r="I38"/>
  <c r="I97" i="29"/>
  <c r="I96"/>
  <c r="I66"/>
  <c r="I95"/>
  <c r="I93"/>
  <c r="I92"/>
  <c r="I91"/>
  <c r="I58"/>
  <c r="I89" s="1"/>
  <c r="I44"/>
  <c r="I43"/>
  <c r="I38"/>
  <c r="I89" i="17"/>
  <c r="I98"/>
  <c r="I97"/>
  <c r="I96"/>
  <c r="I95"/>
  <c r="I94"/>
  <c r="I93"/>
  <c r="I91"/>
  <c r="I38"/>
  <c r="I65" i="39"/>
  <c r="H17" i="32" l="1"/>
  <c r="H21"/>
  <c r="H23"/>
  <c r="H25"/>
  <c r="I19"/>
  <c r="I22"/>
  <c r="I24"/>
  <c r="I27"/>
  <c r="F46" i="39"/>
  <c r="H46" s="1"/>
  <c r="I45"/>
  <c r="H45"/>
  <c r="I44"/>
  <c r="H44"/>
  <c r="F43"/>
  <c r="I43" s="1"/>
  <c r="F42"/>
  <c r="H42" s="1"/>
  <c r="F41"/>
  <c r="I41" s="1"/>
  <c r="F27"/>
  <c r="H27" s="1"/>
  <c r="F26"/>
  <c r="I26" s="1"/>
  <c r="I25"/>
  <c r="H25"/>
  <c r="I24"/>
  <c r="F24"/>
  <c r="H24" s="1"/>
  <c r="I23"/>
  <c r="H23"/>
  <c r="F23"/>
  <c r="I22"/>
  <c r="F22"/>
  <c r="H22" s="1"/>
  <c r="I21"/>
  <c r="F21"/>
  <c r="H21" s="1"/>
  <c r="I20"/>
  <c r="F20"/>
  <c r="H20" s="1"/>
  <c r="I19"/>
  <c r="F19"/>
  <c r="H19" s="1"/>
  <c r="I18"/>
  <c r="H18"/>
  <c r="F17"/>
  <c r="H17" s="1"/>
  <c r="F16"/>
  <c r="I16" s="1"/>
  <c r="H16" l="1"/>
  <c r="H26"/>
  <c r="H41"/>
  <c r="H43"/>
  <c r="I42"/>
  <c r="I46"/>
  <c r="I17"/>
  <c r="I27"/>
  <c r="I39" i="38"/>
  <c r="F27"/>
  <c r="H27" s="1"/>
  <c r="F26"/>
  <c r="I26" s="1"/>
  <c r="I25"/>
  <c r="H25"/>
  <c r="I24"/>
  <c r="F24"/>
  <c r="H24" s="1"/>
  <c r="I23"/>
  <c r="F23"/>
  <c r="H23" s="1"/>
  <c r="I22"/>
  <c r="F22"/>
  <c r="H22" s="1"/>
  <c r="I21"/>
  <c r="F21"/>
  <c r="H21" s="1"/>
  <c r="I20"/>
  <c r="F20"/>
  <c r="H20" s="1"/>
  <c r="I19"/>
  <c r="F19"/>
  <c r="H19" s="1"/>
  <c r="I18"/>
  <c r="H18"/>
  <c r="F17"/>
  <c r="H17" s="1"/>
  <c r="F16"/>
  <c r="I16" s="1"/>
  <c r="H16" l="1"/>
  <c r="H26"/>
  <c r="I17"/>
  <c r="I27"/>
  <c r="I44" i="37" l="1"/>
  <c r="I74" l="1"/>
  <c r="I33"/>
  <c r="F33"/>
  <c r="H33" s="1"/>
  <c r="I32"/>
  <c r="F32"/>
  <c r="H32" s="1"/>
  <c r="I31"/>
  <c r="F31"/>
  <c r="H31" s="1"/>
  <c r="I30"/>
  <c r="F30"/>
  <c r="H30" s="1"/>
  <c r="F27"/>
  <c r="H27" s="1"/>
  <c r="F26"/>
  <c r="H26" s="1"/>
  <c r="I25"/>
  <c r="H25"/>
  <c r="I24"/>
  <c r="F24"/>
  <c r="H24" s="1"/>
  <c r="I23"/>
  <c r="F23"/>
  <c r="H23" s="1"/>
  <c r="I22"/>
  <c r="F22"/>
  <c r="H22" s="1"/>
  <c r="I21"/>
  <c r="F21"/>
  <c r="H21" s="1"/>
  <c r="I20"/>
  <c r="F20"/>
  <c r="H20" s="1"/>
  <c r="I19"/>
  <c r="H19"/>
  <c r="F19"/>
  <c r="I18"/>
  <c r="H18"/>
  <c r="F17"/>
  <c r="I17" s="1"/>
  <c r="F16"/>
  <c r="I16" s="1"/>
  <c r="F27" i="36"/>
  <c r="H27" s="1"/>
  <c r="F21"/>
  <c r="I18"/>
  <c r="H18"/>
  <c r="F17"/>
  <c r="H17" s="1"/>
  <c r="F16"/>
  <c r="I16" s="1"/>
  <c r="H16" i="37" l="1"/>
  <c r="I27"/>
  <c r="H17"/>
  <c r="I26"/>
  <c r="I27" i="36"/>
  <c r="H16"/>
  <c r="I17"/>
  <c r="I58" i="35" l="1"/>
  <c r="F26"/>
  <c r="H26" s="1"/>
  <c r="I25"/>
  <c r="H25"/>
  <c r="I24"/>
  <c r="F24"/>
  <c r="H24" s="1"/>
  <c r="I23"/>
  <c r="F23"/>
  <c r="H23" s="1"/>
  <c r="I22"/>
  <c r="F22"/>
  <c r="H22" s="1"/>
  <c r="I21"/>
  <c r="F21"/>
  <c r="H21" s="1"/>
  <c r="I20"/>
  <c r="F20"/>
  <c r="H20" s="1"/>
  <c r="I19"/>
  <c r="F19"/>
  <c r="H19" s="1"/>
  <c r="I18"/>
  <c r="H18"/>
  <c r="F17"/>
  <c r="I17" s="1"/>
  <c r="F16"/>
  <c r="H16" s="1"/>
  <c r="I16" l="1"/>
  <c r="H17"/>
  <c r="I26"/>
  <c r="I32" i="34"/>
  <c r="F32"/>
  <c r="H32" s="1"/>
  <c r="I31"/>
  <c r="F31"/>
  <c r="H31" s="1"/>
  <c r="I30"/>
  <c r="F30"/>
  <c r="H30" s="1"/>
  <c r="I29"/>
  <c r="F29"/>
  <c r="H29" s="1"/>
  <c r="F26"/>
  <c r="H26" s="1"/>
  <c r="I18"/>
  <c r="H18"/>
  <c r="F17"/>
  <c r="I17" s="1"/>
  <c r="F16"/>
  <c r="I16" s="1"/>
  <c r="F27" i="33"/>
  <c r="H27" s="1"/>
  <c r="I18"/>
  <c r="H18"/>
  <c r="F17"/>
  <c r="H17" s="1"/>
  <c r="F16"/>
  <c r="I16" s="1"/>
  <c r="F27" i="31"/>
  <c r="H27" s="1"/>
  <c r="I26"/>
  <c r="H26"/>
  <c r="F25"/>
  <c r="I25" s="1"/>
  <c r="F24"/>
  <c r="H24" s="1"/>
  <c r="F23"/>
  <c r="I23" s="1"/>
  <c r="F22"/>
  <c r="H22" s="1"/>
  <c r="F21"/>
  <c r="I21" s="1"/>
  <c r="I20"/>
  <c r="H20"/>
  <c r="F19"/>
  <c r="H19" s="1"/>
  <c r="I18"/>
  <c r="H18"/>
  <c r="H17"/>
  <c r="F17"/>
  <c r="I17" s="1"/>
  <c r="F16"/>
  <c r="H16" s="1"/>
  <c r="F27" i="30"/>
  <c r="H27" s="1"/>
  <c r="I26"/>
  <c r="H26"/>
  <c r="F25"/>
  <c r="I25" s="1"/>
  <c r="F24"/>
  <c r="H24" s="1"/>
  <c r="F23"/>
  <c r="I23" s="1"/>
  <c r="F22"/>
  <c r="H22" s="1"/>
  <c r="F21"/>
  <c r="I21" s="1"/>
  <c r="I20"/>
  <c r="H20"/>
  <c r="F19"/>
  <c r="H19" s="1"/>
  <c r="I18"/>
  <c r="H18"/>
  <c r="H17"/>
  <c r="F17"/>
  <c r="I17" s="1"/>
  <c r="F16"/>
  <c r="H16" s="1"/>
  <c r="F27" i="29"/>
  <c r="H27" s="1"/>
  <c r="I26"/>
  <c r="H26"/>
  <c r="F25"/>
  <c r="I25" s="1"/>
  <c r="F24"/>
  <c r="H24" s="1"/>
  <c r="H23"/>
  <c r="F23"/>
  <c r="I23" s="1"/>
  <c r="F22"/>
  <c r="H22" s="1"/>
  <c r="F21"/>
  <c r="I21" s="1"/>
  <c r="I20"/>
  <c r="H20"/>
  <c r="F19"/>
  <c r="H19" s="1"/>
  <c r="I18"/>
  <c r="H18"/>
  <c r="H17"/>
  <c r="F17"/>
  <c r="I17" s="1"/>
  <c r="F16"/>
  <c r="H16" s="1"/>
  <c r="F27" i="17"/>
  <c r="H21" i="31" l="1"/>
  <c r="H25"/>
  <c r="H23"/>
  <c r="H23" i="30"/>
  <c r="H21"/>
  <c r="H25"/>
  <c r="H21" i="29"/>
  <c r="H25"/>
  <c r="H17" i="34"/>
  <c r="I26"/>
  <c r="H16"/>
  <c r="I27" i="33"/>
  <c r="H16"/>
  <c r="I17"/>
  <c r="I16" i="31"/>
  <c r="I19"/>
  <c r="I22"/>
  <c r="I24"/>
  <c r="I27"/>
  <c r="I16" i="30"/>
  <c r="I19"/>
  <c r="I22"/>
  <c r="I24"/>
  <c r="I27"/>
  <c r="I16" i="29"/>
  <c r="I19"/>
  <c r="I22"/>
  <c r="I24"/>
  <c r="I27"/>
  <c r="E85" i="32" l="1"/>
  <c r="F85" s="1"/>
  <c r="F84"/>
  <c r="F78"/>
  <c r="F76"/>
  <c r="I64"/>
  <c r="F69"/>
  <c r="F68"/>
  <c r="F67"/>
  <c r="F66"/>
  <c r="F65"/>
  <c r="F64"/>
  <c r="F33"/>
  <c r="F32"/>
  <c r="F31"/>
  <c r="F30"/>
  <c r="F52"/>
  <c r="F51"/>
  <c r="F49"/>
  <c r="F48"/>
  <c r="F47"/>
  <c r="F46"/>
  <c r="F59" i="31" l="1"/>
  <c r="H59" s="1"/>
  <c r="F42"/>
  <c r="H42" s="1"/>
  <c r="F41"/>
  <c r="H41" s="1"/>
  <c r="H40"/>
  <c r="F40"/>
  <c r="I40" s="1"/>
  <c r="E87"/>
  <c r="F87" s="1"/>
  <c r="F86"/>
  <c r="H86" s="1"/>
  <c r="F80"/>
  <c r="H80" s="1"/>
  <c r="F74"/>
  <c r="H74" s="1"/>
  <c r="F45"/>
  <c r="H45" s="1"/>
  <c r="I44"/>
  <c r="H44"/>
  <c r="I43"/>
  <c r="H43"/>
  <c r="H39"/>
  <c r="H38"/>
  <c r="E88" i="30"/>
  <c r="F88" s="1"/>
  <c r="F87"/>
  <c r="F81"/>
  <c r="F79"/>
  <c r="F60"/>
  <c r="F45"/>
  <c r="F42"/>
  <c r="F41"/>
  <c r="F40"/>
  <c r="E88" i="29"/>
  <c r="F88" s="1"/>
  <c r="F87"/>
  <c r="F81"/>
  <c r="F79"/>
  <c r="F64"/>
  <c r="F60"/>
  <c r="F55"/>
  <c r="F45"/>
  <c r="F42"/>
  <c r="F41"/>
  <c r="F40"/>
  <c r="I59" i="31" l="1"/>
  <c r="I42"/>
  <c r="I41"/>
  <c r="H87"/>
  <c r="I87"/>
  <c r="I86"/>
  <c r="I80"/>
  <c r="I74"/>
  <c r="I45"/>
  <c r="E88" i="17"/>
  <c r="F88" s="1"/>
  <c r="F87"/>
  <c r="F81"/>
  <c r="F79"/>
  <c r="F60"/>
  <c r="F45"/>
  <c r="F42"/>
  <c r="F41"/>
  <c r="F40"/>
  <c r="F17"/>
  <c r="F16"/>
  <c r="F59" i="39" l="1"/>
  <c r="E87"/>
  <c r="F87" s="1"/>
  <c r="F86"/>
  <c r="I86" s="1"/>
  <c r="I84"/>
  <c r="H84"/>
  <c r="H82"/>
  <c r="F80"/>
  <c r="H80" s="1"/>
  <c r="F78"/>
  <c r="I78" s="1"/>
  <c r="H77"/>
  <c r="F76"/>
  <c r="H76" s="1"/>
  <c r="I75"/>
  <c r="F75"/>
  <c r="H75" s="1"/>
  <c r="F74"/>
  <c r="H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3"/>
  <c r="I63" s="1"/>
  <c r="F62"/>
  <c r="H62" s="1"/>
  <c r="H60"/>
  <c r="H59"/>
  <c r="I59"/>
  <c r="I58"/>
  <c r="H58"/>
  <c r="I55"/>
  <c r="H55"/>
  <c r="F54"/>
  <c r="I54" s="1"/>
  <c r="F53"/>
  <c r="H53" s="1"/>
  <c r="I52"/>
  <c r="H52"/>
  <c r="F51"/>
  <c r="I51" s="1"/>
  <c r="F50"/>
  <c r="H50" s="1"/>
  <c r="F49"/>
  <c r="I49" s="1"/>
  <c r="F48"/>
  <c r="H48" s="1"/>
  <c r="H40"/>
  <c r="H39"/>
  <c r="H37"/>
  <c r="H36"/>
  <c r="I35"/>
  <c r="F35"/>
  <c r="H35" s="1"/>
  <c r="E35"/>
  <c r="I34"/>
  <c r="F34"/>
  <c r="H34" s="1"/>
  <c r="I33"/>
  <c r="F33"/>
  <c r="H33" s="1"/>
  <c r="I32"/>
  <c r="F32"/>
  <c r="H32" s="1"/>
  <c r="I31"/>
  <c r="F31"/>
  <c r="H31" s="1"/>
  <c r="I28"/>
  <c r="F28"/>
  <c r="H28" s="1"/>
  <c r="F60" i="38"/>
  <c r="H60" s="1"/>
  <c r="F46"/>
  <c r="F43"/>
  <c r="F42"/>
  <c r="F41"/>
  <c r="E88"/>
  <c r="F88" s="1"/>
  <c r="H88" s="1"/>
  <c r="H89" s="1"/>
  <c r="F87"/>
  <c r="H87" s="1"/>
  <c r="I85"/>
  <c r="H85"/>
  <c r="H83"/>
  <c r="F81"/>
  <c r="I81" s="1"/>
  <c r="F79"/>
  <c r="H79" s="1"/>
  <c r="H78"/>
  <c r="F77"/>
  <c r="H77" s="1"/>
  <c r="I76"/>
  <c r="F76"/>
  <c r="H76" s="1"/>
  <c r="F75"/>
  <c r="H75" s="1"/>
  <c r="F73"/>
  <c r="I73" s="1"/>
  <c r="F72"/>
  <c r="H72" s="1"/>
  <c r="F71"/>
  <c r="I71" s="1"/>
  <c r="F70"/>
  <c r="H70" s="1"/>
  <c r="F69"/>
  <c r="I69" s="1"/>
  <c r="F68"/>
  <c r="H68" s="1"/>
  <c r="F67"/>
  <c r="H67" s="1"/>
  <c r="I66"/>
  <c r="F66"/>
  <c r="H66" s="1"/>
  <c r="F64"/>
  <c r="H64" s="1"/>
  <c r="F63"/>
  <c r="H63" s="1"/>
  <c r="H61"/>
  <c r="I59"/>
  <c r="H59"/>
  <c r="I56"/>
  <c r="F56"/>
  <c r="H56" s="1"/>
  <c r="I55"/>
  <c r="H55"/>
  <c r="F54"/>
  <c r="H54" s="1"/>
  <c r="F53"/>
  <c r="I53" s="1"/>
  <c r="I52"/>
  <c r="H52"/>
  <c r="F51"/>
  <c r="H51" s="1"/>
  <c r="F50"/>
  <c r="I50" s="1"/>
  <c r="F49"/>
  <c r="H49" s="1"/>
  <c r="F48"/>
  <c r="I48" s="1"/>
  <c r="H46"/>
  <c r="H45"/>
  <c r="H43"/>
  <c r="I42"/>
  <c r="H41"/>
  <c r="H40"/>
  <c r="H39"/>
  <c r="H37"/>
  <c r="H36"/>
  <c r="I35"/>
  <c r="F35"/>
  <c r="H35" s="1"/>
  <c r="E35"/>
  <c r="I34"/>
  <c r="F34"/>
  <c r="H34" s="1"/>
  <c r="I33"/>
  <c r="F33"/>
  <c r="H33" s="1"/>
  <c r="I32"/>
  <c r="F32"/>
  <c r="H32" s="1"/>
  <c r="I31"/>
  <c r="F31"/>
  <c r="H31" s="1"/>
  <c r="I28"/>
  <c r="F28"/>
  <c r="H28" s="1"/>
  <c r="E86" i="37"/>
  <c r="F86" s="1"/>
  <c r="F85"/>
  <c r="H85" s="1"/>
  <c r="I83"/>
  <c r="H83"/>
  <c r="H81"/>
  <c r="F79"/>
  <c r="I79" s="1"/>
  <c r="F77"/>
  <c r="H77" s="1"/>
  <c r="H76"/>
  <c r="F75"/>
  <c r="H75" s="1"/>
  <c r="F74"/>
  <c r="H74" s="1"/>
  <c r="F73"/>
  <c r="H73" s="1"/>
  <c r="F71"/>
  <c r="I71" s="1"/>
  <c r="F70"/>
  <c r="H70" s="1"/>
  <c r="F69"/>
  <c r="I69" s="1"/>
  <c r="F68"/>
  <c r="H68" s="1"/>
  <c r="F67"/>
  <c r="I67" s="1"/>
  <c r="F66"/>
  <c r="H66" s="1"/>
  <c r="F65"/>
  <c r="H65" s="1"/>
  <c r="F64"/>
  <c r="H64" s="1"/>
  <c r="F62"/>
  <c r="H62" s="1"/>
  <c r="F61"/>
  <c r="H61" s="1"/>
  <c r="H59"/>
  <c r="F58"/>
  <c r="H58" s="1"/>
  <c r="I57"/>
  <c r="H57"/>
  <c r="I54"/>
  <c r="F54"/>
  <c r="H54" s="1"/>
  <c r="I53"/>
  <c r="H53"/>
  <c r="F52"/>
  <c r="H52" s="1"/>
  <c r="F51"/>
  <c r="I51" s="1"/>
  <c r="I50"/>
  <c r="H50"/>
  <c r="F49"/>
  <c r="H49" s="1"/>
  <c r="F48"/>
  <c r="I48" s="1"/>
  <c r="F47"/>
  <c r="H47" s="1"/>
  <c r="F46"/>
  <c r="I46" s="1"/>
  <c r="F44"/>
  <c r="H44" s="1"/>
  <c r="I43"/>
  <c r="H43"/>
  <c r="F42"/>
  <c r="I42" s="1"/>
  <c r="F41"/>
  <c r="H41" s="1"/>
  <c r="F40"/>
  <c r="I40" s="1"/>
  <c r="F39"/>
  <c r="H39" s="1"/>
  <c r="H38"/>
  <c r="I37"/>
  <c r="H37"/>
  <c r="H35"/>
  <c r="H34"/>
  <c r="I20" i="36"/>
  <c r="E86"/>
  <c r="F86" s="1"/>
  <c r="F85"/>
  <c r="I85" s="1"/>
  <c r="I83"/>
  <c r="H83"/>
  <c r="H81"/>
  <c r="F79"/>
  <c r="I79" s="1"/>
  <c r="F77"/>
  <c r="I77" s="1"/>
  <c r="H76"/>
  <c r="F75"/>
  <c r="H75" s="1"/>
  <c r="I74"/>
  <c r="F74"/>
  <c r="H74" s="1"/>
  <c r="F73"/>
  <c r="H73" s="1"/>
  <c r="F71"/>
  <c r="I71" s="1"/>
  <c r="F70"/>
  <c r="I70" s="1"/>
  <c r="F69"/>
  <c r="I69" s="1"/>
  <c r="F68"/>
  <c r="I68" s="1"/>
  <c r="F67"/>
  <c r="I67" s="1"/>
  <c r="F66"/>
  <c r="I66" s="1"/>
  <c r="F65"/>
  <c r="H65" s="1"/>
  <c r="F64"/>
  <c r="H64" s="1"/>
  <c r="F62"/>
  <c r="I62" s="1"/>
  <c r="F61"/>
  <c r="H61" s="1"/>
  <c r="H59"/>
  <c r="F58"/>
  <c r="I58" s="1"/>
  <c r="I57"/>
  <c r="H57"/>
  <c r="I54"/>
  <c r="F54"/>
  <c r="H54" s="1"/>
  <c r="I53"/>
  <c r="H53"/>
  <c r="F52"/>
  <c r="I52" s="1"/>
  <c r="F51"/>
  <c r="I51" s="1"/>
  <c r="H50"/>
  <c r="I50"/>
  <c r="F49"/>
  <c r="I49" s="1"/>
  <c r="F48"/>
  <c r="I48" s="1"/>
  <c r="F47"/>
  <c r="I47" s="1"/>
  <c r="F46"/>
  <c r="I46" s="1"/>
  <c r="F44"/>
  <c r="I44" s="1"/>
  <c r="I43"/>
  <c r="H43"/>
  <c r="F42"/>
  <c r="I42" s="1"/>
  <c r="F41"/>
  <c r="I41" s="1"/>
  <c r="F40"/>
  <c r="I40" s="1"/>
  <c r="F39"/>
  <c r="I39" s="1"/>
  <c r="H38"/>
  <c r="I37"/>
  <c r="H37"/>
  <c r="H35"/>
  <c r="H34"/>
  <c r="I33"/>
  <c r="F33"/>
  <c r="H33" s="1"/>
  <c r="I32"/>
  <c r="F32"/>
  <c r="H32" s="1"/>
  <c r="I31"/>
  <c r="F31"/>
  <c r="H31" s="1"/>
  <c r="I30"/>
  <c r="H30"/>
  <c r="F30"/>
  <c r="I26"/>
  <c r="H26"/>
  <c r="I25"/>
  <c r="F25"/>
  <c r="H25" s="1"/>
  <c r="I24"/>
  <c r="F24"/>
  <c r="H24" s="1"/>
  <c r="I23"/>
  <c r="F23"/>
  <c r="H23" s="1"/>
  <c r="I22"/>
  <c r="F22"/>
  <c r="H22" s="1"/>
  <c r="I21"/>
  <c r="H21"/>
  <c r="I19"/>
  <c r="F19"/>
  <c r="H19" s="1"/>
  <c r="H51" i="37" l="1"/>
  <c r="H79"/>
  <c r="H42"/>
  <c r="H77" i="36"/>
  <c r="H85"/>
  <c r="H62"/>
  <c r="H54" i="39"/>
  <c r="H63"/>
  <c r="H78"/>
  <c r="H86"/>
  <c r="H71"/>
  <c r="H69"/>
  <c r="H67"/>
  <c r="H51"/>
  <c r="H49"/>
  <c r="I87"/>
  <c r="H87"/>
  <c r="H88" s="1"/>
  <c r="I48"/>
  <c r="I50"/>
  <c r="I53"/>
  <c r="I68"/>
  <c r="I70"/>
  <c r="I72"/>
  <c r="I80"/>
  <c r="H73" i="38"/>
  <c r="H42"/>
  <c r="H81"/>
  <c r="H44"/>
  <c r="H48"/>
  <c r="H71"/>
  <c r="H69"/>
  <c r="H53"/>
  <c r="H50"/>
  <c r="I41"/>
  <c r="I43"/>
  <c r="I46"/>
  <c r="I49"/>
  <c r="I51"/>
  <c r="I54"/>
  <c r="I60"/>
  <c r="I64"/>
  <c r="I68"/>
  <c r="I70"/>
  <c r="I72"/>
  <c r="I79"/>
  <c r="I87"/>
  <c r="I88"/>
  <c r="H71" i="37"/>
  <c r="H69"/>
  <c r="H67"/>
  <c r="H48"/>
  <c r="H46"/>
  <c r="H40"/>
  <c r="H86"/>
  <c r="H87" s="1"/>
  <c r="I86"/>
  <c r="I39"/>
  <c r="I41"/>
  <c r="I47"/>
  <c r="I49"/>
  <c r="I52"/>
  <c r="I58"/>
  <c r="I62"/>
  <c r="I66"/>
  <c r="I68"/>
  <c r="I70"/>
  <c r="I77"/>
  <c r="I85"/>
  <c r="H52" i="36"/>
  <c r="H70"/>
  <c r="H68"/>
  <c r="H66"/>
  <c r="H58"/>
  <c r="H48"/>
  <c r="H46"/>
  <c r="H42"/>
  <c r="H40"/>
  <c r="H86"/>
  <c r="H87" s="1"/>
  <c r="I86"/>
  <c r="H39"/>
  <c r="H41"/>
  <c r="H44"/>
  <c r="H47"/>
  <c r="H49"/>
  <c r="H51"/>
  <c r="H67"/>
  <c r="H69"/>
  <c r="H71"/>
  <c r="H79"/>
  <c r="I95" i="38" l="1"/>
  <c r="I101" i="39"/>
  <c r="H82" i="37"/>
  <c r="I98" i="36"/>
  <c r="H82"/>
  <c r="H83" i="39"/>
  <c r="H84" i="38"/>
  <c r="I92" i="37"/>
  <c r="I73" i="35"/>
  <c r="I53"/>
  <c r="H88"/>
  <c r="E85"/>
  <c r="F85" s="1"/>
  <c r="F84"/>
  <c r="I84" s="1"/>
  <c r="I82"/>
  <c r="H82"/>
  <c r="H80"/>
  <c r="F78"/>
  <c r="H78" s="1"/>
  <c r="F76"/>
  <c r="I76" s="1"/>
  <c r="H75"/>
  <c r="F74"/>
  <c r="H74" s="1"/>
  <c r="F73"/>
  <c r="H73" s="1"/>
  <c r="F72"/>
  <c r="H72" s="1"/>
  <c r="F70"/>
  <c r="H70" s="1"/>
  <c r="F69"/>
  <c r="I69" s="1"/>
  <c r="F68"/>
  <c r="H68" s="1"/>
  <c r="F67"/>
  <c r="I67" s="1"/>
  <c r="F66"/>
  <c r="H66" s="1"/>
  <c r="F65"/>
  <c r="I65" s="1"/>
  <c r="F64"/>
  <c r="H64" s="1"/>
  <c r="I63"/>
  <c r="F63"/>
  <c r="H63" s="1"/>
  <c r="F61"/>
  <c r="I61" s="1"/>
  <c r="F60"/>
  <c r="H60" s="1"/>
  <c r="H58"/>
  <c r="F57"/>
  <c r="I57" s="1"/>
  <c r="I56"/>
  <c r="H56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3"/>
  <c r="I43" s="1"/>
  <c r="I42"/>
  <c r="H42"/>
  <c r="F41"/>
  <c r="H41" s="1"/>
  <c r="F40"/>
  <c r="I40" s="1"/>
  <c r="F39"/>
  <c r="H39" s="1"/>
  <c r="F38"/>
  <c r="I38" s="1"/>
  <c r="H37"/>
  <c r="I36"/>
  <c r="H36"/>
  <c r="H34"/>
  <c r="H33"/>
  <c r="I32"/>
  <c r="F32"/>
  <c r="H32" s="1"/>
  <c r="I31"/>
  <c r="F31"/>
  <c r="H31" s="1"/>
  <c r="I30"/>
  <c r="F30"/>
  <c r="H30" s="1"/>
  <c r="I29"/>
  <c r="F29"/>
  <c r="H29" s="1"/>
  <c r="E85" i="34"/>
  <c r="F85" s="1"/>
  <c r="F84"/>
  <c r="I84" s="1"/>
  <c r="I82"/>
  <c r="H82"/>
  <c r="H80"/>
  <c r="F78"/>
  <c r="I78" s="1"/>
  <c r="F76"/>
  <c r="I76" s="1"/>
  <c r="H75"/>
  <c r="F74"/>
  <c r="H74" s="1"/>
  <c r="F73"/>
  <c r="H73" s="1"/>
  <c r="F72"/>
  <c r="H72" s="1"/>
  <c r="F70"/>
  <c r="I70" s="1"/>
  <c r="F69"/>
  <c r="I69" s="1"/>
  <c r="F68"/>
  <c r="I68" s="1"/>
  <c r="F67"/>
  <c r="I67" s="1"/>
  <c r="F66"/>
  <c r="I66" s="1"/>
  <c r="F65"/>
  <c r="H65" s="1"/>
  <c r="F64"/>
  <c r="H64" s="1"/>
  <c r="I63"/>
  <c r="F63"/>
  <c r="H63" s="1"/>
  <c r="F61"/>
  <c r="H61" s="1"/>
  <c r="F60"/>
  <c r="H60" s="1"/>
  <c r="H58"/>
  <c r="F57"/>
  <c r="H57" s="1"/>
  <c r="I56"/>
  <c r="H56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3"/>
  <c r="I43" s="1"/>
  <c r="I42"/>
  <c r="H42"/>
  <c r="F41"/>
  <c r="I41" s="1"/>
  <c r="F40"/>
  <c r="I40" s="1"/>
  <c r="F39"/>
  <c r="I39" s="1"/>
  <c r="F38"/>
  <c r="I38" s="1"/>
  <c r="H37"/>
  <c r="I36"/>
  <c r="H36"/>
  <c r="H34"/>
  <c r="H33"/>
  <c r="I25"/>
  <c r="H25"/>
  <c r="I24"/>
  <c r="F24"/>
  <c r="H24" s="1"/>
  <c r="I23"/>
  <c r="F23"/>
  <c r="H23" s="1"/>
  <c r="I22"/>
  <c r="F22"/>
  <c r="H22" s="1"/>
  <c r="I21"/>
  <c r="F21"/>
  <c r="H21" s="1"/>
  <c r="I20"/>
  <c r="F20"/>
  <c r="H20" s="1"/>
  <c r="I19"/>
  <c r="F19"/>
  <c r="H19" s="1"/>
  <c r="H89" i="33"/>
  <c r="E86"/>
  <c r="F86" s="1"/>
  <c r="F85"/>
  <c r="I85" s="1"/>
  <c r="I83"/>
  <c r="H83"/>
  <c r="H81"/>
  <c r="F79"/>
  <c r="H79" s="1"/>
  <c r="F77"/>
  <c r="I77" s="1"/>
  <c r="H76"/>
  <c r="F75"/>
  <c r="H75" s="1"/>
  <c r="I74"/>
  <c r="F74"/>
  <c r="H74" s="1"/>
  <c r="F73"/>
  <c r="H73" s="1"/>
  <c r="F71"/>
  <c r="H71" s="1"/>
  <c r="F70"/>
  <c r="I70" s="1"/>
  <c r="F69"/>
  <c r="H69" s="1"/>
  <c r="F68"/>
  <c r="I68" s="1"/>
  <c r="F67"/>
  <c r="H67" s="1"/>
  <c r="F66"/>
  <c r="I66" s="1"/>
  <c r="F65"/>
  <c r="H65" s="1"/>
  <c r="F64"/>
  <c r="H64" s="1"/>
  <c r="F62"/>
  <c r="I62" s="1"/>
  <c r="F61"/>
  <c r="H61" s="1"/>
  <c r="H59"/>
  <c r="F58"/>
  <c r="I58" s="1"/>
  <c r="I57"/>
  <c r="H57"/>
  <c r="F54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F40"/>
  <c r="H40" s="1"/>
  <c r="F39"/>
  <c r="I39" s="1"/>
  <c r="H38"/>
  <c r="I37"/>
  <c r="H37"/>
  <c r="H35"/>
  <c r="H34"/>
  <c r="I33"/>
  <c r="F33"/>
  <c r="H33" s="1"/>
  <c r="I32"/>
  <c r="F32"/>
  <c r="H32" s="1"/>
  <c r="I31"/>
  <c r="F31"/>
  <c r="H31" s="1"/>
  <c r="I30"/>
  <c r="F30"/>
  <c r="H30" s="1"/>
  <c r="I26"/>
  <c r="H26"/>
  <c r="I25"/>
  <c r="F25"/>
  <c r="H25" s="1"/>
  <c r="I24"/>
  <c r="F24"/>
  <c r="H24" s="1"/>
  <c r="I23"/>
  <c r="F23"/>
  <c r="H23" s="1"/>
  <c r="I22"/>
  <c r="F22"/>
  <c r="H22" s="1"/>
  <c r="I21"/>
  <c r="F21"/>
  <c r="H21" s="1"/>
  <c r="I20"/>
  <c r="H20"/>
  <c r="I19"/>
  <c r="F19"/>
  <c r="H19" s="1"/>
  <c r="I82" i="32"/>
  <c r="I33"/>
  <c r="I32"/>
  <c r="I31"/>
  <c r="I30"/>
  <c r="H89"/>
  <c r="H88"/>
  <c r="H84"/>
  <c r="H82"/>
  <c r="H80"/>
  <c r="H78"/>
  <c r="I76"/>
  <c r="H75"/>
  <c r="F74"/>
  <c r="H74" s="1"/>
  <c r="I73"/>
  <c r="F73"/>
  <c r="H73" s="1"/>
  <c r="F72"/>
  <c r="H72" s="1"/>
  <c r="F70"/>
  <c r="H70" s="1"/>
  <c r="I69"/>
  <c r="H68"/>
  <c r="I67"/>
  <c r="H66"/>
  <c r="I65"/>
  <c r="H64"/>
  <c r="F62"/>
  <c r="I62" s="1"/>
  <c r="F61"/>
  <c r="H61" s="1"/>
  <c r="H59"/>
  <c r="F58"/>
  <c r="I58" s="1"/>
  <c r="I57"/>
  <c r="H57"/>
  <c r="F54"/>
  <c r="H54" s="1"/>
  <c r="I53"/>
  <c r="H53"/>
  <c r="I52"/>
  <c r="H51"/>
  <c r="I50"/>
  <c r="H49"/>
  <c r="I48"/>
  <c r="H47"/>
  <c r="I46"/>
  <c r="F44"/>
  <c r="H44" s="1"/>
  <c r="I43"/>
  <c r="H43"/>
  <c r="F42"/>
  <c r="I42" s="1"/>
  <c r="F41"/>
  <c r="H41" s="1"/>
  <c r="F40"/>
  <c r="I40" s="1"/>
  <c r="F39"/>
  <c r="H39" s="1"/>
  <c r="H38"/>
  <c r="I37"/>
  <c r="H37"/>
  <c r="H35"/>
  <c r="H34"/>
  <c r="H33"/>
  <c r="H31"/>
  <c r="I77" i="31"/>
  <c r="H88"/>
  <c r="H84"/>
  <c r="H82"/>
  <c r="H79"/>
  <c r="F78"/>
  <c r="H78" s="1"/>
  <c r="F77"/>
  <c r="H77" s="1"/>
  <c r="F76"/>
  <c r="H76" s="1"/>
  <c r="F72"/>
  <c r="I72" s="1"/>
  <c r="F71"/>
  <c r="H71" s="1"/>
  <c r="F70"/>
  <c r="I70" s="1"/>
  <c r="F69"/>
  <c r="H69" s="1"/>
  <c r="F68"/>
  <c r="I68" s="1"/>
  <c r="F67"/>
  <c r="H67" s="1"/>
  <c r="F66"/>
  <c r="H66" s="1"/>
  <c r="I65"/>
  <c r="F65"/>
  <c r="H65" s="1"/>
  <c r="F63"/>
  <c r="H63" s="1"/>
  <c r="F62"/>
  <c r="H62" s="1"/>
  <c r="H60"/>
  <c r="I58"/>
  <c r="H58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H36"/>
  <c r="H35"/>
  <c r="F34"/>
  <c r="H34" s="1"/>
  <c r="E34"/>
  <c r="F33"/>
  <c r="H33" s="1"/>
  <c r="F32"/>
  <c r="I32" s="1"/>
  <c r="F31"/>
  <c r="H31" s="1"/>
  <c r="F30"/>
  <c r="I30" s="1"/>
  <c r="H54" i="33" l="1"/>
  <c r="I54"/>
  <c r="H62"/>
  <c r="H77"/>
  <c r="H85"/>
  <c r="H61" i="35"/>
  <c r="H76"/>
  <c r="H84"/>
  <c r="H69"/>
  <c r="H67"/>
  <c r="H65"/>
  <c r="H57"/>
  <c r="H81" s="1"/>
  <c r="H50"/>
  <c r="H48"/>
  <c r="H46"/>
  <c r="H43"/>
  <c r="H40"/>
  <c r="H38"/>
  <c r="I85"/>
  <c r="H85"/>
  <c r="H86" s="1"/>
  <c r="I39"/>
  <c r="I41"/>
  <c r="I45"/>
  <c r="I47"/>
  <c r="I49"/>
  <c r="I51"/>
  <c r="I66"/>
  <c r="I68"/>
  <c r="I70"/>
  <c r="I78"/>
  <c r="H51" i="34"/>
  <c r="H78"/>
  <c r="H70"/>
  <c r="H68"/>
  <c r="H66"/>
  <c r="H49"/>
  <c r="I48"/>
  <c r="H47"/>
  <c r="H45"/>
  <c r="H41"/>
  <c r="H39"/>
  <c r="I85"/>
  <c r="H85"/>
  <c r="H86" s="1"/>
  <c r="I46"/>
  <c r="I50"/>
  <c r="I57"/>
  <c r="I61"/>
  <c r="I65"/>
  <c r="H38"/>
  <c r="H40"/>
  <c r="H43"/>
  <c r="H67"/>
  <c r="H69"/>
  <c r="H76"/>
  <c r="H84"/>
  <c r="H70" i="33"/>
  <c r="H68"/>
  <c r="H66"/>
  <c r="H58"/>
  <c r="H51"/>
  <c r="H49"/>
  <c r="H47"/>
  <c r="H44"/>
  <c r="H41"/>
  <c r="H39"/>
  <c r="I86"/>
  <c r="H86"/>
  <c r="H87" s="1"/>
  <c r="I40"/>
  <c r="I42"/>
  <c r="I46"/>
  <c r="I48"/>
  <c r="I50"/>
  <c r="I52"/>
  <c r="I67"/>
  <c r="I69"/>
  <c r="I71"/>
  <c r="I79"/>
  <c r="H48" i="32"/>
  <c r="H52"/>
  <c r="H62"/>
  <c r="H67"/>
  <c r="H50"/>
  <c r="H65"/>
  <c r="H69"/>
  <c r="H76"/>
  <c r="H58"/>
  <c r="H85"/>
  <c r="H86" s="1"/>
  <c r="I85"/>
  <c r="H30"/>
  <c r="H32"/>
  <c r="I39"/>
  <c r="H40"/>
  <c r="I41"/>
  <c r="H42"/>
  <c r="I44"/>
  <c r="H46"/>
  <c r="I47"/>
  <c r="I49"/>
  <c r="I51"/>
  <c r="I66"/>
  <c r="I68"/>
  <c r="I70"/>
  <c r="I78"/>
  <c r="I84"/>
  <c r="H72" i="31"/>
  <c r="H70"/>
  <c r="H68"/>
  <c r="H47"/>
  <c r="H49"/>
  <c r="H51"/>
  <c r="H53"/>
  <c r="H32"/>
  <c r="H30"/>
  <c r="I31"/>
  <c r="I33"/>
  <c r="I34"/>
  <c r="I48"/>
  <c r="I50"/>
  <c r="I52"/>
  <c r="I55"/>
  <c r="I63"/>
  <c r="I67"/>
  <c r="I69"/>
  <c r="I71"/>
  <c r="I98" i="33" l="1"/>
  <c r="I93" i="32"/>
  <c r="I92" i="34"/>
  <c r="H81" i="32"/>
  <c r="H83" i="31"/>
  <c r="I106"/>
  <c r="H82" i="33"/>
  <c r="I92" i="35"/>
  <c r="H81" i="34"/>
  <c r="I66" i="30"/>
  <c r="I59"/>
  <c r="I87"/>
  <c r="H85"/>
  <c r="H83"/>
  <c r="I81"/>
  <c r="I79"/>
  <c r="H78"/>
  <c r="F77"/>
  <c r="H77" s="1"/>
  <c r="F76"/>
  <c r="H76" s="1"/>
  <c r="F75"/>
  <c r="H75" s="1"/>
  <c r="F73"/>
  <c r="I73" s="1"/>
  <c r="F72"/>
  <c r="H72" s="1"/>
  <c r="F71"/>
  <c r="I71" s="1"/>
  <c r="F70"/>
  <c r="H70" s="1"/>
  <c r="F69"/>
  <c r="I69" s="1"/>
  <c r="F68"/>
  <c r="I68" s="1"/>
  <c r="F67"/>
  <c r="H67" s="1"/>
  <c r="F66"/>
  <c r="H66" s="1"/>
  <c r="F64"/>
  <c r="I64" s="1"/>
  <c r="F63"/>
  <c r="H63" s="1"/>
  <c r="H61"/>
  <c r="I60"/>
  <c r="H59"/>
  <c r="F58"/>
  <c r="I58" s="1"/>
  <c r="F55"/>
  <c r="I55" s="1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I45"/>
  <c r="H44"/>
  <c r="H43"/>
  <c r="I42"/>
  <c r="I41"/>
  <c r="I40"/>
  <c r="H39"/>
  <c r="H38"/>
  <c r="H36"/>
  <c r="H35"/>
  <c r="F34"/>
  <c r="I34" s="1"/>
  <c r="E34"/>
  <c r="F33"/>
  <c r="I33" s="1"/>
  <c r="F32"/>
  <c r="I32" s="1"/>
  <c r="F31"/>
  <c r="I31" s="1"/>
  <c r="F30"/>
  <c r="I30" s="1"/>
  <c r="I44" i="17"/>
  <c r="H30" i="30" l="1"/>
  <c r="H41"/>
  <c r="H51"/>
  <c r="H58"/>
  <c r="H68"/>
  <c r="H81"/>
  <c r="H87"/>
  <c r="H32"/>
  <c r="H47"/>
  <c r="H53"/>
  <c r="H64"/>
  <c r="H60"/>
  <c r="H49"/>
  <c r="H88"/>
  <c r="H89" s="1"/>
  <c r="I88"/>
  <c r="H31"/>
  <c r="H33"/>
  <c r="H34"/>
  <c r="H40"/>
  <c r="H42"/>
  <c r="H45"/>
  <c r="H48"/>
  <c r="H50"/>
  <c r="H52"/>
  <c r="H55"/>
  <c r="H69"/>
  <c r="I70"/>
  <c r="H71"/>
  <c r="I72"/>
  <c r="H73"/>
  <c r="H79"/>
  <c r="H84" l="1"/>
  <c r="I93"/>
  <c r="H87" i="29" l="1"/>
  <c r="H85"/>
  <c r="H83"/>
  <c r="H81"/>
  <c r="I79"/>
  <c r="H78"/>
  <c r="F77"/>
  <c r="H77" s="1"/>
  <c r="F76"/>
  <c r="H76" s="1"/>
  <c r="F75"/>
  <c r="H75" s="1"/>
  <c r="F73"/>
  <c r="I73" s="1"/>
  <c r="F72"/>
  <c r="H72" s="1"/>
  <c r="F71"/>
  <c r="I71" s="1"/>
  <c r="F70"/>
  <c r="H70" s="1"/>
  <c r="F69"/>
  <c r="I69" s="1"/>
  <c r="F68"/>
  <c r="H68" s="1"/>
  <c r="F67"/>
  <c r="H67" s="1"/>
  <c r="F66"/>
  <c r="H66" s="1"/>
  <c r="I64"/>
  <c r="F63"/>
  <c r="H63" s="1"/>
  <c r="H61"/>
  <c r="I60"/>
  <c r="H59"/>
  <c r="F58"/>
  <c r="H55"/>
  <c r="I54"/>
  <c r="H54"/>
  <c r="F53"/>
  <c r="I53" s="1"/>
  <c r="F52"/>
  <c r="H52" s="1"/>
  <c r="I51"/>
  <c r="F50"/>
  <c r="H50" s="1"/>
  <c r="F49"/>
  <c r="I49" s="1"/>
  <c r="F48"/>
  <c r="H48" s="1"/>
  <c r="F47"/>
  <c r="I47" s="1"/>
  <c r="H45"/>
  <c r="H44"/>
  <c r="H42"/>
  <c r="I41"/>
  <c r="H40"/>
  <c r="H39"/>
  <c r="H38"/>
  <c r="H36"/>
  <c r="H35"/>
  <c r="F34"/>
  <c r="H34" s="1"/>
  <c r="E34"/>
  <c r="F33"/>
  <c r="H33" s="1"/>
  <c r="F32"/>
  <c r="I32" s="1"/>
  <c r="F31"/>
  <c r="H31" s="1"/>
  <c r="F30"/>
  <c r="I30" s="1"/>
  <c r="H94" i="17"/>
  <c r="H93"/>
  <c r="H92"/>
  <c r="H91"/>
  <c r="H88" i="29" l="1"/>
  <c r="H89" s="1"/>
  <c r="I88"/>
  <c r="H30"/>
  <c r="I31"/>
  <c r="H32"/>
  <c r="I33"/>
  <c r="I34"/>
  <c r="I40"/>
  <c r="H41"/>
  <c r="I42"/>
  <c r="H43"/>
  <c r="I45"/>
  <c r="H47"/>
  <c r="I48"/>
  <c r="H49"/>
  <c r="I50"/>
  <c r="H51"/>
  <c r="I52"/>
  <c r="H53"/>
  <c r="I55"/>
  <c r="H58"/>
  <c r="H60"/>
  <c r="H64"/>
  <c r="I68"/>
  <c r="H69"/>
  <c r="I70"/>
  <c r="H71"/>
  <c r="I72"/>
  <c r="H73"/>
  <c r="H79"/>
  <c r="I81"/>
  <c r="I87"/>
  <c r="I99" l="1"/>
  <c r="H84"/>
  <c r="I54" i="17" l="1"/>
  <c r="I26"/>
  <c r="I87" l="1"/>
  <c r="H85"/>
  <c r="H83"/>
  <c r="I81"/>
  <c r="H78"/>
  <c r="F77"/>
  <c r="H77" s="1"/>
  <c r="F76"/>
  <c r="H76" s="1"/>
  <c r="F75"/>
  <c r="H75" s="1"/>
  <c r="F73"/>
  <c r="F72"/>
  <c r="F71"/>
  <c r="F70"/>
  <c r="F69"/>
  <c r="F68"/>
  <c r="F67"/>
  <c r="H67" s="1"/>
  <c r="F66"/>
  <c r="H66" s="1"/>
  <c r="F64"/>
  <c r="I64" s="1"/>
  <c r="F63"/>
  <c r="H63" s="1"/>
  <c r="H61"/>
  <c r="I60"/>
  <c r="H59"/>
  <c r="F58"/>
  <c r="I58" s="1"/>
  <c r="F55"/>
  <c r="H54"/>
  <c r="F53"/>
  <c r="F52"/>
  <c r="H51"/>
  <c r="F50"/>
  <c r="F49"/>
  <c r="F48"/>
  <c r="F47"/>
  <c r="H45"/>
  <c r="H44"/>
  <c r="I43"/>
  <c r="H42"/>
  <c r="I41"/>
  <c r="H40"/>
  <c r="H39"/>
  <c r="H38"/>
  <c r="H36"/>
  <c r="H35"/>
  <c r="H27"/>
  <c r="F34"/>
  <c r="E34"/>
  <c r="F33"/>
  <c r="F32"/>
  <c r="F31"/>
  <c r="F30"/>
  <c r="H26"/>
  <c r="F25"/>
  <c r="F24"/>
  <c r="F23"/>
  <c r="F22"/>
  <c r="F21"/>
  <c r="H20"/>
  <c r="F19"/>
  <c r="I18"/>
  <c r="H17"/>
  <c r="I16"/>
  <c r="H79" l="1"/>
  <c r="I79"/>
  <c r="H55"/>
  <c r="I55"/>
  <c r="H68"/>
  <c r="I68"/>
  <c r="H70"/>
  <c r="I70"/>
  <c r="H72"/>
  <c r="I72"/>
  <c r="H69"/>
  <c r="I69"/>
  <c r="H71"/>
  <c r="I71"/>
  <c r="H73"/>
  <c r="I73"/>
  <c r="H48"/>
  <c r="I48"/>
  <c r="H50"/>
  <c r="I50"/>
  <c r="H47"/>
  <c r="I47"/>
  <c r="H49"/>
  <c r="I49"/>
  <c r="H52"/>
  <c r="I52"/>
  <c r="H53"/>
  <c r="I53"/>
  <c r="H34"/>
  <c r="I34"/>
  <c r="H31"/>
  <c r="I31"/>
  <c r="H33"/>
  <c r="I33"/>
  <c r="H30"/>
  <c r="I30"/>
  <c r="H32"/>
  <c r="I32"/>
  <c r="H22"/>
  <c r="I22"/>
  <c r="H21"/>
  <c r="I21"/>
  <c r="H23"/>
  <c r="I23"/>
  <c r="H25"/>
  <c r="I25"/>
  <c r="H24"/>
  <c r="I24"/>
  <c r="H43"/>
  <c r="H19"/>
  <c r="I19"/>
  <c r="H16"/>
  <c r="H58"/>
  <c r="H64"/>
  <c r="H18"/>
  <c r="H41"/>
  <c r="H60"/>
  <c r="H88"/>
  <c r="I88"/>
  <c r="I20"/>
  <c r="I27"/>
  <c r="I40"/>
  <c r="I42"/>
  <c r="I45"/>
  <c r="I51"/>
  <c r="H81"/>
  <c r="H87"/>
  <c r="I17"/>
  <c r="H84" l="1"/>
  <c r="H89" l="1"/>
  <c r="I100" l="1"/>
</calcChain>
</file>

<file path=xl/sharedStrings.xml><?xml version="1.0" encoding="utf-8"?>
<sst xmlns="http://schemas.openxmlformats.org/spreadsheetml/2006/main" count="2821" uniqueCount="301">
  <si>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</si>
  <si>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</si>
  <si>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</si>
  <si>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</si>
  <si>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</si>
  <si>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</si>
  <si>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</si>
  <si>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</si>
  <si>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</si>
  <si>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</si>
  <si>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</si>
  <si>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</si>
  <si>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</si>
  <si>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</si>
  <si>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</si>
  <si>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</si>
  <si>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</si>
  <si>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</si>
  <si>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</si>
  <si>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</si>
  <si>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</si>
  <si>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</si>
  <si>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</si>
  <si>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</si>
  <si>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</si>
  <si>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</si>
  <si>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</si>
  <si>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</si>
  <si>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</si>
  <si>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</si>
  <si>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</si>
  <si>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</si>
  <si>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</si>
  <si>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</si>
  <si>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</si>
  <si>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</si>
  <si>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</si>
  <si>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</si>
  <si>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</si>
  <si>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</si>
  <si>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</si>
  <si>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</si>
  <si>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</si>
  <si>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</si>
  <si>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</si>
  <si>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</si>
  <si>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</si>
  <si>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</si>
  <si>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</si>
  <si>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</si>
  <si>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</si>
  <si>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</si>
  <si>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</si>
  <si>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</si>
  <si>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</si>
  <si>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</si>
  <si>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</si>
  <si>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</si>
  <si>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</si>
  <si>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</si>
  <si>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</si>
  <si>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</si>
  <si>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</si>
  <si>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</si>
  <si>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</si>
  <si>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</si>
  <si>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</si>
  <si>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</si>
  <si>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</si>
  <si>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</si>
  <si>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</si>
  <si>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</si>
  <si>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</si>
  <si>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</si>
  <si>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</si>
  <si>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</si>
  <si>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</si>
  <si>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</si>
  <si>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</si>
  <si>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</si>
  <si>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</si>
  <si>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</si>
  <si>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</si>
  <si>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</si>
  <si>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</si>
  <si>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</si>
  <si>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</si>
  <si>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</si>
  <si>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</si>
  <si>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</si>
  <si>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</si>
  <si>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</si>
  <si>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</si>
  <si>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</si>
  <si>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</si>
  <si>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</si>
  <si>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Уборка контейнерной площадки (16 кв.м.)</t>
  </si>
  <si>
    <t>Уборка газонов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</si>
  <si>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</si>
  <si>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</si>
  <si>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</si>
  <si>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</si>
  <si>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</si>
  <si>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</si>
  <si>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</si>
  <si>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</si>
  <si>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</si>
  <si>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</si>
  <si>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>Подметание территории с усовершенствованным покрытием асф.: крыльца, контейнерн пл., проезд, тротуар</t>
  </si>
  <si>
    <t>Дератизация</t>
  </si>
  <si>
    <t>Влажная протирка шкафов для щитов и слаботочн.ус.</t>
  </si>
  <si>
    <t>Прочистка каналов</t>
  </si>
  <si>
    <t>1 шт</t>
  </si>
  <si>
    <t>Вывоз снега с придомовой территории</t>
  </si>
  <si>
    <t>1м3</t>
  </si>
  <si>
    <t>30 раз за сезон</t>
  </si>
  <si>
    <t>35 раз за сезон</t>
  </si>
  <si>
    <t xml:space="preserve">Осмотр рулонной кровли </t>
  </si>
  <si>
    <t>Очистка края кровли от слежавшегося снега со сбрасыванием сосулек (10% от S кровли и козырьки)</t>
  </si>
  <si>
    <t>Очистка водостоков от наледи</t>
  </si>
  <si>
    <t>Очистка внутреннего водостока</t>
  </si>
  <si>
    <t>водосток</t>
  </si>
  <si>
    <t xml:space="preserve"> </t>
  </si>
  <si>
    <t>Смена арматуры - вентилей и клапанов обратных муфтовых диаметром до 20 мм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</si>
  <si>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</si>
  <si>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</si>
  <si>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</si>
  <si>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</si>
  <si>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</si>
  <si>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м</t>
  </si>
  <si>
    <t>5 раз в год</t>
  </si>
  <si>
    <t>АКТ №2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</si>
  <si>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д.9</t>
    </r>
  </si>
  <si>
    <t>Итого затраты за месяц</t>
  </si>
  <si>
    <t>52 раза в сезон</t>
  </si>
  <si>
    <t>78 раз за сезон</t>
  </si>
  <si>
    <t>Очистка урн от мусора</t>
  </si>
  <si>
    <t>Сдвигание снега в дни снегопада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</si>
  <si>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</si>
  <si>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</si>
  <si>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</si>
  <si>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</si>
  <si>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Очистка от мусора</t>
  </si>
  <si>
    <t>Смена светодиодных светильников (со стоимостью светильника)</t>
  </si>
  <si>
    <t>Смена плавкой вставки в электрощитке</t>
  </si>
  <si>
    <t>Смена светильников РКУ</t>
  </si>
  <si>
    <t xml:space="preserve">Снятие показаний с общедомовых приборов учёта </t>
  </si>
  <si>
    <t>Водоснабжение, канализация</t>
  </si>
  <si>
    <t>ТО внутренних сетей водопровода и канализации</t>
  </si>
  <si>
    <t>руб/м2 в мес</t>
  </si>
  <si>
    <t>АКТ №3</t>
  </si>
  <si>
    <t>III. Содержание общего имущества МКД</t>
  </si>
  <si>
    <t>IV. Прочие услуги</t>
  </si>
  <si>
    <t>Подключение и отключение сварочного аппарата</t>
  </si>
  <si>
    <t>АКТ №5</t>
  </si>
  <si>
    <t>АКТ №6</t>
  </si>
  <si>
    <t>Осмотр электросетей, армазуры и электрооборудования на лестничных клетках</t>
  </si>
  <si>
    <t>ООО «Движение»</t>
  </si>
  <si>
    <t>АКТ №7</t>
  </si>
  <si>
    <t xml:space="preserve">приемки оказанных услуг и выполненных работ по содержанию и текущему ремонту
общего имущества в многоквартирном доме №9 по ул.Строительная пгт.Ярега
</t>
  </si>
  <si>
    <t>АКТ №8</t>
  </si>
  <si>
    <t>АКТ №4</t>
  </si>
  <si>
    <t>АКТ №9</t>
  </si>
  <si>
    <t>АКТ №10</t>
  </si>
  <si>
    <t>АКТ №11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</si>
  <si>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</si>
  <si>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</si>
  <si>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по мере необходимости</t>
  </si>
  <si>
    <t>Осмотр СО ( в начале и конце отопительного сезона)</t>
  </si>
  <si>
    <t>АКТ №12</t>
  </si>
  <si>
    <t>1м2</t>
  </si>
  <si>
    <t>Закрыли выход на кровлю</t>
  </si>
  <si>
    <r>
      <t xml:space="preserve">    Собственники помещений в многоквартирном доме, расположенном по адресу:  пгт.Ярега,  ул.Строительная,  д.9,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08.05.2018г.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</si>
  <si>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Осмотр деревянных и иных заполнений проемов</t>
  </si>
  <si>
    <t>Организация и содержание мест накопления ТКО</t>
  </si>
  <si>
    <t>21 раз</t>
  </si>
  <si>
    <t>13 раз</t>
  </si>
  <si>
    <t>8 раз</t>
  </si>
  <si>
    <t>1 раз</t>
  </si>
  <si>
    <t>5 раз</t>
  </si>
  <si>
    <t>25 раз</t>
  </si>
  <si>
    <t>6 раз</t>
  </si>
  <si>
    <t>7 раз</t>
  </si>
  <si>
    <t xml:space="preserve">2 раза </t>
  </si>
  <si>
    <t xml:space="preserve">1 раз </t>
  </si>
  <si>
    <t>2 раза</t>
  </si>
  <si>
    <r>
      <t xml:space="preserve">    Собственники помещений в многоквартирном доме, расположенном по адресу:  пгт.Ярега,  ул.Строительная,  д.9,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08.05.2018 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</si>
  <si>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1,5 маш/час</t>
  </si>
  <si>
    <t>руб</t>
  </si>
  <si>
    <t>10 м2</t>
  </si>
  <si>
    <t>2 шт., под.№2</t>
  </si>
  <si>
    <t>Смена арматуры - вентилей и клапанов обратных муфтовых диаметром до 32 мм</t>
  </si>
  <si>
    <t>подвал</t>
  </si>
  <si>
    <t>за период с 01.01.2020 г. по 31.01.2020 г.</t>
  </si>
  <si>
    <t>Установка заглушек диаметром трубопроводов до 100 мм</t>
  </si>
  <si>
    <t>заглушка</t>
  </si>
  <si>
    <t>Смена внутренних трубопроводов на полипропиленовые трубы PN 20 Dу25</t>
  </si>
  <si>
    <t>Смена внутренних трубопроводов на полипропиленовые трубы PN 25 Dу25</t>
  </si>
  <si>
    <t>Смена внутренних трубопроводов на полипропиленовые трубы PN 25 Dу20</t>
  </si>
  <si>
    <t>кв.32</t>
  </si>
  <si>
    <t>2 м- ХВС с 3-го этажа по 5-й; 1 м ГВС с 30 кв. до чердака</t>
  </si>
  <si>
    <t>р/у ХВС</t>
  </si>
  <si>
    <t>4 м ХВС с3-го этажа по 5-й; 6 м ГВС с 30 кв. до чердака; 6 м ГВС до подвала</t>
  </si>
  <si>
    <t>4 м ХВС  со 2 кв. до подвала</t>
  </si>
  <si>
    <t>2 шт ХВС подвал</t>
  </si>
  <si>
    <t>за период с 01.02.2020 г. по 29.02.2020 г.</t>
  </si>
  <si>
    <t>10,18,21 февраля</t>
  </si>
  <si>
    <t>Смена внутренних трубопроводов на полипропиленовые трубы PN 25 Dу32</t>
  </si>
  <si>
    <t>Осмотр кровли рулонной</t>
  </si>
  <si>
    <t>ГВС со 2 эт. до 1 эт., 2 м</t>
  </si>
  <si>
    <t>кв.38</t>
  </si>
  <si>
    <t>ГВС с чердака до подвала 20 м</t>
  </si>
  <si>
    <t>Сняли лист железа с оголовка</t>
  </si>
  <si>
    <t>за период с 01.03.2020 г. по 31.03.2020 г.</t>
  </si>
  <si>
    <t>3,19 марта</t>
  </si>
  <si>
    <t>25 марта</t>
  </si>
  <si>
    <t>2. Всего за период с 01.03.2020 по 31.03.2020 выполнено работ (оказано услуг) на общую сумму: 39292,83 руб.</t>
  </si>
  <si>
    <t>(тридцать девять тысяч двести девяносто два рубля 83 копейки)</t>
  </si>
  <si>
    <t>за период с 01.04.2020 г. по 30.04.2020 г.</t>
  </si>
  <si>
    <t>Смена полипропиленовых канализационных труб ПП Dу 100*2000</t>
  </si>
  <si>
    <t>Смена полипропиленовых канализационных труб ПП Dу 100*1000</t>
  </si>
  <si>
    <t>Отвод 100-90</t>
  </si>
  <si>
    <t>Отвод 100-45</t>
  </si>
  <si>
    <t>Ревизия 100</t>
  </si>
  <si>
    <t>тройник 100</t>
  </si>
  <si>
    <t>Переход чугун-пластик 100</t>
  </si>
  <si>
    <t>Муфта ремонтная 100</t>
  </si>
  <si>
    <t>Установка хомута диамтром до 50 мм</t>
  </si>
  <si>
    <t>Смена выключателей ( без материалов)</t>
  </si>
  <si>
    <t>Вскрыли кород для работ ВДИС</t>
  </si>
  <si>
    <t>кан.лежак в подвале под под.№2</t>
  </si>
  <si>
    <t>ХВС с 5 эт. до 3 эт. - 8м</t>
  </si>
  <si>
    <t>в 3-х кв.</t>
  </si>
  <si>
    <t>под.№1 эт.5</t>
  </si>
  <si>
    <t>ГВС кв.16;ХВС кв.16</t>
  </si>
  <si>
    <t>в 1 и 2 под.</t>
  </si>
  <si>
    <t>14 апреля</t>
  </si>
  <si>
    <t>за период с 01.05.2020 г. по 31.05.2020 г.</t>
  </si>
  <si>
    <t>ГВС 26 м до подвала</t>
  </si>
  <si>
    <t>ХВС 9 м до подвала</t>
  </si>
  <si>
    <t>кв.4</t>
  </si>
  <si>
    <t>2. Всего за период с 01.05.2020 по 31.05.2020 выполнено работ (оказано услуг) на общую сумму: 90453,60 руб.</t>
  </si>
  <si>
    <t>(девяносто тысяч четыреста пятьдесят три рубля 60 копееек)</t>
  </si>
  <si>
    <t>за период с 01.06.2020 г. по 30.06.2020 г.</t>
  </si>
  <si>
    <t xml:space="preserve">1 раз    </t>
  </si>
  <si>
    <t xml:space="preserve">1 раз  </t>
  </si>
  <si>
    <t xml:space="preserve">1 раз     </t>
  </si>
  <si>
    <t xml:space="preserve">1 раз      </t>
  </si>
  <si>
    <t>Закрепили канализационный лежак</t>
  </si>
  <si>
    <t>Замена соед. муфты</t>
  </si>
  <si>
    <t>Патрубок компенсационный 100</t>
  </si>
  <si>
    <t>ГВС подвал - 1 шт</t>
  </si>
  <si>
    <t>кв.37</t>
  </si>
  <si>
    <t>кв.37 - 0,5 м</t>
  </si>
  <si>
    <t>ГВС кв.31 -2 шт.</t>
  </si>
  <si>
    <t>за период с 01.07.2020 г. по 31.07.2020 г.</t>
  </si>
  <si>
    <t>2 шт. р/у</t>
  </si>
  <si>
    <t>Осмотр водопроводов, канализации, отопления</t>
  </si>
  <si>
    <t>п/с кв.32 - 1 шт.</t>
  </si>
  <si>
    <t>за период с 01.08.2020 г. по 31.08.2020 г.</t>
  </si>
  <si>
    <t>за период с 01.09.2020 г. по 30.09.2020 г.</t>
  </si>
  <si>
    <t>3 раза</t>
  </si>
  <si>
    <t>Установка циркуляционного насоса на ГВС</t>
  </si>
  <si>
    <t>Осмотр системы центрального отопления в чердачных и подвальных помещениях</t>
  </si>
  <si>
    <t>подвал 1 шт.</t>
  </si>
  <si>
    <t>за период с 01.10.2020 г. по 31.10.2020 г.</t>
  </si>
  <si>
    <r>
      <t xml:space="preserve">    Собственники помещений в многоквартирном доме, расположенном по адресу:  пгт.Ярега,  ул.Строительная,  д.9,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08.05.2018 г. стороны,  и ООО «Движение»,  именуемое в дальнейшем "Исполнитель",  в лице генерального директора Кочановой Ирины Леонидовны,  действующего на основании Устава,  с другой стороны, совместно именуемые "Стороны",  составили настоящий Акт о нижеследующем:</t>
    </r>
  </si>
  <si>
    <t>генеральный директор Кочанова И.Л.</t>
  </si>
  <si>
    <t>ГВС  кв.14 2 шт.</t>
  </si>
  <si>
    <t>за период с 01.11.2020 г. по 30.11.2020 г.</t>
  </si>
  <si>
    <t>2. Всего за период с 01.11.2020 по 30.11.2020 выполнено работ (оказано услуг) на общую сумму: 44542,89 руб.</t>
  </si>
  <si>
    <t>( сорок четыре тысячи пятьсот сорок два рубля 89 копеек)</t>
  </si>
  <si>
    <t>2. Всего за период с 01.10.2020 по 31.10.2020 выполнено работ (оказано услуг) на общую сумму: 36258,07 руб.</t>
  </si>
  <si>
    <t>(тридцать шесть тысяч двести пятьдесят восемь рублей 07 копеек )</t>
  </si>
  <si>
    <t>за период с 01.12.2020 г. по 31.12.2020 г.</t>
  </si>
  <si>
    <t>0,8 ч ( 18 и 21 дек.)</t>
  </si>
  <si>
    <t>Очистка канализационной сети внутренней</t>
  </si>
  <si>
    <t>Настройка таймера освещения</t>
  </si>
  <si>
    <t>ГВС в.18-1 шт.</t>
  </si>
  <si>
    <t>4 м ГВС от кв.18 до чердака</t>
  </si>
  <si>
    <t>1 шт. ГВС - чердак</t>
  </si>
  <si>
    <t>2. Всего за период с 01.01.2020 по 31.01.2020 выполнено работ (оказано услуг) на общую сумму: 76964,34 руб.</t>
  </si>
  <si>
    <t>(семьдесят пять тысяч девятьсот шестьдесят четыре рубля 34 копейки)</t>
  </si>
  <si>
    <t>2. Всего за период с 01.02.2020 по 29.02.2020 выполнено работ (оказано услуг) на общую сумму: 75013,53 руб.</t>
  </si>
  <si>
    <t>(семьдесят пять тысяч тринадцать рублей 53 копейки)</t>
  </si>
  <si>
    <t>Сборка канализационного лежака</t>
  </si>
  <si>
    <t>2. Всего за период с 01.04.2020 по 31.04.2020 выполнено работ (оказано услуг) на общую сумму: 57210,50 руб.</t>
  </si>
  <si>
    <t>( пятьдесят семь тысяч двести десять рублей 50 копеек)</t>
  </si>
  <si>
    <t>Закрепление канализационного лежака</t>
  </si>
  <si>
    <t>2. Всего за период с 01.06.2020 по 30.06.2020 выполнено работ (оказано услуг) на общую сумму: 46599,32 руб.</t>
  </si>
  <si>
    <t>(сорок шесть тысяч пятьсот девяносто девять рублей 32 копейки)</t>
  </si>
  <si>
    <t>Закрепление канализационной трубы</t>
  </si>
  <si>
    <t>2. Всего за период с 01.07.2020 по 31.07.2020 выполнено работ (оказано услуг) на общую сумму: 90623,16 руб.</t>
  </si>
  <si>
    <t>(девяносто тысяч шестьсот двадцать три рубля 16 копеек)</t>
  </si>
  <si>
    <t>2. Всего за период с 01.08.2020 по 31.08.2020 выполнено работ (оказано услуг) на общую сумму: 35509,46 руб.</t>
  </si>
  <si>
    <t>(тридцать пять тысяч пятьсот девять рублей 46 копеек)</t>
  </si>
  <si>
    <t>2. Всего за период с 01.09.2020 по 30.09.2020 выполнено работ (оказано услуг) на общую сумму: 61624,26 руб.</t>
  </si>
  <si>
    <t>(шестьдесят одна тысяча шестьсот двадцать четыре рубля 26 копеек)</t>
  </si>
  <si>
    <t>7 м</t>
  </si>
  <si>
    <t>2. Всего за период с 01.12.2020 по 31.12.2020 выполнено работ (оказано услуг) на общую сумму: 49394,62 руб.</t>
  </si>
  <si>
    <t>(сорок девять тысяч триста девяносто четыре рубля 62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</si>
</sst>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4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" fontId="19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9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0" fontId="19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" fontId="19" fillId="2" borderId="8" xfId="0" applyNumberFormat="1" applyFont="1" applyFill="1" applyBorder="1" applyAlignment="1">
      <alignment horizontal="center" vertical="center" wrapText="1"/>
    </xf>
    <xf numFmtId="4" fontId="19" fillId="3" borderId="8" xfId="0" applyNumberFormat="1" applyFont="1" applyFill="1" applyBorder="1" applyAlignment="1">
      <alignment horizontal="center" vertical="center"/>
    </xf>
    <xf numFmtId="4" fontId="19" fillId="3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1" fillId="3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21" fillId="0" borderId="0" xfId="0" applyFont="1"/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14" fontId="11" fillId="2" borderId="8" xfId="0" applyNumberFormat="1" applyFont="1" applyFill="1" applyBorder="1" applyAlignment="1">
      <alignment horizontal="left" vertical="center" wrapText="1"/>
    </xf>
    <xf numFmtId="14" fontId="11" fillId="0" borderId="8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20" fillId="2" borderId="1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distributed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1"/>
  <sheetViews>
    <sheetView topLeftCell="A95" workbookViewId="0">
      <selection activeCell="A109" sqref="A109:I10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43" t="s">
        <v>128</v>
      </c>
      <c r="B3" s="243"/>
      <c r="C3" s="243"/>
      <c r="D3" s="243"/>
      <c r="E3" s="243"/>
      <c r="F3" s="243"/>
      <c r="G3" s="243"/>
      <c r="H3" s="243"/>
      <c r="I3" s="243"/>
      <c r="J3" s="3"/>
      <c r="K3" s="3"/>
      <c r="L3" s="3"/>
    </row>
    <row r="4" spans="1:13" ht="31.5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13" ht="15.75">
      <c r="A5" s="243" t="s">
        <v>193</v>
      </c>
      <c r="B5" s="245"/>
      <c r="C5" s="245"/>
      <c r="D5" s="245"/>
      <c r="E5" s="245"/>
      <c r="F5" s="245"/>
      <c r="G5" s="245"/>
      <c r="H5" s="245"/>
      <c r="I5" s="245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1">
        <v>43861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46" t="s">
        <v>172</v>
      </c>
      <c r="B8" s="246"/>
      <c r="C8" s="246"/>
      <c r="D8" s="246"/>
      <c r="E8" s="246"/>
      <c r="F8" s="246"/>
      <c r="G8" s="246"/>
      <c r="H8" s="246"/>
      <c r="I8" s="2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  <c r="J14" s="8"/>
      <c r="K14" s="8"/>
      <c r="L14" s="8"/>
      <c r="M14" s="8"/>
    </row>
    <row r="15" spans="1:13" ht="15.75" customHeight="1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  <c r="J15" s="8"/>
      <c r="K15" s="8"/>
      <c r="L15" s="8"/>
      <c r="M15" s="8"/>
    </row>
    <row r="16" spans="1:13" ht="15.75" customHeight="1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25" si="0">SUM(F16*G16/1000)</f>
        <v>25.337020800000001</v>
      </c>
      <c r="I16" s="13">
        <f>F16/12*G16</f>
        <v>2111.4184000000005</v>
      </c>
      <c r="J16" s="22"/>
      <c r="K16" s="8"/>
      <c r="L16" s="8"/>
      <c r="M16" s="8"/>
    </row>
    <row r="17" spans="1:13" ht="15.75" customHeight="1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  <c r="J17" s="23"/>
      <c r="K17" s="8"/>
      <c r="L17" s="8"/>
      <c r="M17" s="8"/>
    </row>
    <row r="18" spans="1:13" ht="15.75" customHeight="1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21.1</v>
      </c>
      <c r="F19" s="65">
        <f>SUM(E19/10)</f>
        <v>2.1100000000000003</v>
      </c>
      <c r="G19" s="65">
        <v>223.17</v>
      </c>
      <c r="H19" s="66">
        <f t="shared" si="0"/>
        <v>0.47088870000000005</v>
      </c>
      <c r="I19" s="13">
        <f>F19*G19</f>
        <v>470.88870000000003</v>
      </c>
      <c r="J19" s="23"/>
      <c r="K19" s="8"/>
      <c r="L19" s="8"/>
      <c r="M19" s="8"/>
    </row>
    <row r="20" spans="1:13" ht="15.75" hidden="1" customHeight="1">
      <c r="A20" s="30">
        <v>4</v>
      </c>
      <c r="B20" s="155" t="s">
        <v>90</v>
      </c>
      <c r="C20" s="182" t="s">
        <v>80</v>
      </c>
      <c r="D20" s="155" t="s">
        <v>40</v>
      </c>
      <c r="E20" s="128">
        <v>7</v>
      </c>
      <c r="F20" s="129">
        <v>0.14000000000000001</v>
      </c>
      <c r="G20" s="129">
        <v>297.19</v>
      </c>
      <c r="H20" s="66">
        <f t="shared" si="0"/>
        <v>4.1606600000000001E-2</v>
      </c>
      <c r="I20" s="13">
        <f>F20/12*G20</f>
        <v>3.4672166666666668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40</v>
      </c>
      <c r="E21" s="64">
        <v>2.4</v>
      </c>
      <c r="F21" s="65">
        <f>SUM(E21*2/100)</f>
        <v>4.8000000000000001E-2</v>
      </c>
      <c r="G21" s="65">
        <v>283.44</v>
      </c>
      <c r="H21" s="66">
        <f t="shared" si="0"/>
        <v>1.360512E-2</v>
      </c>
      <c r="I21" s="13">
        <f>F21/2*G21</f>
        <v>6.8025599999999997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50</v>
      </c>
      <c r="D22" s="62" t="s">
        <v>89</v>
      </c>
      <c r="E22" s="64">
        <v>317</v>
      </c>
      <c r="F22" s="65">
        <f>SUM(E22/100)</f>
        <v>3.17</v>
      </c>
      <c r="G22" s="65">
        <v>353.14</v>
      </c>
      <c r="H22" s="66">
        <f t="shared" si="0"/>
        <v>1.1194538000000001</v>
      </c>
      <c r="I22" s="13">
        <f>F22*G22</f>
        <v>1119.4538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50</v>
      </c>
      <c r="D23" s="62" t="s">
        <v>89</v>
      </c>
      <c r="E23" s="67">
        <v>24.15</v>
      </c>
      <c r="F23" s="65">
        <f>SUM(E23/100)</f>
        <v>0.24149999999999999</v>
      </c>
      <c r="G23" s="65">
        <v>58.08</v>
      </c>
      <c r="H23" s="66">
        <f t="shared" si="0"/>
        <v>1.4026319999999998E-2</v>
      </c>
      <c r="I23" s="13">
        <f t="shared" ref="I23:I26" si="1">F23*G23</f>
        <v>14.026319999999998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50</v>
      </c>
      <c r="D24" s="62" t="s">
        <v>51</v>
      </c>
      <c r="E24" s="64">
        <v>10</v>
      </c>
      <c r="F24" s="65">
        <f>SUM(E24/100)</f>
        <v>0.1</v>
      </c>
      <c r="G24" s="65">
        <v>511.12</v>
      </c>
      <c r="H24" s="66">
        <f t="shared" si="0"/>
        <v>5.1112000000000005E-2</v>
      </c>
      <c r="I24" s="13">
        <f t="shared" si="1"/>
        <v>51.112000000000002</v>
      </c>
      <c r="J24" s="23"/>
      <c r="K24" s="8"/>
      <c r="L24" s="8"/>
      <c r="M24" s="8"/>
    </row>
    <row r="25" spans="1:13" ht="15.75" hidden="1" customHeight="1">
      <c r="A25" s="30"/>
      <c r="B25" s="62" t="s">
        <v>95</v>
      </c>
      <c r="C25" s="63" t="s">
        <v>50</v>
      </c>
      <c r="D25" s="62" t="s">
        <v>51</v>
      </c>
      <c r="E25" s="64">
        <v>4.25</v>
      </c>
      <c r="F25" s="65">
        <f>SUM(E25/100)</f>
        <v>4.2500000000000003E-2</v>
      </c>
      <c r="G25" s="65">
        <v>683.05</v>
      </c>
      <c r="H25" s="66">
        <f t="shared" si="0"/>
        <v>2.9029625E-2</v>
      </c>
      <c r="I25" s="13">
        <f t="shared" si="1"/>
        <v>29.029624999999999</v>
      </c>
      <c r="J25" s="23"/>
      <c r="K25" s="8"/>
      <c r="L25" s="8"/>
      <c r="M25" s="8"/>
    </row>
    <row r="26" spans="1:13" ht="15.75" hidden="1" customHeight="1">
      <c r="A26" s="30"/>
      <c r="B26" s="62" t="s">
        <v>110</v>
      </c>
      <c r="C26" s="63" t="s">
        <v>50</v>
      </c>
      <c r="D26" s="62" t="s">
        <v>51</v>
      </c>
      <c r="E26" s="64">
        <v>9.5</v>
      </c>
      <c r="F26" s="65">
        <v>9.5000000000000001E-2</v>
      </c>
      <c r="G26" s="65">
        <v>283.44</v>
      </c>
      <c r="H26" s="66">
        <f>G26*F26/1000</f>
        <v>2.6926800000000001E-2</v>
      </c>
      <c r="I26" s="13">
        <f t="shared" si="1"/>
        <v>26.9268</v>
      </c>
      <c r="J26" s="23"/>
      <c r="K26" s="8"/>
      <c r="L26" s="8"/>
      <c r="M26" s="8"/>
    </row>
    <row r="27" spans="1:13" ht="15.75" customHeight="1">
      <c r="A27" s="30">
        <v>4</v>
      </c>
      <c r="B27" s="155" t="s">
        <v>174</v>
      </c>
      <c r="C27" s="182" t="s">
        <v>25</v>
      </c>
      <c r="D27" s="155" t="s">
        <v>175</v>
      </c>
      <c r="E27" s="205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  <c r="J27" s="24"/>
    </row>
    <row r="28" spans="1:13" ht="15.75" customHeight="1">
      <c r="A28" s="242" t="s">
        <v>78</v>
      </c>
      <c r="B28" s="242"/>
      <c r="C28" s="242"/>
      <c r="D28" s="242"/>
      <c r="E28" s="242"/>
      <c r="F28" s="242"/>
      <c r="G28" s="242"/>
      <c r="H28" s="242"/>
      <c r="I28" s="242"/>
      <c r="J28" s="24"/>
    </row>
    <row r="29" spans="1:13" ht="15.75" hidden="1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hidden="1" customHeight="1">
      <c r="A30" s="30"/>
      <c r="B30" s="62" t="s">
        <v>97</v>
      </c>
      <c r="C30" s="63" t="s">
        <v>82</v>
      </c>
      <c r="D30" s="62" t="s">
        <v>134</v>
      </c>
      <c r="E30" s="65">
        <v>372.4</v>
      </c>
      <c r="F30" s="65">
        <f>SUM(E30*52/1000)</f>
        <v>19.364799999999999</v>
      </c>
      <c r="G30" s="65">
        <v>204.44</v>
      </c>
      <c r="H30" s="66">
        <f t="shared" ref="H30:H36" si="2">SUM(F30*G30/1000)</f>
        <v>3.9589397119999998</v>
      </c>
      <c r="I30" s="13">
        <f>F30/6*G30</f>
        <v>659.82328533333327</v>
      </c>
      <c r="J30" s="23"/>
      <c r="K30" s="8"/>
      <c r="L30" s="8"/>
      <c r="M30" s="8"/>
    </row>
    <row r="31" spans="1:13" ht="31.5" hidden="1" customHeight="1">
      <c r="A31" s="30"/>
      <c r="B31" s="62" t="s">
        <v>108</v>
      </c>
      <c r="C31" s="63" t="s">
        <v>82</v>
      </c>
      <c r="D31" s="62" t="s">
        <v>135</v>
      </c>
      <c r="E31" s="65">
        <v>195.5</v>
      </c>
      <c r="F31" s="65">
        <f>SUM(E31*78/1000)</f>
        <v>15.249000000000001</v>
      </c>
      <c r="G31" s="65">
        <v>339.21</v>
      </c>
      <c r="H31" s="66">
        <f t="shared" si="2"/>
        <v>5.1726132900000001</v>
      </c>
      <c r="I31" s="13">
        <f t="shared" ref="I31:I34" si="3">F31/6*G31</f>
        <v>862.102215</v>
      </c>
      <c r="J31" s="23"/>
      <c r="K31" s="8"/>
      <c r="L31" s="8"/>
      <c r="M31" s="8"/>
    </row>
    <row r="32" spans="1:13" ht="15.75" hidden="1" customHeight="1">
      <c r="A32" s="30"/>
      <c r="B32" s="62" t="s">
        <v>27</v>
      </c>
      <c r="C32" s="63" t="s">
        <v>82</v>
      </c>
      <c r="D32" s="62" t="s">
        <v>51</v>
      </c>
      <c r="E32" s="65">
        <v>372.4</v>
      </c>
      <c r="F32" s="65">
        <f>SUM(E32/1000)</f>
        <v>0.37239999999999995</v>
      </c>
      <c r="G32" s="65">
        <v>3961.23</v>
      </c>
      <c r="H32" s="66">
        <f t="shared" si="2"/>
        <v>1.4751620519999999</v>
      </c>
      <c r="I32" s="13">
        <f>F32*G32</f>
        <v>1475.1620519999999</v>
      </c>
      <c r="J32" s="23"/>
      <c r="K32" s="8"/>
      <c r="L32" s="8"/>
      <c r="M32" s="8"/>
    </row>
    <row r="33" spans="1:14" ht="15.75" hidden="1" customHeight="1">
      <c r="A33" s="30"/>
      <c r="B33" s="62" t="s">
        <v>136</v>
      </c>
      <c r="C33" s="63" t="s">
        <v>38</v>
      </c>
      <c r="D33" s="62" t="s">
        <v>60</v>
      </c>
      <c r="E33" s="65">
        <v>2</v>
      </c>
      <c r="F33" s="65">
        <f>E33*155/100</f>
        <v>3.1</v>
      </c>
      <c r="G33" s="65">
        <v>1707.63</v>
      </c>
      <c r="H33" s="66">
        <f t="shared" si="2"/>
        <v>5.2936529999999999</v>
      </c>
      <c r="I33" s="13">
        <f t="shared" si="3"/>
        <v>882.27550000000019</v>
      </c>
      <c r="J33" s="23"/>
      <c r="K33" s="8"/>
      <c r="L33" s="8"/>
      <c r="M33" s="8"/>
    </row>
    <row r="34" spans="1:14" ht="15.75" hidden="1" customHeight="1">
      <c r="A34" s="30"/>
      <c r="B34" s="62" t="s">
        <v>96</v>
      </c>
      <c r="C34" s="63" t="s">
        <v>30</v>
      </c>
      <c r="D34" s="62" t="s">
        <v>60</v>
      </c>
      <c r="E34" s="69">
        <f>1/3</f>
        <v>0.33333333333333331</v>
      </c>
      <c r="F34" s="65">
        <f>155/3</f>
        <v>51.666666666666664</v>
      </c>
      <c r="G34" s="65">
        <v>74.349999999999994</v>
      </c>
      <c r="H34" s="66">
        <f t="shared" si="2"/>
        <v>3.841416666666666</v>
      </c>
      <c r="I34" s="13">
        <f t="shared" si="3"/>
        <v>640.23611111111109</v>
      </c>
      <c r="J34" s="23"/>
      <c r="K34" s="8"/>
    </row>
    <row r="35" spans="1:14" ht="15.75" hidden="1" customHeight="1">
      <c r="A35" s="30"/>
      <c r="B35" s="62" t="s">
        <v>61</v>
      </c>
      <c r="C35" s="63" t="s">
        <v>32</v>
      </c>
      <c r="D35" s="62" t="s">
        <v>63</v>
      </c>
      <c r="E35" s="64"/>
      <c r="F35" s="65">
        <v>2</v>
      </c>
      <c r="G35" s="65">
        <v>250.92</v>
      </c>
      <c r="H35" s="66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62" t="s">
        <v>62</v>
      </c>
      <c r="C36" s="63" t="s">
        <v>31</v>
      </c>
      <c r="D36" s="62" t="s">
        <v>63</v>
      </c>
      <c r="E36" s="64"/>
      <c r="F36" s="65">
        <v>1</v>
      </c>
      <c r="G36" s="65">
        <v>1490.31</v>
      </c>
      <c r="H36" s="66">
        <f t="shared" si="2"/>
        <v>1.49031</v>
      </c>
      <c r="I36" s="13">
        <v>0</v>
      </c>
      <c r="J36" s="24"/>
    </row>
    <row r="37" spans="1:14" ht="15.75" customHeight="1">
      <c r="A37" s="30"/>
      <c r="B37" s="81" t="s">
        <v>5</v>
      </c>
      <c r="C37" s="63"/>
      <c r="D37" s="62"/>
      <c r="E37" s="64"/>
      <c r="F37" s="65"/>
      <c r="G37" s="65"/>
      <c r="H37" s="66" t="s">
        <v>122</v>
      </c>
      <c r="I37" s="13"/>
      <c r="J37" s="24"/>
      <c r="L37" s="19"/>
      <c r="M37" s="20"/>
      <c r="N37" s="21"/>
    </row>
    <row r="38" spans="1:14" ht="15.75" customHeight="1">
      <c r="A38" s="30">
        <v>5</v>
      </c>
      <c r="B38" s="181" t="s">
        <v>26</v>
      </c>
      <c r="C38" s="182" t="s">
        <v>31</v>
      </c>
      <c r="D38" s="155"/>
      <c r="E38" s="128"/>
      <c r="F38" s="129">
        <v>5</v>
      </c>
      <c r="G38" s="129">
        <v>2083</v>
      </c>
      <c r="H38" s="66">
        <f t="shared" ref="H38:H45" si="4">SUM(F38*G38/1000)</f>
        <v>10.414999999999999</v>
      </c>
      <c r="I38" s="13">
        <f>G38*0.3</f>
        <v>624.9</v>
      </c>
      <c r="J38" s="24"/>
      <c r="L38" s="19"/>
      <c r="M38" s="20"/>
      <c r="N38" s="21"/>
    </row>
    <row r="39" spans="1:14" ht="15.75" hidden="1" customHeight="1">
      <c r="A39" s="30">
        <v>9</v>
      </c>
      <c r="B39" s="155" t="s">
        <v>113</v>
      </c>
      <c r="C39" s="182" t="s">
        <v>114</v>
      </c>
      <c r="D39" s="155" t="s">
        <v>167</v>
      </c>
      <c r="E39" s="128"/>
      <c r="F39" s="132">
        <v>26</v>
      </c>
      <c r="G39" s="129">
        <v>314</v>
      </c>
      <c r="H39" s="66">
        <f>G39*F39/1000</f>
        <v>8.1639999999999997</v>
      </c>
      <c r="I39" s="13">
        <v>0</v>
      </c>
      <c r="J39" s="24"/>
      <c r="L39" s="19"/>
      <c r="M39" s="20"/>
      <c r="N39" s="21"/>
    </row>
    <row r="40" spans="1:14" ht="15.75" customHeight="1">
      <c r="A40" s="30">
        <v>6</v>
      </c>
      <c r="B40" s="181" t="s">
        <v>137</v>
      </c>
      <c r="C40" s="183" t="s">
        <v>29</v>
      </c>
      <c r="D40" s="155" t="s">
        <v>179</v>
      </c>
      <c r="E40" s="128">
        <v>88</v>
      </c>
      <c r="F40" s="132">
        <f>E40*30/1000</f>
        <v>2.64</v>
      </c>
      <c r="G40" s="129">
        <v>2868.09</v>
      </c>
      <c r="H40" s="66">
        <f>G40*F40/1000</f>
        <v>7.5717576000000006</v>
      </c>
      <c r="I40" s="13">
        <f>F40/6*G40</f>
        <v>1261.9596000000001</v>
      </c>
      <c r="J40" s="24"/>
      <c r="L40" s="19"/>
      <c r="M40" s="20"/>
      <c r="N40" s="21"/>
    </row>
    <row r="41" spans="1:14" ht="15.75" customHeight="1">
      <c r="A41" s="30">
        <v>7</v>
      </c>
      <c r="B41" s="155" t="s">
        <v>64</v>
      </c>
      <c r="C41" s="182" t="s">
        <v>29</v>
      </c>
      <c r="D41" s="155" t="s">
        <v>180</v>
      </c>
      <c r="E41" s="129">
        <v>93.3</v>
      </c>
      <c r="F41" s="132">
        <f>SUM(E41*155/1000)</f>
        <v>14.461499999999999</v>
      </c>
      <c r="G41" s="129">
        <v>478.42</v>
      </c>
      <c r="H41" s="66">
        <f t="shared" si="4"/>
        <v>6.9186708299999999</v>
      </c>
      <c r="I41" s="13">
        <f>F41/6*G41</f>
        <v>1153.111805</v>
      </c>
      <c r="J41" s="24"/>
      <c r="L41" s="19"/>
      <c r="M41" s="20"/>
      <c r="N41" s="21"/>
    </row>
    <row r="42" spans="1:14" ht="47.25" customHeight="1">
      <c r="A42" s="30">
        <v>8</v>
      </c>
      <c r="B42" s="155" t="s">
        <v>76</v>
      </c>
      <c r="C42" s="182" t="s">
        <v>82</v>
      </c>
      <c r="D42" s="155" t="s">
        <v>181</v>
      </c>
      <c r="E42" s="129">
        <v>34</v>
      </c>
      <c r="F42" s="132">
        <f>SUM(E42*35/1000)</f>
        <v>1.19</v>
      </c>
      <c r="G42" s="129">
        <v>7915.6</v>
      </c>
      <c r="H42" s="66">
        <f t="shared" si="4"/>
        <v>9.4195640000000012</v>
      </c>
      <c r="I42" s="13">
        <f>F42/6*G42</f>
        <v>1569.9273333333333</v>
      </c>
      <c r="J42" s="24"/>
      <c r="L42" s="19"/>
      <c r="M42" s="20"/>
      <c r="N42" s="21"/>
    </row>
    <row r="43" spans="1:14" ht="15.75" hidden="1" customHeight="1">
      <c r="A43" s="30">
        <v>9</v>
      </c>
      <c r="B43" s="155" t="s">
        <v>83</v>
      </c>
      <c r="C43" s="182" t="s">
        <v>82</v>
      </c>
      <c r="D43" s="155" t="s">
        <v>182</v>
      </c>
      <c r="E43" s="129">
        <v>72</v>
      </c>
      <c r="F43" s="132">
        <v>0.36</v>
      </c>
      <c r="G43" s="129">
        <v>584.74</v>
      </c>
      <c r="H43" s="66">
        <f t="shared" si="4"/>
        <v>0.21050639999999998</v>
      </c>
      <c r="I43" s="13">
        <f>F43/7.5*G43</f>
        <v>28.067520000000002</v>
      </c>
      <c r="J43" s="24"/>
      <c r="L43" s="19"/>
      <c r="M43" s="20"/>
      <c r="N43" s="21"/>
    </row>
    <row r="44" spans="1:14" ht="15.75" hidden="1" customHeight="1">
      <c r="A44" s="30">
        <v>10</v>
      </c>
      <c r="B44" s="181" t="s">
        <v>66</v>
      </c>
      <c r="C44" s="183" t="s">
        <v>32</v>
      </c>
      <c r="D44" s="181"/>
      <c r="E44" s="184"/>
      <c r="F44" s="132">
        <v>0.1</v>
      </c>
      <c r="G44" s="132">
        <v>800</v>
      </c>
      <c r="H44" s="66">
        <f t="shared" si="4"/>
        <v>0.08</v>
      </c>
      <c r="I44" s="13">
        <f>F44/7.5*G44</f>
        <v>10.666666666666668</v>
      </c>
      <c r="J44" s="24"/>
      <c r="L44" s="19"/>
      <c r="M44" s="20"/>
      <c r="N44" s="21"/>
    </row>
    <row r="45" spans="1:14" ht="29.25" customHeight="1">
      <c r="A45" s="30">
        <v>9</v>
      </c>
      <c r="B45" s="47" t="s">
        <v>138</v>
      </c>
      <c r="C45" s="48" t="s">
        <v>29</v>
      </c>
      <c r="D45" s="181" t="s">
        <v>183</v>
      </c>
      <c r="E45" s="184">
        <v>1.8</v>
      </c>
      <c r="F45" s="132">
        <f>SUM(E45*12/1000)</f>
        <v>2.1600000000000001E-2</v>
      </c>
      <c r="G45" s="132">
        <v>270.61</v>
      </c>
      <c r="H45" s="66">
        <f t="shared" si="4"/>
        <v>5.8451760000000005E-3</v>
      </c>
      <c r="I45" s="13">
        <f t="shared" ref="I45" si="5">F45/6*G45</f>
        <v>0.97419600000000017</v>
      </c>
      <c r="J45" s="24"/>
      <c r="L45" s="19"/>
      <c r="M45" s="20"/>
      <c r="N45" s="21"/>
    </row>
    <row r="46" spans="1:14" ht="15.75" customHeight="1">
      <c r="A46" s="249" t="s">
        <v>124</v>
      </c>
      <c r="B46" s="250"/>
      <c r="C46" s="250"/>
      <c r="D46" s="250"/>
      <c r="E46" s="250"/>
      <c r="F46" s="250"/>
      <c r="G46" s="250"/>
      <c r="H46" s="250"/>
      <c r="I46" s="251"/>
      <c r="J46" s="24"/>
      <c r="L46" s="19"/>
      <c r="M46" s="20"/>
      <c r="N46" s="21"/>
    </row>
    <row r="47" spans="1:14" ht="15.75" hidden="1" customHeight="1">
      <c r="A47" s="30"/>
      <c r="B47" s="62" t="s">
        <v>117</v>
      </c>
      <c r="C47" s="63" t="s">
        <v>82</v>
      </c>
      <c r="D47" s="62" t="s">
        <v>40</v>
      </c>
      <c r="E47" s="64">
        <v>670.4</v>
      </c>
      <c r="F47" s="65">
        <f>SUM(E47*2/1000)</f>
        <v>1.3408</v>
      </c>
      <c r="G47" s="13">
        <v>1114.1300000000001</v>
      </c>
      <c r="H47" s="66">
        <f t="shared" ref="H47:H55" si="6">SUM(F47*G47/1000)</f>
        <v>1.4938255040000001</v>
      </c>
      <c r="I47" s="13">
        <f t="shared" ref="I47:I49" si="7">F47/2*G47</f>
        <v>746.91275200000007</v>
      </c>
      <c r="J47" s="24"/>
      <c r="L47" s="19"/>
      <c r="M47" s="20"/>
      <c r="N47" s="21"/>
    </row>
    <row r="48" spans="1:14" ht="15.75" hidden="1" customHeight="1">
      <c r="A48" s="30"/>
      <c r="B48" s="62" t="s">
        <v>33</v>
      </c>
      <c r="C48" s="63" t="s">
        <v>82</v>
      </c>
      <c r="D48" s="62" t="s">
        <v>40</v>
      </c>
      <c r="E48" s="64">
        <v>26</v>
      </c>
      <c r="F48" s="65">
        <f t="shared" ref="F48:F50" si="8">SUM(E48*2/1000)</f>
        <v>5.1999999999999998E-2</v>
      </c>
      <c r="G48" s="13">
        <v>4419.05</v>
      </c>
      <c r="H48" s="66">
        <f t="shared" si="6"/>
        <v>0.22979060000000001</v>
      </c>
      <c r="I48" s="13">
        <f t="shared" si="7"/>
        <v>114.89530000000001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34</v>
      </c>
      <c r="C49" s="63" t="s">
        <v>82</v>
      </c>
      <c r="D49" s="62" t="s">
        <v>40</v>
      </c>
      <c r="E49" s="64">
        <v>760.4</v>
      </c>
      <c r="F49" s="65">
        <f t="shared" si="8"/>
        <v>1.5207999999999999</v>
      </c>
      <c r="G49" s="13">
        <v>1803.69</v>
      </c>
      <c r="H49" s="66">
        <f t="shared" si="6"/>
        <v>2.743051752</v>
      </c>
      <c r="I49" s="13">
        <f t="shared" si="7"/>
        <v>1371.5258759999999</v>
      </c>
      <c r="J49" s="24"/>
      <c r="L49" s="19"/>
      <c r="M49" s="20"/>
      <c r="N49" s="21"/>
    </row>
    <row r="50" spans="1:22" ht="15.75" hidden="1" customHeight="1">
      <c r="A50" s="30"/>
      <c r="B50" s="62" t="s">
        <v>35</v>
      </c>
      <c r="C50" s="63" t="s">
        <v>82</v>
      </c>
      <c r="D50" s="62" t="s">
        <v>40</v>
      </c>
      <c r="E50" s="64">
        <v>1440</v>
      </c>
      <c r="F50" s="65">
        <f t="shared" si="8"/>
        <v>2.88</v>
      </c>
      <c r="G50" s="13">
        <v>1243.43</v>
      </c>
      <c r="H50" s="66">
        <f t="shared" si="6"/>
        <v>3.5810784</v>
      </c>
      <c r="I50" s="13">
        <f>F50/2*G50</f>
        <v>1790.5391999999999</v>
      </c>
      <c r="J50" s="24"/>
      <c r="L50" s="19"/>
      <c r="M50" s="20"/>
      <c r="N50" s="21"/>
    </row>
    <row r="51" spans="1:22" ht="15.75" customHeight="1">
      <c r="A51" s="30">
        <v>10</v>
      </c>
      <c r="B51" s="62" t="s">
        <v>53</v>
      </c>
      <c r="C51" s="182" t="s">
        <v>82</v>
      </c>
      <c r="D51" s="155" t="s">
        <v>178</v>
      </c>
      <c r="E51" s="128">
        <v>2409</v>
      </c>
      <c r="F51" s="129">
        <v>4.8179999999999996</v>
      </c>
      <c r="G51" s="34">
        <v>1655.27</v>
      </c>
      <c r="H51" s="66">
        <f t="shared" si="6"/>
        <v>7.975090859999999</v>
      </c>
      <c r="I51" s="13">
        <f>F51/5*G51</f>
        <v>1595.0181719999998</v>
      </c>
      <c r="J51" s="24"/>
      <c r="L51" s="19"/>
      <c r="M51" s="20"/>
      <c r="N51" s="21"/>
    </row>
    <row r="52" spans="1:22" ht="32.25" hidden="1" customHeight="1">
      <c r="A52" s="30"/>
      <c r="B52" s="62" t="s">
        <v>84</v>
      </c>
      <c r="C52" s="63" t="s">
        <v>82</v>
      </c>
      <c r="D52" s="62" t="s">
        <v>40</v>
      </c>
      <c r="E52" s="64">
        <v>2409</v>
      </c>
      <c r="F52" s="65">
        <f>SUM(E52*2/1000)</f>
        <v>4.8179999999999996</v>
      </c>
      <c r="G52" s="13">
        <v>1591.6</v>
      </c>
      <c r="H52" s="66">
        <f t="shared" si="6"/>
        <v>7.6683287999999994</v>
      </c>
      <c r="I52" s="13">
        <f>F52/2*G52</f>
        <v>3834.1643999999997</v>
      </c>
      <c r="J52" s="24"/>
      <c r="L52" s="19"/>
      <c r="M52" s="20"/>
      <c r="N52" s="21"/>
    </row>
    <row r="53" spans="1:22" ht="32.25" hidden="1" customHeight="1">
      <c r="A53" s="30">
        <v>16</v>
      </c>
      <c r="B53" s="62" t="s">
        <v>85</v>
      </c>
      <c r="C53" s="63" t="s">
        <v>36</v>
      </c>
      <c r="D53" s="62" t="s">
        <v>40</v>
      </c>
      <c r="E53" s="64">
        <v>10</v>
      </c>
      <c r="F53" s="65">
        <f>SUM(E53*2/100)</f>
        <v>0.2</v>
      </c>
      <c r="G53" s="13">
        <v>4058.32</v>
      </c>
      <c r="H53" s="66">
        <f>SUM(F53*G53/1000)</f>
        <v>0.81166400000000005</v>
      </c>
      <c r="I53" s="13">
        <f t="shared" ref="I53:I54" si="9">F53/2*G53</f>
        <v>405.83200000000005</v>
      </c>
      <c r="J53" s="24"/>
      <c r="L53" s="19"/>
    </row>
    <row r="54" spans="1:22" ht="15.75" hidden="1" customHeight="1">
      <c r="A54" s="30"/>
      <c r="B54" s="62" t="s">
        <v>37</v>
      </c>
      <c r="C54" s="63" t="s">
        <v>38</v>
      </c>
      <c r="D54" s="62" t="s">
        <v>40</v>
      </c>
      <c r="E54" s="64">
        <v>1</v>
      </c>
      <c r="F54" s="65">
        <v>0.02</v>
      </c>
      <c r="G54" s="13">
        <v>7412.92</v>
      </c>
      <c r="H54" s="66">
        <f t="shared" si="6"/>
        <v>0.14825839999999998</v>
      </c>
      <c r="I54" s="13">
        <f t="shared" si="9"/>
        <v>74.129199999999997</v>
      </c>
    </row>
    <row r="55" spans="1:22" ht="15.75" hidden="1" customHeight="1">
      <c r="A55" s="30">
        <v>15</v>
      </c>
      <c r="B55" s="62" t="s">
        <v>39</v>
      </c>
      <c r="C55" s="63" t="s">
        <v>98</v>
      </c>
      <c r="D55" s="62" t="s">
        <v>67</v>
      </c>
      <c r="E55" s="64">
        <v>80</v>
      </c>
      <c r="F55" s="65">
        <f>SUM(E55)*3</f>
        <v>240</v>
      </c>
      <c r="G55" s="13">
        <v>86.15</v>
      </c>
      <c r="H55" s="66">
        <f t="shared" si="6"/>
        <v>20.675999999999998</v>
      </c>
      <c r="I55" s="13">
        <f>F55/3*G55</f>
        <v>6892</v>
      </c>
    </row>
    <row r="56" spans="1:22" ht="15.75" customHeight="1">
      <c r="A56" s="249" t="s">
        <v>125</v>
      </c>
      <c r="B56" s="250"/>
      <c r="C56" s="250"/>
      <c r="D56" s="250"/>
      <c r="E56" s="250"/>
      <c r="F56" s="250"/>
      <c r="G56" s="250"/>
      <c r="H56" s="250"/>
      <c r="I56" s="251"/>
    </row>
    <row r="57" spans="1:22" ht="15.75" hidden="1" customHeight="1">
      <c r="A57" s="30"/>
      <c r="B57" s="189" t="s">
        <v>41</v>
      </c>
      <c r="C57" s="63"/>
      <c r="D57" s="62"/>
      <c r="E57" s="64"/>
      <c r="F57" s="65"/>
      <c r="G57" s="65"/>
      <c r="H57" s="66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31.5" hidden="1" customHeight="1">
      <c r="A58" s="30">
        <v>15</v>
      </c>
      <c r="B58" s="62" t="s">
        <v>118</v>
      </c>
      <c r="C58" s="63" t="s">
        <v>80</v>
      </c>
      <c r="D58" s="62" t="s">
        <v>99</v>
      </c>
      <c r="E58" s="64">
        <v>79</v>
      </c>
      <c r="F58" s="65">
        <f>SUM(E58*6/100)</f>
        <v>4.74</v>
      </c>
      <c r="G58" s="13">
        <v>2029.3</v>
      </c>
      <c r="H58" s="66">
        <f>SUM(F58*G58/1000)</f>
        <v>9.6188819999999993</v>
      </c>
      <c r="I58" s="13">
        <f>F58/6*G58</f>
        <v>1603.1469999999999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/>
      <c r="B59" s="71" t="s">
        <v>120</v>
      </c>
      <c r="C59" s="72" t="s">
        <v>121</v>
      </c>
      <c r="D59" s="71" t="s">
        <v>40</v>
      </c>
      <c r="E59" s="73">
        <v>2</v>
      </c>
      <c r="F59" s="74">
        <v>4</v>
      </c>
      <c r="G59" s="13">
        <v>237.1</v>
      </c>
      <c r="H59" s="66">
        <f t="shared" ref="H59" si="10">SUM(F59*G59/1000)</f>
        <v>0.94840000000000002</v>
      </c>
      <c r="I59" s="13">
        <v>0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>
        <v>13</v>
      </c>
      <c r="B60" s="155" t="s">
        <v>119</v>
      </c>
      <c r="C60" s="182" t="s">
        <v>80</v>
      </c>
      <c r="D60" s="155" t="s">
        <v>178</v>
      </c>
      <c r="E60" s="128">
        <v>3.8</v>
      </c>
      <c r="F60" s="129">
        <f>SUM(E60*6/100)</f>
        <v>0.22799999999999998</v>
      </c>
      <c r="G60" s="34">
        <v>2110.4699999999998</v>
      </c>
      <c r="H60" s="66">
        <f>SUM(F60*G60/1000)</f>
        <v>0.48118715999999989</v>
      </c>
      <c r="I60" s="13">
        <f>F60/6*G60</f>
        <v>80.197859999999991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140</v>
      </c>
      <c r="C61" s="63" t="s">
        <v>141</v>
      </c>
      <c r="D61" s="62" t="s">
        <v>63</v>
      </c>
      <c r="E61" s="64"/>
      <c r="F61" s="65">
        <v>3</v>
      </c>
      <c r="G61" s="13">
        <v>1582.05</v>
      </c>
      <c r="H61" s="66">
        <f>SUM(F61*G61/1000)</f>
        <v>4.7461499999999992</v>
      </c>
      <c r="I61" s="13">
        <v>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customHeight="1">
      <c r="A62" s="30"/>
      <c r="B62" s="82" t="s">
        <v>42</v>
      </c>
      <c r="C62" s="72"/>
      <c r="D62" s="71"/>
      <c r="E62" s="73"/>
      <c r="F62" s="74"/>
      <c r="G62" s="13"/>
      <c r="H62" s="75"/>
      <c r="I62" s="13"/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71" t="s">
        <v>142</v>
      </c>
      <c r="C63" s="72" t="s">
        <v>50</v>
      </c>
      <c r="D63" s="71" t="s">
        <v>51</v>
      </c>
      <c r="E63" s="73">
        <v>110</v>
      </c>
      <c r="F63" s="74">
        <f>E63/100</f>
        <v>1.1000000000000001</v>
      </c>
      <c r="G63" s="13">
        <v>1040.8399999999999</v>
      </c>
      <c r="H63" s="75">
        <f>F63*G63/1000</f>
        <v>1.1449240000000001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0">
        <v>11</v>
      </c>
      <c r="B64" s="71" t="s">
        <v>109</v>
      </c>
      <c r="C64" s="72" t="s">
        <v>25</v>
      </c>
      <c r="D64" s="71" t="s">
        <v>184</v>
      </c>
      <c r="E64" s="73">
        <v>100</v>
      </c>
      <c r="F64" s="76">
        <f>E64*12</f>
        <v>1200</v>
      </c>
      <c r="G64" s="56">
        <v>1.4</v>
      </c>
      <c r="H64" s="74">
        <f>F64*G64/1000</f>
        <v>1.68</v>
      </c>
      <c r="I64" s="13">
        <f>F64/12*G64</f>
        <v>140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0"/>
      <c r="B65" s="190" t="s">
        <v>43</v>
      </c>
      <c r="C65" s="72"/>
      <c r="D65" s="71"/>
      <c r="E65" s="73"/>
      <c r="F65" s="76"/>
      <c r="G65" s="76"/>
      <c r="H65" s="74" t="s">
        <v>122</v>
      </c>
      <c r="I65" s="13"/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/>
      <c r="B66" s="14" t="s">
        <v>44</v>
      </c>
      <c r="C66" s="16" t="s">
        <v>98</v>
      </c>
      <c r="D66" s="14" t="s">
        <v>63</v>
      </c>
      <c r="E66" s="18">
        <v>8</v>
      </c>
      <c r="F66" s="65">
        <f>SUM(E66)</f>
        <v>8</v>
      </c>
      <c r="G66" s="13">
        <v>291.68</v>
      </c>
      <c r="H66" s="61">
        <f t="shared" ref="H66:H83" si="11">SUM(F66*G66/1000)</f>
        <v>2.33344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hidden="1" customHeight="1">
      <c r="A67" s="30"/>
      <c r="B67" s="14" t="s">
        <v>45</v>
      </c>
      <c r="C67" s="16" t="s">
        <v>98</v>
      </c>
      <c r="D67" s="14" t="s">
        <v>63</v>
      </c>
      <c r="E67" s="18">
        <v>4</v>
      </c>
      <c r="F67" s="65">
        <f>SUM(E67)</f>
        <v>4</v>
      </c>
      <c r="G67" s="13">
        <v>100.01</v>
      </c>
      <c r="H67" s="61">
        <f t="shared" si="11"/>
        <v>0.40004000000000001</v>
      </c>
      <c r="I67" s="13">
        <v>0</v>
      </c>
      <c r="J67" s="26"/>
      <c r="K67" s="26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hidden="1" customHeight="1">
      <c r="A68" s="30"/>
      <c r="B68" s="14" t="s">
        <v>46</v>
      </c>
      <c r="C68" s="16" t="s">
        <v>100</v>
      </c>
      <c r="D68" s="14" t="s">
        <v>51</v>
      </c>
      <c r="E68" s="64">
        <v>9962</v>
      </c>
      <c r="F68" s="13">
        <f>SUM(E68/100)</f>
        <v>99.62</v>
      </c>
      <c r="G68" s="13">
        <v>278.24</v>
      </c>
      <c r="H68" s="61">
        <f t="shared" si="11"/>
        <v>27.718268800000001</v>
      </c>
      <c r="I68" s="13">
        <f>F68*G68</f>
        <v>27718.268800000002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hidden="1" customHeight="1">
      <c r="A69" s="30"/>
      <c r="B69" s="14" t="s">
        <v>47</v>
      </c>
      <c r="C69" s="16" t="s">
        <v>101</v>
      </c>
      <c r="D69" s="14"/>
      <c r="E69" s="64">
        <v>9962</v>
      </c>
      <c r="F69" s="13">
        <f>SUM(E69/1000)</f>
        <v>9.9619999999999997</v>
      </c>
      <c r="G69" s="13">
        <v>216.68</v>
      </c>
      <c r="H69" s="61">
        <f t="shared" si="11"/>
        <v>2.1585661599999999</v>
      </c>
      <c r="I69" s="13">
        <f t="shared" ref="I69:I73" si="12">F69*G69</f>
        <v>2158.5661599999999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30"/>
      <c r="B70" s="14" t="s">
        <v>48</v>
      </c>
      <c r="C70" s="16" t="s">
        <v>72</v>
      </c>
      <c r="D70" s="14" t="s">
        <v>51</v>
      </c>
      <c r="E70" s="64">
        <v>806.3</v>
      </c>
      <c r="F70" s="13">
        <f>SUM(E70/100)</f>
        <v>8.0629999999999988</v>
      </c>
      <c r="G70" s="13">
        <v>2720.94</v>
      </c>
      <c r="H70" s="61">
        <f t="shared" si="11"/>
        <v>21.938939219999998</v>
      </c>
      <c r="I70" s="13">
        <f t="shared" si="12"/>
        <v>21938.939219999997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hidden="1" customHeight="1">
      <c r="A71" s="30">
        <v>18</v>
      </c>
      <c r="B71" s="89" t="s">
        <v>102</v>
      </c>
      <c r="C71" s="90" t="s">
        <v>32</v>
      </c>
      <c r="D71" s="91"/>
      <c r="E71" s="73">
        <v>9.4</v>
      </c>
      <c r="F71" s="92">
        <f>SUM(E71)</f>
        <v>9.4</v>
      </c>
      <c r="G71" s="92">
        <v>44.31</v>
      </c>
      <c r="H71" s="93">
        <f t="shared" si="11"/>
        <v>0.416514</v>
      </c>
      <c r="I71" s="13">
        <f t="shared" si="12"/>
        <v>416.51400000000001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1" ht="15.75" hidden="1" customHeight="1">
      <c r="A72" s="30"/>
      <c r="B72" s="77" t="s">
        <v>103</v>
      </c>
      <c r="C72" s="16" t="s">
        <v>32</v>
      </c>
      <c r="D72" s="14"/>
      <c r="E72" s="18">
        <v>9.4</v>
      </c>
      <c r="F72" s="92">
        <f t="shared" ref="F72:F75" si="13">SUM(E72)</f>
        <v>9.4</v>
      </c>
      <c r="G72" s="13">
        <v>47.79</v>
      </c>
      <c r="H72" s="13">
        <f t="shared" si="11"/>
        <v>0.44922600000000001</v>
      </c>
      <c r="I72" s="13">
        <f t="shared" si="12"/>
        <v>449.226</v>
      </c>
      <c r="J72" s="5"/>
      <c r="K72" s="5"/>
      <c r="L72" s="5"/>
      <c r="M72" s="5"/>
      <c r="N72" s="5"/>
      <c r="O72" s="5"/>
      <c r="P72" s="5"/>
      <c r="Q72" s="5"/>
      <c r="R72" s="234"/>
      <c r="S72" s="234"/>
      <c r="T72" s="234"/>
      <c r="U72" s="234"/>
    </row>
    <row r="73" spans="1:21" ht="15.75" hidden="1" customHeight="1">
      <c r="A73" s="30"/>
      <c r="B73" s="14" t="s">
        <v>54</v>
      </c>
      <c r="C73" s="16" t="s">
        <v>55</v>
      </c>
      <c r="D73" s="14" t="s">
        <v>51</v>
      </c>
      <c r="E73" s="18">
        <v>2</v>
      </c>
      <c r="F73" s="92">
        <f t="shared" si="13"/>
        <v>2</v>
      </c>
      <c r="G73" s="13">
        <v>65.42</v>
      </c>
      <c r="H73" s="13">
        <f t="shared" si="11"/>
        <v>0.13084000000000001</v>
      </c>
      <c r="I73" s="13">
        <f t="shared" si="12"/>
        <v>130.84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>
      <c r="A74" s="30"/>
      <c r="B74" s="187" t="s">
        <v>68</v>
      </c>
      <c r="C74" s="16"/>
      <c r="D74" s="14"/>
      <c r="E74" s="18"/>
      <c r="F74" s="13"/>
      <c r="G74" s="13"/>
      <c r="H74" s="13" t="s">
        <v>122</v>
      </c>
      <c r="I74" s="13"/>
    </row>
    <row r="75" spans="1:21" ht="31.5" hidden="1" customHeight="1">
      <c r="A75" s="30"/>
      <c r="B75" s="14" t="s">
        <v>143</v>
      </c>
      <c r="C75" s="16" t="s">
        <v>98</v>
      </c>
      <c r="D75" s="14" t="s">
        <v>63</v>
      </c>
      <c r="E75" s="18">
        <v>2</v>
      </c>
      <c r="F75" s="92">
        <f t="shared" si="13"/>
        <v>2</v>
      </c>
      <c r="G75" s="13">
        <v>1543.4</v>
      </c>
      <c r="H75" s="13">
        <f t="shared" ref="H75:H77" si="14">SUM(F75*G75/1000)</f>
        <v>3.0868000000000002</v>
      </c>
      <c r="I75" s="13">
        <v>0</v>
      </c>
    </row>
    <row r="76" spans="1:21" ht="15.75" hidden="1" customHeight="1">
      <c r="A76" s="30"/>
      <c r="B76" s="14" t="s">
        <v>69</v>
      </c>
      <c r="C76" s="16" t="s">
        <v>70</v>
      </c>
      <c r="D76" s="14" t="s">
        <v>63</v>
      </c>
      <c r="E76" s="18">
        <v>2</v>
      </c>
      <c r="F76" s="13">
        <f>E76/10</f>
        <v>0.2</v>
      </c>
      <c r="G76" s="13">
        <v>657.87</v>
      </c>
      <c r="H76" s="13">
        <f t="shared" si="14"/>
        <v>0.13157400000000002</v>
      </c>
      <c r="I76" s="13">
        <v>0</v>
      </c>
    </row>
    <row r="77" spans="1:21" ht="15.75" hidden="1" customHeight="1">
      <c r="A77" s="30"/>
      <c r="B77" s="14" t="s">
        <v>144</v>
      </c>
      <c r="C77" s="16" t="s">
        <v>98</v>
      </c>
      <c r="D77" s="14" t="s">
        <v>63</v>
      </c>
      <c r="E77" s="18">
        <v>1</v>
      </c>
      <c r="F77" s="13">
        <f>SUM(E77)</f>
        <v>1</v>
      </c>
      <c r="G77" s="13">
        <v>1118.72</v>
      </c>
      <c r="H77" s="13">
        <f t="shared" si="14"/>
        <v>1.1187199999999999</v>
      </c>
      <c r="I77" s="13">
        <v>0</v>
      </c>
    </row>
    <row r="78" spans="1:21" ht="15.75" hidden="1" customHeight="1">
      <c r="A78" s="30"/>
      <c r="B78" s="46" t="s">
        <v>145</v>
      </c>
      <c r="C78" s="49" t="s">
        <v>98</v>
      </c>
      <c r="D78" s="14" t="s">
        <v>63</v>
      </c>
      <c r="E78" s="18">
        <v>1</v>
      </c>
      <c r="F78" s="13">
        <v>1</v>
      </c>
      <c r="G78" s="13">
        <v>1605.83</v>
      </c>
      <c r="H78" s="13">
        <f>SUM(F78*G78/1000)</f>
        <v>1.6058299999999999</v>
      </c>
      <c r="I78" s="13">
        <v>0</v>
      </c>
    </row>
    <row r="79" spans="1:21" ht="15.75" customHeight="1">
      <c r="A79" s="30">
        <v>12</v>
      </c>
      <c r="B79" s="47" t="s">
        <v>146</v>
      </c>
      <c r="C79" s="48" t="s">
        <v>98</v>
      </c>
      <c r="D79" s="35" t="s">
        <v>184</v>
      </c>
      <c r="E79" s="17">
        <v>1</v>
      </c>
      <c r="F79" s="34">
        <f>E79*12</f>
        <v>12</v>
      </c>
      <c r="G79" s="34">
        <v>55.55</v>
      </c>
      <c r="H79" s="13">
        <f t="shared" ref="H79" si="15">SUM(F79*G79/1000)</f>
        <v>0.66659999999999986</v>
      </c>
      <c r="I79" s="13">
        <f>F79/12*G79</f>
        <v>55.55</v>
      </c>
    </row>
    <row r="80" spans="1:21" ht="15.75" customHeight="1">
      <c r="A80" s="30"/>
      <c r="B80" s="100" t="s">
        <v>147</v>
      </c>
      <c r="C80" s="49"/>
      <c r="D80" s="14"/>
      <c r="E80" s="18"/>
      <c r="F80" s="13"/>
      <c r="G80" s="13"/>
      <c r="H80" s="61"/>
      <c r="I80" s="13"/>
    </row>
    <row r="81" spans="1:9" ht="15.75" customHeight="1">
      <c r="A81" s="30">
        <v>13</v>
      </c>
      <c r="B81" s="35" t="s">
        <v>148</v>
      </c>
      <c r="C81" s="157" t="s">
        <v>149</v>
      </c>
      <c r="D81" s="35"/>
      <c r="E81" s="17">
        <v>2409</v>
      </c>
      <c r="F81" s="34">
        <f>SUM(E81*12)</f>
        <v>28908</v>
      </c>
      <c r="G81" s="34">
        <v>2.37</v>
      </c>
      <c r="H81" s="61">
        <f t="shared" ref="H81" si="16">SUM(F81*G81/1000)</f>
        <v>68.511960000000002</v>
      </c>
      <c r="I81" s="13">
        <f>F81/12*G81</f>
        <v>5709.33</v>
      </c>
    </row>
    <row r="82" spans="1:9" ht="15.75" hidden="1" customHeight="1">
      <c r="A82" s="30"/>
      <c r="B82" s="16" t="s">
        <v>71</v>
      </c>
      <c r="C82" s="16"/>
      <c r="D82" s="14"/>
      <c r="E82" s="18"/>
      <c r="F82" s="13"/>
      <c r="G82" s="13" t="s">
        <v>122</v>
      </c>
      <c r="H82" s="13" t="s">
        <v>122</v>
      </c>
      <c r="I82" s="13"/>
    </row>
    <row r="83" spans="1:9" ht="15.75" hidden="1" customHeight="1">
      <c r="A83" s="30"/>
      <c r="B83" s="43" t="s">
        <v>111</v>
      </c>
      <c r="C83" s="16" t="s">
        <v>72</v>
      </c>
      <c r="D83" s="14"/>
      <c r="E83" s="18"/>
      <c r="F83" s="13">
        <v>0.1</v>
      </c>
      <c r="G83" s="13">
        <v>3619.09</v>
      </c>
      <c r="H83" s="13">
        <f t="shared" si="11"/>
        <v>0.36190900000000004</v>
      </c>
      <c r="I83" s="13">
        <v>0</v>
      </c>
    </row>
    <row r="84" spans="1:9" ht="15.75" hidden="1" customHeight="1">
      <c r="A84" s="30"/>
      <c r="B84" s="191" t="s">
        <v>86</v>
      </c>
      <c r="C84" s="192"/>
      <c r="D84" s="193"/>
      <c r="E84" s="194"/>
      <c r="F84" s="195"/>
      <c r="G84" s="195"/>
      <c r="H84" s="196">
        <f>SUM(H58:H83)</f>
        <v>149.64877034</v>
      </c>
      <c r="I84" s="13"/>
    </row>
    <row r="85" spans="1:9" ht="15.75" hidden="1" customHeight="1">
      <c r="A85" s="30"/>
      <c r="B85" s="62" t="s">
        <v>104</v>
      </c>
      <c r="C85" s="16"/>
      <c r="D85" s="14"/>
      <c r="E85" s="57"/>
      <c r="F85" s="13">
        <v>1</v>
      </c>
      <c r="G85" s="13">
        <v>8236.4</v>
      </c>
      <c r="H85" s="61">
        <f>G85*F85/1000</f>
        <v>8.2363999999999997</v>
      </c>
      <c r="I85" s="13">
        <v>0</v>
      </c>
    </row>
    <row r="86" spans="1:9" ht="15.75" customHeight="1">
      <c r="A86" s="225" t="s">
        <v>126</v>
      </c>
      <c r="B86" s="226"/>
      <c r="C86" s="226"/>
      <c r="D86" s="226"/>
      <c r="E86" s="226"/>
      <c r="F86" s="226"/>
      <c r="G86" s="226"/>
      <c r="H86" s="226"/>
      <c r="I86" s="227"/>
    </row>
    <row r="87" spans="1:9" ht="15.75" customHeight="1">
      <c r="A87" s="30">
        <v>14</v>
      </c>
      <c r="B87" s="155" t="s">
        <v>105</v>
      </c>
      <c r="C87" s="147" t="s">
        <v>52</v>
      </c>
      <c r="D87" s="188"/>
      <c r="E87" s="34">
        <v>2409</v>
      </c>
      <c r="F87" s="34">
        <f>SUM(E87*12)</f>
        <v>28908</v>
      </c>
      <c r="G87" s="34">
        <v>3.22</v>
      </c>
      <c r="H87" s="61">
        <f>SUM(F87*G87/1000)</f>
        <v>93.083760000000012</v>
      </c>
      <c r="I87" s="13">
        <f>F87/12*G87</f>
        <v>7756.9800000000005</v>
      </c>
    </row>
    <row r="88" spans="1:9" ht="31.5" customHeight="1">
      <c r="A88" s="30">
        <v>15</v>
      </c>
      <c r="B88" s="35" t="s">
        <v>73</v>
      </c>
      <c r="C88" s="147" t="s">
        <v>170</v>
      </c>
      <c r="D88" s="115"/>
      <c r="E88" s="128">
        <f>E87</f>
        <v>2409</v>
      </c>
      <c r="F88" s="34">
        <f>E88*12</f>
        <v>28908</v>
      </c>
      <c r="G88" s="34">
        <v>3.64</v>
      </c>
      <c r="H88" s="61">
        <f>F88*G88/1000</f>
        <v>105.22512</v>
      </c>
      <c r="I88" s="13">
        <f>F88/12*G88</f>
        <v>8768.76</v>
      </c>
    </row>
    <row r="89" spans="1:9" s="198" customFormat="1" ht="15.75" customHeight="1">
      <c r="A89" s="197"/>
      <c r="B89" s="36" t="s">
        <v>75</v>
      </c>
      <c r="C89" s="79"/>
      <c r="D89" s="78"/>
      <c r="E89" s="68"/>
      <c r="F89" s="68"/>
      <c r="G89" s="68"/>
      <c r="H89" s="80">
        <f>H88</f>
        <v>105.22512</v>
      </c>
      <c r="I89" s="68">
        <f>I88+I87+I81+I79+I64+I51+I45+I42+I41+I40+I38+I27+I18+I17+I16</f>
        <v>39214.996272999997</v>
      </c>
    </row>
    <row r="90" spans="1:9" ht="15.75" customHeight="1">
      <c r="A90" s="230" t="s">
        <v>57</v>
      </c>
      <c r="B90" s="231"/>
      <c r="C90" s="231"/>
      <c r="D90" s="231"/>
      <c r="E90" s="231"/>
      <c r="F90" s="231"/>
      <c r="G90" s="231"/>
      <c r="H90" s="231"/>
      <c r="I90" s="232"/>
    </row>
    <row r="91" spans="1:9" ht="29.25" customHeight="1">
      <c r="A91" s="30">
        <v>16</v>
      </c>
      <c r="B91" s="47" t="s">
        <v>191</v>
      </c>
      <c r="C91" s="48" t="s">
        <v>112</v>
      </c>
      <c r="D91" s="115" t="s">
        <v>204</v>
      </c>
      <c r="E91" s="34"/>
      <c r="F91" s="34">
        <v>2</v>
      </c>
      <c r="G91" s="34">
        <v>913.43</v>
      </c>
      <c r="H91" s="61">
        <f>G91*F91/1000</f>
        <v>1.8268599999999999</v>
      </c>
      <c r="I91" s="92">
        <f>G91*F91</f>
        <v>1826.86</v>
      </c>
    </row>
    <row r="92" spans="1:9" ht="15.75" customHeight="1">
      <c r="A92" s="30">
        <v>17</v>
      </c>
      <c r="B92" s="47" t="s">
        <v>194</v>
      </c>
      <c r="C92" s="48" t="s">
        <v>195</v>
      </c>
      <c r="D92" s="115" t="s">
        <v>201</v>
      </c>
      <c r="E92" s="34"/>
      <c r="F92" s="34">
        <v>1</v>
      </c>
      <c r="G92" s="34">
        <v>754.11</v>
      </c>
      <c r="H92" s="61">
        <f t="shared" ref="H92:H94" si="17">G92*F92/1000</f>
        <v>0.75411000000000006</v>
      </c>
      <c r="I92" s="13">
        <v>0</v>
      </c>
    </row>
    <row r="93" spans="1:9" ht="28.5" customHeight="1">
      <c r="A93" s="30">
        <v>18</v>
      </c>
      <c r="B93" s="47" t="s">
        <v>196</v>
      </c>
      <c r="C93" s="48" t="s">
        <v>129</v>
      </c>
      <c r="D93" s="35" t="s">
        <v>203</v>
      </c>
      <c r="E93" s="34"/>
      <c r="F93" s="34">
        <v>4</v>
      </c>
      <c r="G93" s="34">
        <v>1446.64</v>
      </c>
      <c r="H93" s="61">
        <f t="shared" si="17"/>
        <v>5.7865600000000006</v>
      </c>
      <c r="I93" s="13">
        <f>G93*4</f>
        <v>5786.56</v>
      </c>
    </row>
    <row r="94" spans="1:9" ht="81.75" customHeight="1">
      <c r="A94" s="30">
        <v>19</v>
      </c>
      <c r="B94" s="47" t="s">
        <v>197</v>
      </c>
      <c r="C94" s="48" t="s">
        <v>129</v>
      </c>
      <c r="D94" s="35" t="s">
        <v>202</v>
      </c>
      <c r="E94" s="34"/>
      <c r="F94" s="34">
        <v>16</v>
      </c>
      <c r="G94" s="34">
        <v>1523.6</v>
      </c>
      <c r="H94" s="61">
        <f t="shared" si="17"/>
        <v>24.377599999999997</v>
      </c>
      <c r="I94" s="13">
        <f>G94*16</f>
        <v>24377.599999999999</v>
      </c>
    </row>
    <row r="95" spans="1:9" ht="51" customHeight="1">
      <c r="A95" s="30">
        <v>20</v>
      </c>
      <c r="B95" s="47" t="s">
        <v>198</v>
      </c>
      <c r="C95" s="48" t="s">
        <v>129</v>
      </c>
      <c r="D95" s="35" t="s">
        <v>200</v>
      </c>
      <c r="E95" s="34"/>
      <c r="F95" s="34">
        <v>3</v>
      </c>
      <c r="G95" s="34">
        <v>1421.68</v>
      </c>
      <c r="H95" s="61"/>
      <c r="I95" s="13">
        <f>G95*3</f>
        <v>4265.04</v>
      </c>
    </row>
    <row r="96" spans="1:9" ht="27.75" customHeight="1">
      <c r="A96" s="30">
        <v>21</v>
      </c>
      <c r="B96" s="47" t="s">
        <v>165</v>
      </c>
      <c r="C96" s="48" t="s">
        <v>166</v>
      </c>
      <c r="D96" s="115" t="s">
        <v>199</v>
      </c>
      <c r="E96" s="34"/>
      <c r="F96" s="34">
        <v>1</v>
      </c>
      <c r="G96" s="34">
        <v>61.58</v>
      </c>
      <c r="H96" s="61"/>
      <c r="I96" s="13">
        <f>G96*1</f>
        <v>61.58</v>
      </c>
    </row>
    <row r="97" spans="1:9" ht="18" customHeight="1">
      <c r="A97" s="30">
        <v>22</v>
      </c>
      <c r="B97" s="47" t="s">
        <v>153</v>
      </c>
      <c r="C97" s="48" t="s">
        <v>98</v>
      </c>
      <c r="D97" s="115"/>
      <c r="E97" s="34"/>
      <c r="F97" s="34">
        <v>2</v>
      </c>
      <c r="G97" s="34">
        <v>215.85</v>
      </c>
      <c r="H97" s="61"/>
      <c r="I97" s="13">
        <f>G97*2</f>
        <v>431.7</v>
      </c>
    </row>
    <row r="98" spans="1:9" ht="15.75" customHeight="1">
      <c r="A98" s="30"/>
      <c r="B98" s="41" t="s">
        <v>49</v>
      </c>
      <c r="C98" s="37"/>
      <c r="D98" s="44"/>
      <c r="E98" s="37">
        <v>1</v>
      </c>
      <c r="F98" s="37"/>
      <c r="G98" s="37"/>
      <c r="H98" s="37"/>
      <c r="I98" s="32">
        <f>SUM(I91:I97)</f>
        <v>36749.339999999997</v>
      </c>
    </row>
    <row r="99" spans="1:9" ht="15.75" customHeight="1">
      <c r="A99" s="30"/>
      <c r="B99" s="43" t="s">
        <v>74</v>
      </c>
      <c r="C99" s="15"/>
      <c r="D99" s="15"/>
      <c r="E99" s="38"/>
      <c r="F99" s="38"/>
      <c r="G99" s="39"/>
      <c r="H99" s="39"/>
      <c r="I99" s="17">
        <v>0</v>
      </c>
    </row>
    <row r="100" spans="1:9" ht="15.75" customHeight="1">
      <c r="A100" s="45"/>
      <c r="B100" s="42" t="s">
        <v>133</v>
      </c>
      <c r="C100" s="33"/>
      <c r="D100" s="33"/>
      <c r="E100" s="33"/>
      <c r="F100" s="33"/>
      <c r="G100" s="33"/>
      <c r="H100" s="33"/>
      <c r="I100" s="40">
        <f>I89+I98</f>
        <v>75964.336272999994</v>
      </c>
    </row>
    <row r="101" spans="1:9" ht="15.75" customHeight="1">
      <c r="A101" s="235" t="s">
        <v>281</v>
      </c>
      <c r="B101" s="235"/>
      <c r="C101" s="235"/>
      <c r="D101" s="235"/>
      <c r="E101" s="235"/>
      <c r="F101" s="235"/>
      <c r="G101" s="235"/>
      <c r="H101" s="235"/>
      <c r="I101" s="235"/>
    </row>
    <row r="102" spans="1:9" ht="15.75" customHeight="1">
      <c r="A102" s="55"/>
      <c r="B102" s="236" t="s">
        <v>282</v>
      </c>
      <c r="C102" s="236"/>
      <c r="D102" s="236"/>
      <c r="E102" s="236"/>
      <c r="F102" s="236"/>
      <c r="G102" s="236"/>
      <c r="H102" s="60"/>
      <c r="I102" s="3"/>
    </row>
    <row r="103" spans="1:9">
      <c r="A103" s="52"/>
      <c r="B103" s="237" t="s">
        <v>6</v>
      </c>
      <c r="C103" s="237"/>
      <c r="D103" s="237"/>
      <c r="E103" s="237"/>
      <c r="F103" s="237"/>
      <c r="G103" s="237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238" t="s">
        <v>7</v>
      </c>
      <c r="B105" s="238"/>
      <c r="C105" s="238"/>
      <c r="D105" s="238"/>
      <c r="E105" s="238"/>
      <c r="F105" s="238"/>
      <c r="G105" s="238"/>
      <c r="H105" s="238"/>
      <c r="I105" s="238"/>
    </row>
    <row r="106" spans="1:9" ht="15.75">
      <c r="A106" s="238" t="s">
        <v>8</v>
      </c>
      <c r="B106" s="238"/>
      <c r="C106" s="238"/>
      <c r="D106" s="238"/>
      <c r="E106" s="238"/>
      <c r="F106" s="238"/>
      <c r="G106" s="238"/>
      <c r="H106" s="238"/>
      <c r="I106" s="238"/>
    </row>
    <row r="107" spans="1:9" ht="15.75" customHeight="1">
      <c r="A107" s="239" t="s">
        <v>58</v>
      </c>
      <c r="B107" s="239"/>
      <c r="C107" s="239"/>
      <c r="D107" s="239"/>
      <c r="E107" s="239"/>
      <c r="F107" s="239"/>
      <c r="G107" s="239"/>
      <c r="H107" s="239"/>
      <c r="I107" s="239"/>
    </row>
    <row r="108" spans="1:9" ht="15.75" customHeight="1">
      <c r="A108" s="11"/>
    </row>
    <row r="109" spans="1:9" ht="15.75" customHeight="1">
      <c r="A109" s="240" t="s">
        <v>9</v>
      </c>
      <c r="B109" s="240"/>
      <c r="C109" s="240"/>
      <c r="D109" s="240"/>
      <c r="E109" s="240"/>
      <c r="F109" s="240"/>
      <c r="G109" s="240"/>
      <c r="H109" s="240"/>
      <c r="I109" s="240"/>
    </row>
    <row r="110" spans="1:9" ht="15.75" customHeight="1">
      <c r="A110" s="4"/>
    </row>
    <row r="111" spans="1:9" ht="15.75" customHeight="1">
      <c r="B111" s="53" t="s">
        <v>10</v>
      </c>
      <c r="C111" s="241" t="s">
        <v>127</v>
      </c>
      <c r="D111" s="241"/>
      <c r="E111" s="241"/>
      <c r="F111" s="58"/>
      <c r="I111" s="51"/>
    </row>
    <row r="112" spans="1:9" ht="15.75" customHeight="1">
      <c r="A112" s="52"/>
      <c r="C112" s="237" t="s">
        <v>11</v>
      </c>
      <c r="D112" s="237"/>
      <c r="E112" s="237"/>
      <c r="F112" s="25"/>
      <c r="I112" s="50" t="s">
        <v>12</v>
      </c>
    </row>
    <row r="113" spans="1:9" ht="15.75" customHeight="1">
      <c r="A113" s="26"/>
      <c r="C113" s="12"/>
      <c r="D113" s="12"/>
      <c r="G113" s="12"/>
      <c r="H113" s="12"/>
    </row>
    <row r="114" spans="1:9" ht="15.75">
      <c r="B114" s="53" t="s">
        <v>13</v>
      </c>
      <c r="C114" s="233"/>
      <c r="D114" s="233"/>
      <c r="E114" s="233"/>
      <c r="F114" s="59"/>
      <c r="I114" s="51"/>
    </row>
    <row r="115" spans="1:9" ht="15.75" customHeight="1">
      <c r="A115" s="52"/>
      <c r="C115" s="234" t="s">
        <v>11</v>
      </c>
      <c r="D115" s="234"/>
      <c r="E115" s="234"/>
      <c r="F115" s="52"/>
      <c r="I115" s="50" t="s">
        <v>12</v>
      </c>
    </row>
    <row r="116" spans="1:9" ht="15.75" customHeight="1">
      <c r="A116" s="4" t="s">
        <v>14</v>
      </c>
    </row>
    <row r="117" spans="1:9" ht="15.75" customHeight="1">
      <c r="A117" s="228" t="s">
        <v>15</v>
      </c>
      <c r="B117" s="228"/>
      <c r="C117" s="228"/>
      <c r="D117" s="228"/>
      <c r="E117" s="228"/>
      <c r="F117" s="228"/>
      <c r="G117" s="228"/>
      <c r="H117" s="228"/>
      <c r="I117" s="228"/>
    </row>
    <row r="118" spans="1:9" ht="45" customHeight="1">
      <c r="A118" s="229" t="s">
        <v>16</v>
      </c>
      <c r="B118" s="229"/>
      <c r="C118" s="229"/>
      <c r="D118" s="229"/>
      <c r="E118" s="229"/>
      <c r="F118" s="229"/>
      <c r="G118" s="229"/>
      <c r="H118" s="229"/>
      <c r="I118" s="229"/>
    </row>
    <row r="119" spans="1:9" ht="30" customHeight="1">
      <c r="A119" s="229" t="s">
        <v>17</v>
      </c>
      <c r="B119" s="229"/>
      <c r="C119" s="229"/>
      <c r="D119" s="229"/>
      <c r="E119" s="229"/>
      <c r="F119" s="229"/>
      <c r="G119" s="229"/>
      <c r="H119" s="229"/>
      <c r="I119" s="229"/>
    </row>
    <row r="120" spans="1:9" ht="30" customHeight="1">
      <c r="A120" s="229" t="s">
        <v>21</v>
      </c>
      <c r="B120" s="229"/>
      <c r="C120" s="229"/>
      <c r="D120" s="229"/>
      <c r="E120" s="229"/>
      <c r="F120" s="229"/>
      <c r="G120" s="229"/>
      <c r="H120" s="229"/>
      <c r="I120" s="229"/>
    </row>
    <row r="121" spans="1:9" ht="15" customHeight="1">
      <c r="A121" s="229" t="s">
        <v>20</v>
      </c>
      <c r="B121" s="229"/>
      <c r="C121" s="229"/>
      <c r="D121" s="229"/>
      <c r="E121" s="229"/>
      <c r="F121" s="229"/>
      <c r="G121" s="229"/>
      <c r="H121" s="229"/>
      <c r="I121" s="229"/>
    </row>
  </sheetData>
  <autoFilter ref="I12:I55"/>
  <mergeCells count="29">
    <mergeCell ref="A15:I15"/>
    <mergeCell ref="R72:U72"/>
    <mergeCell ref="A3:I3"/>
    <mergeCell ref="A4:I4"/>
    <mergeCell ref="A5:I5"/>
    <mergeCell ref="A8:I8"/>
    <mergeCell ref="A10:I10"/>
    <mergeCell ref="A14:I14"/>
    <mergeCell ref="A28:I28"/>
    <mergeCell ref="A46:I46"/>
    <mergeCell ref="A56:I56"/>
    <mergeCell ref="A121:I121"/>
    <mergeCell ref="C114:E114"/>
    <mergeCell ref="C115:E115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A86:I86"/>
    <mergeCell ref="A117:I117"/>
    <mergeCell ref="A118:I118"/>
    <mergeCell ref="A119:I119"/>
    <mergeCell ref="A120:I120"/>
    <mergeCell ref="A90:I90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3"/>
  <sheetViews>
    <sheetView topLeftCell="A84" workbookViewId="0">
      <selection activeCell="A97" sqref="A97:I97"/>
    </sheetView>
  </sheetViews>
  <sheetFormatPr defaultRowHeight="15"/>
  <cols>
    <col min="1" max="1" width="11.7109375" customWidth="1"/>
    <col min="2" max="2" width="48.7109375" customWidth="1"/>
    <col min="3" max="3" width="21.85546875" customWidth="1"/>
    <col min="4" max="4" width="25" customWidth="1"/>
    <col min="5" max="6" width="0" hidden="1" customWidth="1"/>
    <col min="7" max="7" width="19.140625" customWidth="1"/>
    <col min="8" max="8" width="0" hidden="1" customWidth="1"/>
    <col min="9" max="9" width="18.140625" customWidth="1"/>
  </cols>
  <sheetData>
    <row r="1" spans="1:9" ht="15.75">
      <c r="A1" s="28" t="s">
        <v>157</v>
      </c>
      <c r="I1" s="27"/>
    </row>
    <row r="2" spans="1:9" ht="15.75">
      <c r="A2" s="29" t="s">
        <v>59</v>
      </c>
    </row>
    <row r="3" spans="1:9" ht="15.75">
      <c r="A3" s="243" t="s">
        <v>163</v>
      </c>
      <c r="B3" s="243"/>
      <c r="C3" s="243"/>
      <c r="D3" s="243"/>
      <c r="E3" s="243"/>
      <c r="F3" s="243"/>
      <c r="G3" s="243"/>
      <c r="H3" s="243"/>
      <c r="I3" s="243"/>
    </row>
    <row r="4" spans="1:9" ht="33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9" ht="15.75">
      <c r="A5" s="243" t="s">
        <v>265</v>
      </c>
      <c r="B5" s="245"/>
      <c r="C5" s="245"/>
      <c r="D5" s="245"/>
      <c r="E5" s="245"/>
      <c r="F5" s="245"/>
      <c r="G5" s="245"/>
      <c r="H5" s="245"/>
      <c r="I5" s="245"/>
    </row>
    <row r="6" spans="1:9" ht="15.75">
      <c r="A6" s="2"/>
      <c r="B6" s="159"/>
      <c r="C6" s="159"/>
      <c r="D6" s="159"/>
      <c r="E6" s="159"/>
      <c r="F6" s="159"/>
      <c r="G6" s="159"/>
      <c r="H6" s="159"/>
      <c r="I6" s="31">
        <v>44135</v>
      </c>
    </row>
    <row r="7" spans="1:9" ht="15.75">
      <c r="B7" s="163"/>
      <c r="C7" s="163"/>
      <c r="D7" s="163"/>
      <c r="E7" s="3"/>
      <c r="F7" s="3"/>
      <c r="G7" s="3"/>
      <c r="H7" s="3"/>
    </row>
    <row r="8" spans="1:9" ht="94.5" customHeight="1">
      <c r="A8" s="246" t="s">
        <v>266</v>
      </c>
      <c r="B8" s="246"/>
      <c r="C8" s="246"/>
      <c r="D8" s="246"/>
      <c r="E8" s="246"/>
      <c r="F8" s="246"/>
      <c r="G8" s="246"/>
      <c r="H8" s="246"/>
      <c r="I8" s="246"/>
    </row>
    <row r="9" spans="1:9" ht="15.75">
      <c r="A9" s="4"/>
    </row>
    <row r="10" spans="1:9" ht="63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</row>
    <row r="11" spans="1:9" ht="15.75">
      <c r="A11" s="4"/>
    </row>
    <row r="12" spans="1:9" ht="80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9.5" customHeight="1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6.5" customHeight="1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5" customHeight="1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4" si="1">SUM(F19*G19/1000)</f>
        <v>0.48973100000000003</v>
      </c>
      <c r="I19" s="34">
        <f>2.11*G19</f>
        <v>489.73099999999994</v>
      </c>
    </row>
    <row r="20" spans="1:9" hidden="1">
      <c r="A20" s="30">
        <v>4</v>
      </c>
      <c r="B20" s="62" t="s">
        <v>91</v>
      </c>
      <c r="C20" s="63" t="s">
        <v>80</v>
      </c>
      <c r="D20" s="62" t="s">
        <v>40</v>
      </c>
      <c r="E20" s="128">
        <v>2.4</v>
      </c>
      <c r="F20" s="129">
        <f>SUM(E20*2/100)</f>
        <v>4.8000000000000001E-2</v>
      </c>
      <c r="G20" s="129">
        <v>294.77999999999997</v>
      </c>
      <c r="H20" s="130">
        <f t="shared" si="1"/>
        <v>1.4149439999999999E-2</v>
      </c>
      <c r="I20" s="34">
        <f>0.048/2*G20</f>
        <v>7.0747199999999992</v>
      </c>
    </row>
    <row r="21" spans="1:9" hidden="1">
      <c r="A21" s="30">
        <v>5</v>
      </c>
      <c r="B21" s="62" t="s">
        <v>92</v>
      </c>
      <c r="C21" s="63" t="s">
        <v>50</v>
      </c>
      <c r="D21" s="62" t="s">
        <v>89</v>
      </c>
      <c r="E21" s="128">
        <v>317</v>
      </c>
      <c r="F21" s="129">
        <f>SUM(E21/100)</f>
        <v>3.17</v>
      </c>
      <c r="G21" s="129">
        <v>367.27</v>
      </c>
      <c r="H21" s="130">
        <f t="shared" si="1"/>
        <v>1.1642458999999998</v>
      </c>
      <c r="I21" s="34">
        <f>3.17*G21</f>
        <v>1164.2458999999999</v>
      </c>
    </row>
    <row r="22" spans="1:9" hidden="1">
      <c r="A22" s="30">
        <v>7</v>
      </c>
      <c r="B22" s="62" t="s">
        <v>93</v>
      </c>
      <c r="C22" s="63" t="s">
        <v>50</v>
      </c>
      <c r="D22" s="62" t="s">
        <v>89</v>
      </c>
      <c r="E22" s="131">
        <v>24.15</v>
      </c>
      <c r="F22" s="129">
        <f>SUM(E22/100)</f>
        <v>0.24149999999999999</v>
      </c>
      <c r="G22" s="129">
        <v>60.41</v>
      </c>
      <c r="H22" s="130">
        <f t="shared" si="1"/>
        <v>1.4589014999999999E-2</v>
      </c>
      <c r="I22" s="34">
        <f>0.2415*G22</f>
        <v>14.589014999999998</v>
      </c>
    </row>
    <row r="23" spans="1:9" hidden="1">
      <c r="A23" s="30">
        <v>8</v>
      </c>
      <c r="B23" s="62" t="s">
        <v>94</v>
      </c>
      <c r="C23" s="63" t="s">
        <v>50</v>
      </c>
      <c r="D23" s="62" t="s">
        <v>51</v>
      </c>
      <c r="E23" s="128">
        <v>10</v>
      </c>
      <c r="F23" s="129">
        <f>SUM(E23/100)</f>
        <v>0.1</v>
      </c>
      <c r="G23" s="129">
        <v>531.55999999999995</v>
      </c>
      <c r="H23" s="130">
        <f t="shared" si="1"/>
        <v>5.3156000000000002E-2</v>
      </c>
      <c r="I23" s="34">
        <f>0.1*G23</f>
        <v>53.155999999999999</v>
      </c>
    </row>
    <row r="24" spans="1:9" hidden="1">
      <c r="A24" s="30">
        <v>9</v>
      </c>
      <c r="B24" s="62" t="s">
        <v>95</v>
      </c>
      <c r="C24" s="63" t="s">
        <v>50</v>
      </c>
      <c r="D24" s="62" t="s">
        <v>51</v>
      </c>
      <c r="E24" s="128">
        <v>4.25</v>
      </c>
      <c r="F24" s="129">
        <f>SUM(E24/100)</f>
        <v>4.2500000000000003E-2</v>
      </c>
      <c r="G24" s="129">
        <v>710.37</v>
      </c>
      <c r="H24" s="130">
        <f t="shared" si="1"/>
        <v>3.0190725000000005E-2</v>
      </c>
      <c r="I24" s="34">
        <f>0.0425*G24</f>
        <v>30.190725000000004</v>
      </c>
    </row>
    <row r="25" spans="1:9" ht="30" hidden="1">
      <c r="A25" s="30">
        <v>10</v>
      </c>
      <c r="B25" s="62" t="s">
        <v>110</v>
      </c>
      <c r="C25" s="63" t="s">
        <v>50</v>
      </c>
      <c r="D25" s="62" t="s">
        <v>51</v>
      </c>
      <c r="E25" s="128">
        <v>9.5</v>
      </c>
      <c r="F25" s="129">
        <v>9.5000000000000001E-2</v>
      </c>
      <c r="G25" s="129">
        <v>294.77999999999997</v>
      </c>
      <c r="H25" s="130">
        <f>G25*F25/1000</f>
        <v>2.8004099999999997E-2</v>
      </c>
      <c r="I25" s="34">
        <f>0.095*G25</f>
        <v>28.004099999999998</v>
      </c>
    </row>
    <row r="26" spans="1:9" hidden="1">
      <c r="A26" s="30">
        <v>11</v>
      </c>
      <c r="B26" s="155" t="s">
        <v>174</v>
      </c>
      <c r="C26" s="182" t="s">
        <v>25</v>
      </c>
      <c r="D26" s="155" t="s">
        <v>175</v>
      </c>
      <c r="E26" s="205">
        <v>2.2400000000000002</v>
      </c>
      <c r="F26" s="129">
        <f>E26*258</f>
        <v>577.92000000000007</v>
      </c>
      <c r="G26" s="129">
        <v>10.39</v>
      </c>
      <c r="H26" s="66">
        <f>SUM(F26*G26/1000)</f>
        <v>6.0045888000000014</v>
      </c>
      <c r="I26" s="13">
        <f>F26/12*G26</f>
        <v>500.38240000000008</v>
      </c>
    </row>
    <row r="27" spans="1:9" ht="15" customHeight="1">
      <c r="A27" s="30">
        <v>4</v>
      </c>
      <c r="B27" s="155" t="s">
        <v>174</v>
      </c>
      <c r="C27" s="182" t="s">
        <v>25</v>
      </c>
      <c r="D27" s="155" t="s">
        <v>175</v>
      </c>
      <c r="E27" s="205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>
      <c r="A28" s="242" t="s">
        <v>78</v>
      </c>
      <c r="B28" s="242"/>
      <c r="C28" s="242"/>
      <c r="D28" s="242"/>
      <c r="E28" s="242"/>
      <c r="F28" s="242"/>
      <c r="G28" s="242"/>
      <c r="H28" s="242"/>
      <c r="I28" s="242"/>
    </row>
    <row r="29" spans="1:9" ht="17.25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</row>
    <row r="30" spans="1:9" ht="15" customHeight="1">
      <c r="A30" s="30">
        <v>5</v>
      </c>
      <c r="B30" s="62" t="s">
        <v>97</v>
      </c>
      <c r="C30" s="63" t="s">
        <v>82</v>
      </c>
      <c r="D30" s="155" t="s">
        <v>177</v>
      </c>
      <c r="E30" s="65">
        <v>372.4</v>
      </c>
      <c r="F30" s="65">
        <f>SUM(E30*52/1000)</f>
        <v>19.364799999999999</v>
      </c>
      <c r="G30" s="129">
        <v>212.62</v>
      </c>
      <c r="H30" s="66">
        <f t="shared" ref="H30:H33" si="2">SUM(F30*G30/1000)</f>
        <v>4.1173437759999993</v>
      </c>
      <c r="I30" s="13">
        <f>19.3648/6*G30</f>
        <v>686.22396266666669</v>
      </c>
    </row>
    <row r="31" spans="1:9" ht="45" customHeight="1">
      <c r="A31" s="30">
        <v>6</v>
      </c>
      <c r="B31" s="62" t="s">
        <v>108</v>
      </c>
      <c r="C31" s="63" t="s">
        <v>82</v>
      </c>
      <c r="D31" s="155" t="s">
        <v>176</v>
      </c>
      <c r="E31" s="65">
        <v>195.5</v>
      </c>
      <c r="F31" s="65">
        <f>SUM(E31*78/1000)</f>
        <v>15.249000000000001</v>
      </c>
      <c r="G31" s="129">
        <v>352.77</v>
      </c>
      <c r="H31" s="66">
        <f t="shared" si="2"/>
        <v>5.3793897299999998</v>
      </c>
      <c r="I31" s="13">
        <f>15.249/6*G31</f>
        <v>896.56495499999994</v>
      </c>
    </row>
    <row r="32" spans="1:9" hidden="1">
      <c r="A32" s="30">
        <v>13</v>
      </c>
      <c r="B32" s="62" t="s">
        <v>27</v>
      </c>
      <c r="C32" s="63" t="s">
        <v>82</v>
      </c>
      <c r="D32" s="155" t="s">
        <v>184</v>
      </c>
      <c r="E32" s="65">
        <v>372.4</v>
      </c>
      <c r="F32" s="65">
        <f>SUM(E32/1000)</f>
        <v>0.37239999999999995</v>
      </c>
      <c r="G32" s="129">
        <v>4119.68</v>
      </c>
      <c r="H32" s="66">
        <f t="shared" si="2"/>
        <v>1.5341688319999998</v>
      </c>
      <c r="I32" s="13">
        <f>0.3724*G32</f>
        <v>1534.1688320000001</v>
      </c>
    </row>
    <row r="33" spans="1:9" ht="17.25" customHeight="1">
      <c r="A33" s="30">
        <v>7</v>
      </c>
      <c r="B33" s="62" t="s">
        <v>136</v>
      </c>
      <c r="C33" s="63" t="s">
        <v>38</v>
      </c>
      <c r="D33" s="155" t="s">
        <v>180</v>
      </c>
      <c r="E33" s="65">
        <v>2</v>
      </c>
      <c r="F33" s="65">
        <f>E33*155/100</f>
        <v>3.1</v>
      </c>
      <c r="G33" s="129">
        <v>1775.94</v>
      </c>
      <c r="H33" s="66">
        <f t="shared" si="2"/>
        <v>5.5054140000000009</v>
      </c>
      <c r="I33" s="13">
        <f>3.1/6*G33</f>
        <v>917.56900000000007</v>
      </c>
    </row>
    <row r="34" spans="1:9" hidden="1">
      <c r="A34" s="30"/>
      <c r="B34" s="62" t="s">
        <v>61</v>
      </c>
      <c r="C34" s="63" t="s">
        <v>32</v>
      </c>
      <c r="D34" s="62" t="s">
        <v>63</v>
      </c>
      <c r="E34" s="64"/>
      <c r="F34" s="65">
        <v>2</v>
      </c>
      <c r="G34" s="65">
        <v>250.92</v>
      </c>
      <c r="H34" s="66">
        <f t="shared" ref="H34:H35" si="3">SUM(F34*G34/1000)</f>
        <v>0.50183999999999995</v>
      </c>
      <c r="I34" s="13">
        <v>0</v>
      </c>
    </row>
    <row r="35" spans="1:9" hidden="1">
      <c r="A35" s="30"/>
      <c r="B35" s="62" t="s">
        <v>62</v>
      </c>
      <c r="C35" s="63" t="s">
        <v>31</v>
      </c>
      <c r="D35" s="62" t="s">
        <v>63</v>
      </c>
      <c r="E35" s="64"/>
      <c r="F35" s="65">
        <v>1</v>
      </c>
      <c r="G35" s="65">
        <v>1490.31</v>
      </c>
      <c r="H35" s="66">
        <f t="shared" si="3"/>
        <v>1.49031</v>
      </c>
      <c r="I35" s="13">
        <v>0</v>
      </c>
    </row>
    <row r="36" spans="1:9" hidden="1">
      <c r="A36" s="30"/>
      <c r="B36" s="81" t="s">
        <v>5</v>
      </c>
      <c r="C36" s="63"/>
      <c r="D36" s="62"/>
      <c r="E36" s="64"/>
      <c r="F36" s="65"/>
      <c r="G36" s="65"/>
      <c r="H36" s="66" t="s">
        <v>122</v>
      </c>
      <c r="I36" s="13"/>
    </row>
    <row r="37" spans="1:9" hidden="1">
      <c r="A37" s="30">
        <v>7</v>
      </c>
      <c r="B37" s="62" t="s">
        <v>26</v>
      </c>
      <c r="C37" s="63" t="s">
        <v>31</v>
      </c>
      <c r="D37" s="62"/>
      <c r="E37" s="64"/>
      <c r="F37" s="65">
        <v>5</v>
      </c>
      <c r="G37" s="129">
        <v>2083</v>
      </c>
      <c r="H37" s="66">
        <f t="shared" ref="H37:H44" si="4">SUM(F37*G37/1000)</f>
        <v>10.414999999999999</v>
      </c>
      <c r="I37" s="13">
        <f>F37/6*G37</f>
        <v>1735.8333333333335</v>
      </c>
    </row>
    <row r="38" spans="1:9" hidden="1">
      <c r="A38" s="30">
        <v>9</v>
      </c>
      <c r="B38" s="62" t="s">
        <v>113</v>
      </c>
      <c r="C38" s="63" t="s">
        <v>114</v>
      </c>
      <c r="D38" s="62" t="s">
        <v>63</v>
      </c>
      <c r="E38" s="64"/>
      <c r="F38" s="65">
        <v>26</v>
      </c>
      <c r="G38" s="129">
        <v>314</v>
      </c>
      <c r="H38" s="66">
        <f>G38*F38/1000</f>
        <v>8.1639999999999997</v>
      </c>
      <c r="I38" s="13">
        <v>0</v>
      </c>
    </row>
    <row r="39" spans="1:9" hidden="1">
      <c r="A39" s="30">
        <v>8</v>
      </c>
      <c r="B39" s="62" t="s">
        <v>137</v>
      </c>
      <c r="C39" s="63" t="s">
        <v>29</v>
      </c>
      <c r="D39" s="62" t="s">
        <v>115</v>
      </c>
      <c r="E39" s="64">
        <v>88</v>
      </c>
      <c r="F39" s="65">
        <f>E39*30/1000</f>
        <v>2.64</v>
      </c>
      <c r="G39" s="129">
        <v>2868.09</v>
      </c>
      <c r="H39" s="66">
        <f>G39*F39/1000</f>
        <v>7.5717576000000006</v>
      </c>
      <c r="I39" s="13">
        <f>F39/6*G39</f>
        <v>1261.9596000000001</v>
      </c>
    </row>
    <row r="40" spans="1:9" ht="30" hidden="1">
      <c r="A40" s="30">
        <v>9</v>
      </c>
      <c r="B40" s="62" t="s">
        <v>64</v>
      </c>
      <c r="C40" s="63" t="s">
        <v>29</v>
      </c>
      <c r="D40" s="62" t="s">
        <v>81</v>
      </c>
      <c r="E40" s="65">
        <v>93.3</v>
      </c>
      <c r="F40" s="65">
        <f>SUM(E40*155/1000)</f>
        <v>14.461499999999999</v>
      </c>
      <c r="G40" s="129">
        <v>478.42</v>
      </c>
      <c r="H40" s="66">
        <f t="shared" si="4"/>
        <v>6.9186708299999999</v>
      </c>
      <c r="I40" s="13">
        <f>F40/6*G40</f>
        <v>1153.111805</v>
      </c>
    </row>
    <row r="41" spans="1:9" ht="60" hidden="1">
      <c r="A41" s="30">
        <v>10</v>
      </c>
      <c r="B41" s="62" t="s">
        <v>76</v>
      </c>
      <c r="C41" s="63" t="s">
        <v>82</v>
      </c>
      <c r="D41" s="62" t="s">
        <v>116</v>
      </c>
      <c r="E41" s="65">
        <v>34</v>
      </c>
      <c r="F41" s="65">
        <f>SUM(E41*35/1000)</f>
        <v>1.19</v>
      </c>
      <c r="G41" s="129">
        <v>7915.6</v>
      </c>
      <c r="H41" s="66">
        <f t="shared" si="4"/>
        <v>9.4195640000000012</v>
      </c>
      <c r="I41" s="13">
        <f>F41/6*G41</f>
        <v>1569.9273333333333</v>
      </c>
    </row>
    <row r="42" spans="1:9" hidden="1">
      <c r="A42" s="30">
        <v>11</v>
      </c>
      <c r="B42" s="62" t="s">
        <v>83</v>
      </c>
      <c r="C42" s="63" t="s">
        <v>82</v>
      </c>
      <c r="D42" s="62" t="s">
        <v>65</v>
      </c>
      <c r="E42" s="65">
        <v>72</v>
      </c>
      <c r="F42" s="65">
        <f>SUM(E42*45/1000)</f>
        <v>3.24</v>
      </c>
      <c r="G42" s="129">
        <v>584.74</v>
      </c>
      <c r="H42" s="66">
        <f t="shared" si="4"/>
        <v>1.8945576000000002</v>
      </c>
      <c r="I42" s="13">
        <f>(F42/7.5*1.5)*G42</f>
        <v>378.91152000000011</v>
      </c>
    </row>
    <row r="43" spans="1:9" hidden="1">
      <c r="A43" s="30">
        <v>12</v>
      </c>
      <c r="B43" s="62" t="s">
        <v>66</v>
      </c>
      <c r="C43" s="63" t="s">
        <v>32</v>
      </c>
      <c r="D43" s="62"/>
      <c r="E43" s="64"/>
      <c r="F43" s="65">
        <v>0.9</v>
      </c>
      <c r="G43" s="132">
        <v>800</v>
      </c>
      <c r="H43" s="66">
        <f t="shared" si="4"/>
        <v>0.72</v>
      </c>
      <c r="I43" s="13">
        <f>(F43/7.5*1.5)*G43</f>
        <v>144.00000000000003</v>
      </c>
    </row>
    <row r="44" spans="1:9" ht="30" hidden="1">
      <c r="A44" s="30">
        <v>8</v>
      </c>
      <c r="B44" s="46" t="s">
        <v>138</v>
      </c>
      <c r="C44" s="49" t="s">
        <v>29</v>
      </c>
      <c r="D44" s="62" t="s">
        <v>178</v>
      </c>
      <c r="E44" s="64">
        <v>1.8</v>
      </c>
      <c r="F44" s="65">
        <f>SUM(E44*12/1000)</f>
        <v>2.1600000000000001E-2</v>
      </c>
      <c r="G44" s="132">
        <v>270.61</v>
      </c>
      <c r="H44" s="66">
        <f t="shared" si="4"/>
        <v>5.8451760000000005E-3</v>
      </c>
      <c r="I44" s="13">
        <f>G44*1.8/1000</f>
        <v>0.48709800000000003</v>
      </c>
    </row>
    <row r="45" spans="1:9" hidden="1">
      <c r="A45" s="249" t="s">
        <v>124</v>
      </c>
      <c r="B45" s="250"/>
      <c r="C45" s="250"/>
      <c r="D45" s="250"/>
      <c r="E45" s="250"/>
      <c r="F45" s="250"/>
      <c r="G45" s="250"/>
      <c r="H45" s="250"/>
      <c r="I45" s="251"/>
    </row>
    <row r="46" spans="1:9" hidden="1">
      <c r="A46" s="30">
        <v>12</v>
      </c>
      <c r="B46" s="62" t="s">
        <v>117</v>
      </c>
      <c r="C46" s="63" t="s">
        <v>82</v>
      </c>
      <c r="D46" s="62" t="s">
        <v>40</v>
      </c>
      <c r="E46" s="64">
        <v>670.4</v>
      </c>
      <c r="F46" s="65">
        <f>SUM(E46*2/1000)</f>
        <v>1.3408</v>
      </c>
      <c r="G46" s="34">
        <v>1158.7</v>
      </c>
      <c r="H46" s="66">
        <f t="shared" ref="H46:H54" si="5">SUM(F46*G46/1000)</f>
        <v>1.5535849600000002</v>
      </c>
      <c r="I46" s="13">
        <f t="shared" ref="I46:I48" si="6">F46/2*G46</f>
        <v>776.79248000000007</v>
      </c>
    </row>
    <row r="47" spans="1:9" hidden="1">
      <c r="A47" s="30">
        <v>13</v>
      </c>
      <c r="B47" s="62" t="s">
        <v>33</v>
      </c>
      <c r="C47" s="63" t="s">
        <v>82</v>
      </c>
      <c r="D47" s="62" t="s">
        <v>40</v>
      </c>
      <c r="E47" s="64">
        <v>26</v>
      </c>
      <c r="F47" s="65">
        <f t="shared" ref="F47:F49" si="7">SUM(E47*2/1000)</f>
        <v>5.1999999999999998E-2</v>
      </c>
      <c r="G47" s="34">
        <v>790.38</v>
      </c>
      <c r="H47" s="66">
        <f t="shared" si="5"/>
        <v>4.1099759999999999E-2</v>
      </c>
      <c r="I47" s="13">
        <f t="shared" si="6"/>
        <v>20.549879999999998</v>
      </c>
    </row>
    <row r="48" spans="1:9" hidden="1">
      <c r="A48" s="30">
        <v>14</v>
      </c>
      <c r="B48" s="62" t="s">
        <v>34</v>
      </c>
      <c r="C48" s="63" t="s">
        <v>82</v>
      </c>
      <c r="D48" s="62" t="s">
        <v>40</v>
      </c>
      <c r="E48" s="64">
        <v>760.4</v>
      </c>
      <c r="F48" s="65">
        <f t="shared" si="7"/>
        <v>1.5207999999999999</v>
      </c>
      <c r="G48" s="34">
        <v>790.38</v>
      </c>
      <c r="H48" s="66">
        <f t="shared" si="5"/>
        <v>1.2020099040000001</v>
      </c>
      <c r="I48" s="13">
        <f t="shared" si="6"/>
        <v>601.004952</v>
      </c>
    </row>
    <row r="49" spans="1:9" hidden="1">
      <c r="A49" s="30">
        <v>15</v>
      </c>
      <c r="B49" s="62" t="s">
        <v>35</v>
      </c>
      <c r="C49" s="63" t="s">
        <v>82</v>
      </c>
      <c r="D49" s="62" t="s">
        <v>40</v>
      </c>
      <c r="E49" s="64">
        <v>1440</v>
      </c>
      <c r="F49" s="65">
        <f t="shared" si="7"/>
        <v>2.88</v>
      </c>
      <c r="G49" s="34">
        <v>827.65</v>
      </c>
      <c r="H49" s="66">
        <f t="shared" si="5"/>
        <v>2.383632</v>
      </c>
      <c r="I49" s="13">
        <f>F49/2*G49</f>
        <v>1191.816</v>
      </c>
    </row>
    <row r="50" spans="1:9" hidden="1">
      <c r="A50" s="30">
        <v>16</v>
      </c>
      <c r="B50" s="62" t="s">
        <v>53</v>
      </c>
      <c r="C50" s="63" t="s">
        <v>82</v>
      </c>
      <c r="D50" s="62" t="s">
        <v>130</v>
      </c>
      <c r="E50" s="64">
        <v>2409</v>
      </c>
      <c r="F50" s="65">
        <v>4.8179999999999996</v>
      </c>
      <c r="G50" s="34">
        <v>1655.27</v>
      </c>
      <c r="H50" s="66">
        <f t="shared" si="5"/>
        <v>7.975090859999999</v>
      </c>
      <c r="I50" s="13">
        <f>F50/5*G50</f>
        <v>1595.0181719999998</v>
      </c>
    </row>
    <row r="51" spans="1:9" ht="45.75" hidden="1" customHeight="1">
      <c r="A51" s="30">
        <v>10</v>
      </c>
      <c r="B51" s="62" t="s">
        <v>84</v>
      </c>
      <c r="C51" s="63" t="s">
        <v>82</v>
      </c>
      <c r="D51" s="62" t="s">
        <v>40</v>
      </c>
      <c r="E51" s="64">
        <v>2409</v>
      </c>
      <c r="F51" s="65">
        <f>SUM(E51*2/1000)</f>
        <v>4.8179999999999996</v>
      </c>
      <c r="G51" s="34">
        <v>1655.27</v>
      </c>
      <c r="H51" s="66">
        <f t="shared" si="5"/>
        <v>7.975090859999999</v>
      </c>
      <c r="I51" s="13">
        <f>F51/2*G51</f>
        <v>3987.5454299999997</v>
      </c>
    </row>
    <row r="52" spans="1:9" ht="34.5" hidden="1" customHeight="1">
      <c r="A52" s="30">
        <v>11</v>
      </c>
      <c r="B52" s="62" t="s">
        <v>85</v>
      </c>
      <c r="C52" s="63" t="s">
        <v>36</v>
      </c>
      <c r="D52" s="62" t="s">
        <v>40</v>
      </c>
      <c r="E52" s="64">
        <v>10</v>
      </c>
      <c r="F52" s="65">
        <f>SUM(E52*2/100)</f>
        <v>0.2</v>
      </c>
      <c r="G52" s="34">
        <v>3724.37</v>
      </c>
      <c r="H52" s="66">
        <f>SUM(F52*G52/1000)</f>
        <v>0.74487400000000004</v>
      </c>
      <c r="I52" s="13">
        <f t="shared" ref="I52:I53" si="8">F52/2*G52</f>
        <v>372.43700000000001</v>
      </c>
    </row>
    <row r="53" spans="1:9" ht="16.5" hidden="1" customHeight="1">
      <c r="A53" s="30">
        <v>12</v>
      </c>
      <c r="B53" s="62" t="s">
        <v>37</v>
      </c>
      <c r="C53" s="63" t="s">
        <v>38</v>
      </c>
      <c r="D53" s="62" t="s">
        <v>40</v>
      </c>
      <c r="E53" s="64">
        <v>1</v>
      </c>
      <c r="F53" s="65">
        <v>0.02</v>
      </c>
      <c r="G53" s="34">
        <v>7709.44</v>
      </c>
      <c r="H53" s="66">
        <f t="shared" si="5"/>
        <v>0.15418879999999999</v>
      </c>
      <c r="I53" s="13">
        <f t="shared" si="8"/>
        <v>77.094399999999993</v>
      </c>
    </row>
    <row r="54" spans="1:9" hidden="1">
      <c r="A54" s="30">
        <v>14</v>
      </c>
      <c r="B54" s="62" t="s">
        <v>39</v>
      </c>
      <c r="C54" s="63" t="s">
        <v>98</v>
      </c>
      <c r="D54" s="62" t="s">
        <v>67</v>
      </c>
      <c r="E54" s="64">
        <v>80</v>
      </c>
      <c r="F54" s="65">
        <f>SUM(E54)*3</f>
        <v>240</v>
      </c>
      <c r="G54" s="102">
        <v>89.59</v>
      </c>
      <c r="H54" s="66">
        <f t="shared" si="5"/>
        <v>21.501600000000003</v>
      </c>
      <c r="I54" s="13">
        <f>G54*240/3</f>
        <v>7167.2000000000007</v>
      </c>
    </row>
    <row r="55" spans="1:9">
      <c r="A55" s="249" t="s">
        <v>151</v>
      </c>
      <c r="B55" s="250"/>
      <c r="C55" s="250"/>
      <c r="D55" s="250"/>
      <c r="E55" s="250"/>
      <c r="F55" s="250"/>
      <c r="G55" s="250"/>
      <c r="H55" s="250"/>
      <c r="I55" s="251"/>
    </row>
    <row r="56" spans="1:9" hidden="1">
      <c r="A56" s="30"/>
      <c r="B56" s="81" t="s">
        <v>41</v>
      </c>
      <c r="C56" s="63"/>
      <c r="D56" s="62"/>
      <c r="E56" s="64"/>
      <c r="F56" s="65"/>
      <c r="G56" s="65"/>
      <c r="H56" s="66"/>
      <c r="I56" s="13"/>
    </row>
    <row r="57" spans="1:9" hidden="1">
      <c r="A57" s="30">
        <v>15</v>
      </c>
      <c r="B57" s="71" t="s">
        <v>120</v>
      </c>
      <c r="C57" s="72" t="s">
        <v>121</v>
      </c>
      <c r="D57" s="71" t="s">
        <v>40</v>
      </c>
      <c r="E57" s="73">
        <v>2</v>
      </c>
      <c r="F57" s="74">
        <v>4</v>
      </c>
      <c r="G57" s="13">
        <v>237.1</v>
      </c>
      <c r="H57" s="66">
        <f t="shared" ref="H57" si="9">SUM(F57*G57/1000)</f>
        <v>0.94840000000000002</v>
      </c>
      <c r="I57" s="13">
        <f>F57/2*G57</f>
        <v>474.2</v>
      </c>
    </row>
    <row r="58" spans="1:9" hidden="1">
      <c r="A58" s="30">
        <v>16</v>
      </c>
      <c r="B58" s="62" t="s">
        <v>119</v>
      </c>
      <c r="C58" s="63" t="s">
        <v>80</v>
      </c>
      <c r="D58" s="62" t="s">
        <v>99</v>
      </c>
      <c r="E58" s="64">
        <v>3.8</v>
      </c>
      <c r="F58" s="65">
        <f>SUM(E58*6/100)</f>
        <v>0.22799999999999998</v>
      </c>
      <c r="G58" s="13">
        <v>2029.3</v>
      </c>
      <c r="H58" s="66">
        <f>SUM(F58*G58/1000)</f>
        <v>0.46268039999999994</v>
      </c>
      <c r="I58" s="13">
        <f>F58/6*G58</f>
        <v>77.113399999999999</v>
      </c>
    </row>
    <row r="59" spans="1:9" hidden="1">
      <c r="A59" s="30"/>
      <c r="B59" s="62" t="s">
        <v>140</v>
      </c>
      <c r="C59" s="63" t="s">
        <v>141</v>
      </c>
      <c r="D59" s="62" t="s">
        <v>63</v>
      </c>
      <c r="E59" s="64"/>
      <c r="F59" s="65">
        <v>3</v>
      </c>
      <c r="G59" s="13">
        <v>1582.05</v>
      </c>
      <c r="H59" s="66">
        <f>SUM(F59*G59/1000)</f>
        <v>4.7461499999999992</v>
      </c>
      <c r="I59" s="13">
        <v>0</v>
      </c>
    </row>
    <row r="60" spans="1:9" ht="16.5" customHeight="1">
      <c r="A60" s="30"/>
      <c r="B60" s="82" t="s">
        <v>42</v>
      </c>
      <c r="C60" s="72"/>
      <c r="D60" s="71"/>
      <c r="E60" s="73"/>
      <c r="F60" s="74"/>
      <c r="G60" s="13"/>
      <c r="H60" s="75"/>
      <c r="I60" s="13"/>
    </row>
    <row r="61" spans="1:9" hidden="1">
      <c r="A61" s="30"/>
      <c r="B61" s="71" t="s">
        <v>142</v>
      </c>
      <c r="C61" s="72" t="s">
        <v>50</v>
      </c>
      <c r="D61" s="71" t="s">
        <v>51</v>
      </c>
      <c r="E61" s="73">
        <v>110</v>
      </c>
      <c r="F61" s="74">
        <f>E61/100</f>
        <v>1.1000000000000001</v>
      </c>
      <c r="G61" s="13">
        <v>1040.8399999999999</v>
      </c>
      <c r="H61" s="75">
        <f>F61*G61/1000</f>
        <v>1.1449240000000001</v>
      </c>
      <c r="I61" s="13">
        <v>0</v>
      </c>
    </row>
    <row r="62" spans="1:9" ht="18.75" customHeight="1">
      <c r="A62" s="30">
        <v>8</v>
      </c>
      <c r="B62" s="71" t="s">
        <v>109</v>
      </c>
      <c r="C62" s="72" t="s">
        <v>25</v>
      </c>
      <c r="D62" s="71" t="s">
        <v>184</v>
      </c>
      <c r="E62" s="73">
        <v>100</v>
      </c>
      <c r="F62" s="76">
        <f>E62*12</f>
        <v>1200</v>
      </c>
      <c r="G62" s="56">
        <v>1.4</v>
      </c>
      <c r="H62" s="74">
        <f>F62*G62/1000</f>
        <v>1.68</v>
      </c>
      <c r="I62" s="13">
        <f>F62/12*G62</f>
        <v>140</v>
      </c>
    </row>
    <row r="63" spans="1:9" ht="15.75" customHeight="1">
      <c r="A63" s="30"/>
      <c r="B63" s="82" t="s">
        <v>43</v>
      </c>
      <c r="C63" s="72"/>
      <c r="D63" s="71"/>
      <c r="E63" s="73"/>
      <c r="F63" s="76"/>
      <c r="G63" s="76"/>
      <c r="H63" s="74" t="s">
        <v>122</v>
      </c>
      <c r="I63" s="13"/>
    </row>
    <row r="64" spans="1:9" ht="15.75" customHeight="1">
      <c r="A64" s="30">
        <v>9</v>
      </c>
      <c r="B64" s="14" t="s">
        <v>44</v>
      </c>
      <c r="C64" s="16" t="s">
        <v>98</v>
      </c>
      <c r="D64" s="14" t="s">
        <v>178</v>
      </c>
      <c r="E64" s="18">
        <v>8</v>
      </c>
      <c r="F64" s="65">
        <f>SUM(E64)</f>
        <v>8</v>
      </c>
      <c r="G64" s="34">
        <v>303.35000000000002</v>
      </c>
      <c r="H64" s="61">
        <f t="shared" ref="H64:H81" si="10">SUM(F64*G64/1000)</f>
        <v>2.4268000000000001</v>
      </c>
      <c r="I64" s="13">
        <f>G64*1</f>
        <v>303.35000000000002</v>
      </c>
    </row>
    <row r="65" spans="1:9" ht="17.25" hidden="1" customHeight="1">
      <c r="A65" s="30"/>
      <c r="B65" s="14" t="s">
        <v>45</v>
      </c>
      <c r="C65" s="16" t="s">
        <v>98</v>
      </c>
      <c r="D65" s="14" t="s">
        <v>63</v>
      </c>
      <c r="E65" s="18">
        <v>4</v>
      </c>
      <c r="F65" s="65">
        <f>SUM(E65)</f>
        <v>4</v>
      </c>
      <c r="G65" s="34">
        <v>104.01</v>
      </c>
      <c r="H65" s="61">
        <f t="shared" si="10"/>
        <v>0.41604000000000002</v>
      </c>
      <c r="I65" s="13">
        <v>0</v>
      </c>
    </row>
    <row r="66" spans="1:9" hidden="1">
      <c r="A66" s="30">
        <v>28</v>
      </c>
      <c r="B66" s="14" t="s">
        <v>46</v>
      </c>
      <c r="C66" s="16" t="s">
        <v>100</v>
      </c>
      <c r="D66" s="14" t="s">
        <v>51</v>
      </c>
      <c r="E66" s="64">
        <v>9962</v>
      </c>
      <c r="F66" s="13">
        <f>SUM(E66/100)</f>
        <v>99.62</v>
      </c>
      <c r="G66" s="34">
        <v>289.37</v>
      </c>
      <c r="H66" s="61">
        <f t="shared" si="10"/>
        <v>28.8270394</v>
      </c>
      <c r="I66" s="13">
        <f>F66*G66</f>
        <v>28827.039400000001</v>
      </c>
    </row>
    <row r="67" spans="1:9" hidden="1">
      <c r="A67" s="30">
        <v>29</v>
      </c>
      <c r="B67" s="14" t="s">
        <v>47</v>
      </c>
      <c r="C67" s="16" t="s">
        <v>101</v>
      </c>
      <c r="D67" s="14"/>
      <c r="E67" s="64">
        <v>9962</v>
      </c>
      <c r="F67" s="13">
        <f>SUM(E67/1000)</f>
        <v>9.9619999999999997</v>
      </c>
      <c r="G67" s="34">
        <v>225.35</v>
      </c>
      <c r="H67" s="61">
        <f t="shared" si="10"/>
        <v>2.2449366999999998</v>
      </c>
      <c r="I67" s="13">
        <f t="shared" ref="I67:I71" si="11">F67*G67</f>
        <v>2244.9366999999997</v>
      </c>
    </row>
    <row r="68" spans="1:9" hidden="1">
      <c r="A68" s="30">
        <v>30</v>
      </c>
      <c r="B68" s="14" t="s">
        <v>48</v>
      </c>
      <c r="C68" s="16" t="s">
        <v>72</v>
      </c>
      <c r="D68" s="14" t="s">
        <v>51</v>
      </c>
      <c r="E68" s="64">
        <v>806.3</v>
      </c>
      <c r="F68" s="13">
        <f>SUM(E68/100)</f>
        <v>8.0629999999999988</v>
      </c>
      <c r="G68" s="34">
        <v>2829.78</v>
      </c>
      <c r="H68" s="61">
        <f t="shared" si="10"/>
        <v>22.816516140000001</v>
      </c>
      <c r="I68" s="13">
        <f t="shared" si="11"/>
        <v>22816.51614</v>
      </c>
    </row>
    <row r="69" spans="1:9" hidden="1">
      <c r="A69" s="30">
        <v>31</v>
      </c>
      <c r="B69" s="89" t="s">
        <v>102</v>
      </c>
      <c r="C69" s="90" t="s">
        <v>32</v>
      </c>
      <c r="D69" s="91"/>
      <c r="E69" s="73">
        <v>9.4</v>
      </c>
      <c r="F69" s="92">
        <f>SUM(E69)</f>
        <v>9.4</v>
      </c>
      <c r="G69" s="133">
        <v>44.31</v>
      </c>
      <c r="H69" s="93">
        <f t="shared" si="10"/>
        <v>0.416514</v>
      </c>
      <c r="I69" s="13">
        <f t="shared" si="11"/>
        <v>416.51400000000001</v>
      </c>
    </row>
    <row r="70" spans="1:9" hidden="1">
      <c r="A70" s="30"/>
      <c r="B70" s="77" t="s">
        <v>103</v>
      </c>
      <c r="C70" s="16" t="s">
        <v>32</v>
      </c>
      <c r="D70" s="14"/>
      <c r="E70" s="18">
        <v>9.4</v>
      </c>
      <c r="F70" s="92">
        <f t="shared" ref="F70:F73" si="12">SUM(E70)</f>
        <v>9.4</v>
      </c>
      <c r="G70" s="34">
        <v>47.79</v>
      </c>
      <c r="H70" s="13">
        <f t="shared" si="10"/>
        <v>0.44922600000000001</v>
      </c>
      <c r="I70" s="13">
        <f t="shared" si="11"/>
        <v>449.226</v>
      </c>
    </row>
    <row r="71" spans="1:9" hidden="1">
      <c r="A71" s="30">
        <v>18</v>
      </c>
      <c r="B71" s="14" t="s">
        <v>54</v>
      </c>
      <c r="C71" s="16" t="s">
        <v>55</v>
      </c>
      <c r="D71" s="14" t="s">
        <v>51</v>
      </c>
      <c r="E71" s="18">
        <v>2</v>
      </c>
      <c r="F71" s="92">
        <f t="shared" si="12"/>
        <v>2</v>
      </c>
      <c r="G71" s="34">
        <v>68.040000000000006</v>
      </c>
      <c r="H71" s="13">
        <f t="shared" si="10"/>
        <v>0.13608000000000001</v>
      </c>
      <c r="I71" s="13">
        <f t="shared" si="11"/>
        <v>136.08000000000001</v>
      </c>
    </row>
    <row r="72" spans="1:9" ht="17.25" customHeight="1">
      <c r="A72" s="30"/>
      <c r="B72" s="160" t="s">
        <v>68</v>
      </c>
      <c r="C72" s="16"/>
      <c r="D72" s="14"/>
      <c r="E72" s="18"/>
      <c r="F72" s="13"/>
      <c r="G72" s="13"/>
      <c r="H72" s="13" t="s">
        <v>122</v>
      </c>
      <c r="I72" s="13"/>
    </row>
    <row r="73" spans="1:9" ht="30" hidden="1">
      <c r="A73" s="30"/>
      <c r="B73" s="14" t="s">
        <v>143</v>
      </c>
      <c r="C73" s="16" t="s">
        <v>98</v>
      </c>
      <c r="D73" s="14" t="s">
        <v>63</v>
      </c>
      <c r="E73" s="18">
        <v>2</v>
      </c>
      <c r="F73" s="92">
        <f t="shared" si="12"/>
        <v>2</v>
      </c>
      <c r="G73" s="13">
        <v>1543.4</v>
      </c>
      <c r="H73" s="13">
        <f t="shared" ref="H73:H75" si="13">SUM(F73*G73/1000)</f>
        <v>3.0868000000000002</v>
      </c>
      <c r="I73" s="13">
        <v>0</v>
      </c>
    </row>
    <row r="74" spans="1:9" hidden="1">
      <c r="A74" s="30">
        <v>11</v>
      </c>
      <c r="B74" s="14" t="s">
        <v>69</v>
      </c>
      <c r="C74" s="16" t="s">
        <v>70</v>
      </c>
      <c r="D74" s="14" t="s">
        <v>190</v>
      </c>
      <c r="E74" s="18">
        <v>2</v>
      </c>
      <c r="F74" s="13">
        <f>E74/10</f>
        <v>0.2</v>
      </c>
      <c r="G74" s="140">
        <v>684.19</v>
      </c>
      <c r="H74" s="13">
        <f t="shared" si="13"/>
        <v>0.13683800000000002</v>
      </c>
      <c r="I74" s="13">
        <f>G74*0.2</f>
        <v>136.83800000000002</v>
      </c>
    </row>
    <row r="75" spans="1:9" hidden="1">
      <c r="A75" s="30"/>
      <c r="B75" s="14" t="s">
        <v>144</v>
      </c>
      <c r="C75" s="16" t="s">
        <v>98</v>
      </c>
      <c r="D75" s="14" t="s">
        <v>63</v>
      </c>
      <c r="E75" s="18">
        <v>1</v>
      </c>
      <c r="F75" s="13">
        <f>SUM(E75)</f>
        <v>1</v>
      </c>
      <c r="G75" s="13">
        <v>1118.72</v>
      </c>
      <c r="H75" s="13">
        <f t="shared" si="13"/>
        <v>1.1187199999999999</v>
      </c>
      <c r="I75" s="13">
        <v>0</v>
      </c>
    </row>
    <row r="76" spans="1:9" hidden="1">
      <c r="A76" s="30"/>
      <c r="B76" s="46" t="s">
        <v>145</v>
      </c>
      <c r="C76" s="49" t="s">
        <v>98</v>
      </c>
      <c r="D76" s="14" t="s">
        <v>63</v>
      </c>
      <c r="E76" s="18">
        <v>1</v>
      </c>
      <c r="F76" s="13">
        <v>1</v>
      </c>
      <c r="G76" s="13">
        <v>1605.83</v>
      </c>
      <c r="H76" s="13">
        <f>SUM(F76*G76/1000)</f>
        <v>1.6058299999999999</v>
      </c>
      <c r="I76" s="13">
        <v>0</v>
      </c>
    </row>
    <row r="77" spans="1:9" ht="20.25" customHeight="1">
      <c r="A77" s="30">
        <v>10</v>
      </c>
      <c r="B77" s="46" t="s">
        <v>146</v>
      </c>
      <c r="C77" s="49" t="s">
        <v>98</v>
      </c>
      <c r="D77" s="14" t="s">
        <v>184</v>
      </c>
      <c r="E77" s="18">
        <v>1</v>
      </c>
      <c r="F77" s="13">
        <f>E77*12</f>
        <v>12</v>
      </c>
      <c r="G77" s="13">
        <v>55.55</v>
      </c>
      <c r="H77" s="13">
        <f t="shared" ref="H77" si="14">SUM(F77*G77/1000)</f>
        <v>0.66659999999999986</v>
      </c>
      <c r="I77" s="13">
        <f>F77/12*G77</f>
        <v>55.55</v>
      </c>
    </row>
    <row r="78" spans="1:9" ht="16.5" customHeight="1">
      <c r="A78" s="30"/>
      <c r="B78" s="100" t="s">
        <v>147</v>
      </c>
      <c r="C78" s="49"/>
      <c r="D78" s="14"/>
      <c r="E78" s="18"/>
      <c r="F78" s="13"/>
      <c r="G78" s="13"/>
      <c r="H78" s="61"/>
      <c r="I78" s="13"/>
    </row>
    <row r="79" spans="1:9" ht="19.5" customHeight="1">
      <c r="A79" s="30">
        <v>11</v>
      </c>
      <c r="B79" s="14" t="s">
        <v>148</v>
      </c>
      <c r="C79" s="30" t="s">
        <v>149</v>
      </c>
      <c r="D79" s="14"/>
      <c r="E79" s="18">
        <v>2409</v>
      </c>
      <c r="F79" s="13">
        <f>SUM(E79*12)</f>
        <v>28908</v>
      </c>
      <c r="G79" s="13">
        <v>2.37</v>
      </c>
      <c r="H79" s="61">
        <f t="shared" ref="H79" si="15">SUM(F79*G79/1000)</f>
        <v>68.511960000000002</v>
      </c>
      <c r="I79" s="13">
        <f>F79/12*G79</f>
        <v>5709.33</v>
      </c>
    </row>
    <row r="80" spans="1:9" hidden="1">
      <c r="A80" s="30"/>
      <c r="B80" s="79" t="s">
        <v>71</v>
      </c>
      <c r="C80" s="16"/>
      <c r="D80" s="14"/>
      <c r="E80" s="18"/>
      <c r="F80" s="13"/>
      <c r="G80" s="13" t="s">
        <v>122</v>
      </c>
      <c r="H80" s="13" t="s">
        <v>122</v>
      </c>
      <c r="I80" s="13"/>
    </row>
    <row r="81" spans="1:9" hidden="1">
      <c r="A81" s="30"/>
      <c r="B81" s="43" t="s">
        <v>111</v>
      </c>
      <c r="C81" s="16" t="s">
        <v>72</v>
      </c>
      <c r="D81" s="14"/>
      <c r="E81" s="18"/>
      <c r="F81" s="13">
        <v>0.1</v>
      </c>
      <c r="G81" s="13">
        <v>3619.09</v>
      </c>
      <c r="H81" s="13">
        <f t="shared" si="10"/>
        <v>0.36190900000000004</v>
      </c>
      <c r="I81" s="13">
        <v>0</v>
      </c>
    </row>
    <row r="82" spans="1:9" ht="28.5" hidden="1">
      <c r="A82" s="30"/>
      <c r="B82" s="101" t="s">
        <v>86</v>
      </c>
      <c r="C82" s="94"/>
      <c r="D82" s="95"/>
      <c r="E82" s="96"/>
      <c r="F82" s="97"/>
      <c r="G82" s="97"/>
      <c r="H82" s="98">
        <f>SUM(H57:H81)</f>
        <v>142.20396364000001</v>
      </c>
      <c r="I82" s="68"/>
    </row>
    <row r="83" spans="1:9" hidden="1">
      <c r="A83" s="30">
        <v>14</v>
      </c>
      <c r="B83" s="62" t="s">
        <v>104</v>
      </c>
      <c r="C83" s="16"/>
      <c r="D83" s="14"/>
      <c r="E83" s="57"/>
      <c r="F83" s="13">
        <v>1</v>
      </c>
      <c r="G83" s="13">
        <v>1428.4</v>
      </c>
      <c r="H83" s="61">
        <f>G83*F83/1000</f>
        <v>1.4284000000000001</v>
      </c>
      <c r="I83" s="13">
        <f>G83</f>
        <v>1428.4</v>
      </c>
    </row>
    <row r="84" spans="1:9">
      <c r="A84" s="225" t="s">
        <v>152</v>
      </c>
      <c r="B84" s="226"/>
      <c r="C84" s="226"/>
      <c r="D84" s="226"/>
      <c r="E84" s="226"/>
      <c r="F84" s="226"/>
      <c r="G84" s="226"/>
      <c r="H84" s="226"/>
      <c r="I84" s="227"/>
    </row>
    <row r="85" spans="1:9" ht="16.5" customHeight="1">
      <c r="A85" s="30">
        <v>12</v>
      </c>
      <c r="B85" s="62" t="s">
        <v>105</v>
      </c>
      <c r="C85" s="16" t="s">
        <v>52</v>
      </c>
      <c r="D85" s="99"/>
      <c r="E85" s="13">
        <v>2409</v>
      </c>
      <c r="F85" s="13">
        <f>SUM(E85*12)</f>
        <v>28908</v>
      </c>
      <c r="G85" s="13">
        <v>3.22</v>
      </c>
      <c r="H85" s="61">
        <f>SUM(F85*G85/1000)</f>
        <v>93.083760000000012</v>
      </c>
      <c r="I85" s="13">
        <f>F85/12*G85</f>
        <v>7756.9800000000005</v>
      </c>
    </row>
    <row r="86" spans="1:9" ht="30" customHeight="1">
      <c r="A86" s="30">
        <v>13</v>
      </c>
      <c r="B86" s="14" t="s">
        <v>73</v>
      </c>
      <c r="C86" s="16"/>
      <c r="D86" s="99"/>
      <c r="E86" s="64">
        <f>E85</f>
        <v>2409</v>
      </c>
      <c r="F86" s="13">
        <f>E86*12</f>
        <v>28908</v>
      </c>
      <c r="G86" s="13">
        <v>3.64</v>
      </c>
      <c r="H86" s="61">
        <f>F86*G86/1000</f>
        <v>105.22512</v>
      </c>
      <c r="I86" s="13">
        <f>F86/12*G86</f>
        <v>8768.76</v>
      </c>
    </row>
    <row r="87" spans="1:9">
      <c r="A87" s="30"/>
      <c r="B87" s="36" t="s">
        <v>75</v>
      </c>
      <c r="C87" s="79"/>
      <c r="D87" s="78"/>
      <c r="E87" s="68"/>
      <c r="F87" s="68"/>
      <c r="G87" s="68"/>
      <c r="H87" s="80">
        <f>H86</f>
        <v>105.22512</v>
      </c>
      <c r="I87" s="68">
        <f>I86+I85+I79+I77+I62+I33+I31+I30+I27+I18+I17+I16+I64</f>
        <v>35812.813084333335</v>
      </c>
    </row>
    <row r="88" spans="1:9">
      <c r="A88" s="230" t="s">
        <v>57</v>
      </c>
      <c r="B88" s="231"/>
      <c r="C88" s="231"/>
      <c r="D88" s="231"/>
      <c r="E88" s="231"/>
      <c r="F88" s="231"/>
      <c r="G88" s="231"/>
      <c r="H88" s="231"/>
      <c r="I88" s="232"/>
    </row>
    <row r="89" spans="1:9">
      <c r="A89" s="222">
        <v>14</v>
      </c>
      <c r="B89" s="47" t="s">
        <v>227</v>
      </c>
      <c r="C89" s="48" t="s">
        <v>77</v>
      </c>
      <c r="D89" s="115" t="s">
        <v>268</v>
      </c>
      <c r="E89" s="34"/>
      <c r="F89" s="34">
        <v>5</v>
      </c>
      <c r="G89" s="34">
        <v>222.63</v>
      </c>
      <c r="H89" s="223"/>
      <c r="I89" s="221">
        <f>G89*2</f>
        <v>445.26</v>
      </c>
    </row>
    <row r="90" spans="1:9" ht="16.5" customHeight="1">
      <c r="A90" s="30"/>
      <c r="B90" s="41" t="s">
        <v>49</v>
      </c>
      <c r="C90" s="37"/>
      <c r="D90" s="44"/>
      <c r="E90" s="37">
        <v>1</v>
      </c>
      <c r="F90" s="37"/>
      <c r="G90" s="37"/>
      <c r="H90" s="37"/>
      <c r="I90" s="32">
        <f>I89</f>
        <v>445.26</v>
      </c>
    </row>
    <row r="91" spans="1:9">
      <c r="A91" s="30"/>
      <c r="B91" s="43" t="s">
        <v>74</v>
      </c>
      <c r="C91" s="15"/>
      <c r="D91" s="15"/>
      <c r="E91" s="38"/>
      <c r="F91" s="38"/>
      <c r="G91" s="39"/>
      <c r="H91" s="39"/>
      <c r="I91" s="17">
        <v>0</v>
      </c>
    </row>
    <row r="92" spans="1:9">
      <c r="A92" s="45"/>
      <c r="B92" s="42" t="s">
        <v>133</v>
      </c>
      <c r="C92" s="33"/>
      <c r="D92" s="33"/>
      <c r="E92" s="33"/>
      <c r="F92" s="33"/>
      <c r="G92" s="33"/>
      <c r="H92" s="33"/>
      <c r="I92" s="40">
        <f>I87+I90</f>
        <v>36258.073084333337</v>
      </c>
    </row>
    <row r="93" spans="1:9" ht="15.75">
      <c r="A93" s="235" t="s">
        <v>272</v>
      </c>
      <c r="B93" s="235"/>
      <c r="C93" s="235"/>
      <c r="D93" s="235"/>
      <c r="E93" s="235"/>
      <c r="F93" s="235"/>
      <c r="G93" s="235"/>
      <c r="H93" s="235"/>
      <c r="I93" s="235"/>
    </row>
    <row r="94" spans="1:9" ht="15.75">
      <c r="A94" s="55"/>
      <c r="B94" s="236" t="s">
        <v>273</v>
      </c>
      <c r="C94" s="236"/>
      <c r="D94" s="236"/>
      <c r="E94" s="236"/>
      <c r="F94" s="236"/>
      <c r="G94" s="236"/>
      <c r="H94" s="60"/>
      <c r="I94" s="3"/>
    </row>
    <row r="95" spans="1:9">
      <c r="A95" s="158"/>
      <c r="B95" s="237" t="s">
        <v>6</v>
      </c>
      <c r="C95" s="237"/>
      <c r="D95" s="237"/>
      <c r="E95" s="237"/>
      <c r="F95" s="237"/>
      <c r="G95" s="237"/>
      <c r="H95" s="25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238" t="s">
        <v>7</v>
      </c>
      <c r="B97" s="238"/>
      <c r="C97" s="238"/>
      <c r="D97" s="238"/>
      <c r="E97" s="238"/>
      <c r="F97" s="238"/>
      <c r="G97" s="238"/>
      <c r="H97" s="238"/>
      <c r="I97" s="238"/>
    </row>
    <row r="98" spans="1:9" ht="15.75">
      <c r="A98" s="238" t="s">
        <v>8</v>
      </c>
      <c r="B98" s="238"/>
      <c r="C98" s="238"/>
      <c r="D98" s="238"/>
      <c r="E98" s="238"/>
      <c r="F98" s="238"/>
      <c r="G98" s="238"/>
      <c r="H98" s="238"/>
      <c r="I98" s="238"/>
    </row>
    <row r="99" spans="1:9" ht="15.75">
      <c r="A99" s="239" t="s">
        <v>58</v>
      </c>
      <c r="B99" s="239"/>
      <c r="C99" s="239"/>
      <c r="D99" s="239"/>
      <c r="E99" s="239"/>
      <c r="F99" s="239"/>
      <c r="G99" s="239"/>
      <c r="H99" s="239"/>
      <c r="I99" s="239"/>
    </row>
    <row r="100" spans="1:9" ht="15.75">
      <c r="A100" s="11"/>
    </row>
    <row r="101" spans="1:9" ht="15.75">
      <c r="A101" s="240" t="s">
        <v>9</v>
      </c>
      <c r="B101" s="240"/>
      <c r="C101" s="240"/>
      <c r="D101" s="240"/>
      <c r="E101" s="240"/>
      <c r="F101" s="240"/>
      <c r="G101" s="240"/>
      <c r="H101" s="240"/>
      <c r="I101" s="240"/>
    </row>
    <row r="102" spans="1:9" ht="15.75">
      <c r="A102" s="4"/>
    </row>
    <row r="103" spans="1:9" ht="15.75">
      <c r="B103" s="163" t="s">
        <v>10</v>
      </c>
      <c r="C103" s="241" t="s">
        <v>267</v>
      </c>
      <c r="D103" s="241"/>
      <c r="E103" s="241"/>
      <c r="F103" s="58"/>
      <c r="I103" s="161"/>
    </row>
    <row r="104" spans="1:9">
      <c r="A104" s="158"/>
      <c r="C104" s="237" t="s">
        <v>11</v>
      </c>
      <c r="D104" s="237"/>
      <c r="E104" s="237"/>
      <c r="F104" s="25"/>
      <c r="I104" s="162" t="s">
        <v>12</v>
      </c>
    </row>
    <row r="105" spans="1:9" ht="15.75">
      <c r="A105" s="26"/>
      <c r="C105" s="12"/>
      <c r="D105" s="12"/>
      <c r="G105" s="12"/>
      <c r="H105" s="12"/>
    </row>
    <row r="106" spans="1:9" ht="15.75">
      <c r="B106" s="163" t="s">
        <v>13</v>
      </c>
      <c r="C106" s="233"/>
      <c r="D106" s="233"/>
      <c r="E106" s="233"/>
      <c r="F106" s="59"/>
      <c r="I106" s="161"/>
    </row>
    <row r="107" spans="1:9">
      <c r="A107" s="158"/>
      <c r="C107" s="234" t="s">
        <v>11</v>
      </c>
      <c r="D107" s="234"/>
      <c r="E107" s="234"/>
      <c r="F107" s="158"/>
      <c r="I107" s="162" t="s">
        <v>12</v>
      </c>
    </row>
    <row r="108" spans="1:9" ht="15.75">
      <c r="A108" s="4" t="s">
        <v>14</v>
      </c>
    </row>
    <row r="109" spans="1:9">
      <c r="A109" s="228" t="s">
        <v>15</v>
      </c>
      <c r="B109" s="228"/>
      <c r="C109" s="228"/>
      <c r="D109" s="228"/>
      <c r="E109" s="228"/>
      <c r="F109" s="228"/>
      <c r="G109" s="228"/>
      <c r="H109" s="228"/>
      <c r="I109" s="228"/>
    </row>
    <row r="110" spans="1:9" ht="39" customHeight="1">
      <c r="A110" s="229" t="s">
        <v>16</v>
      </c>
      <c r="B110" s="229"/>
      <c r="C110" s="229"/>
      <c r="D110" s="229"/>
      <c r="E110" s="229"/>
      <c r="F110" s="229"/>
      <c r="G110" s="229"/>
      <c r="H110" s="229"/>
      <c r="I110" s="229"/>
    </row>
    <row r="111" spans="1:9" ht="37.5" customHeight="1">
      <c r="A111" s="229" t="s">
        <v>17</v>
      </c>
      <c r="B111" s="229"/>
      <c r="C111" s="229"/>
      <c r="D111" s="229"/>
      <c r="E111" s="229"/>
      <c r="F111" s="229"/>
      <c r="G111" s="229"/>
      <c r="H111" s="229"/>
      <c r="I111" s="229"/>
    </row>
    <row r="112" spans="1:9" ht="36.75" customHeight="1">
      <c r="A112" s="229" t="s">
        <v>21</v>
      </c>
      <c r="B112" s="229"/>
      <c r="C112" s="229"/>
      <c r="D112" s="229"/>
      <c r="E112" s="229"/>
      <c r="F112" s="229"/>
      <c r="G112" s="229"/>
      <c r="H112" s="229"/>
      <c r="I112" s="229"/>
    </row>
    <row r="113" spans="1:9" ht="15.75">
      <c r="A113" s="229" t="s">
        <v>20</v>
      </c>
      <c r="B113" s="229"/>
      <c r="C113" s="229"/>
      <c r="D113" s="229"/>
      <c r="E113" s="229"/>
      <c r="F113" s="229"/>
      <c r="G113" s="229"/>
      <c r="H113" s="229"/>
      <c r="I113" s="229"/>
    </row>
  </sheetData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8:I28"/>
    <mergeCell ref="A45:I45"/>
    <mergeCell ref="A55:I55"/>
    <mergeCell ref="A84:I84"/>
    <mergeCell ref="A88:I88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11811023622047245" top="0.74803149606299213" bottom="0.74803149606299213" header="0.31496062992125984" footer="0.31496062992125984"/>
  <pageSetup paperSize="9" scale="62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6"/>
  <sheetViews>
    <sheetView topLeftCell="A79" workbookViewId="0">
      <selection activeCell="L103" sqref="L103"/>
    </sheetView>
  </sheetViews>
  <sheetFormatPr defaultRowHeight="15"/>
  <cols>
    <col min="1" max="1" width="10.7109375" customWidth="1"/>
    <col min="2" max="2" width="47.42578125" customWidth="1"/>
    <col min="3" max="3" width="18.7109375" customWidth="1"/>
    <col min="4" max="4" width="18.28515625" customWidth="1"/>
    <col min="5" max="5" width="12.85546875" hidden="1" customWidth="1"/>
    <col min="6" max="6" width="11.85546875" hidden="1" customWidth="1"/>
    <col min="7" max="7" width="15.85546875" customWidth="1"/>
    <col min="8" max="8" width="0" hidden="1" customWidth="1"/>
    <col min="9" max="9" width="13.5703125" customWidth="1"/>
  </cols>
  <sheetData>
    <row r="1" spans="1:9" ht="15.75">
      <c r="A1" s="28" t="s">
        <v>157</v>
      </c>
      <c r="I1" s="27"/>
    </row>
    <row r="2" spans="1:9" ht="15.75">
      <c r="A2" s="29" t="s">
        <v>59</v>
      </c>
    </row>
    <row r="3" spans="1:9" ht="15.75">
      <c r="A3" s="243" t="s">
        <v>164</v>
      </c>
      <c r="B3" s="243"/>
      <c r="C3" s="243"/>
      <c r="D3" s="243"/>
      <c r="E3" s="243"/>
      <c r="F3" s="243"/>
      <c r="G3" s="243"/>
      <c r="H3" s="243"/>
      <c r="I3" s="243"/>
    </row>
    <row r="4" spans="1:9" ht="33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9" ht="15.75">
      <c r="A5" s="243" t="s">
        <v>269</v>
      </c>
      <c r="B5" s="245"/>
      <c r="C5" s="245"/>
      <c r="D5" s="245"/>
      <c r="E5" s="245"/>
      <c r="F5" s="245"/>
      <c r="G5" s="245"/>
      <c r="H5" s="245"/>
      <c r="I5" s="245"/>
    </row>
    <row r="6" spans="1:9" ht="15.75">
      <c r="A6" s="2"/>
      <c r="B6" s="167"/>
      <c r="C6" s="167"/>
      <c r="D6" s="167"/>
      <c r="E6" s="167"/>
      <c r="F6" s="167"/>
      <c r="G6" s="167"/>
      <c r="H6" s="167"/>
      <c r="I6" s="31">
        <v>44165</v>
      </c>
    </row>
    <row r="7" spans="1:9" ht="15.75">
      <c r="B7" s="171"/>
      <c r="C7" s="171"/>
      <c r="D7" s="171"/>
      <c r="E7" s="3"/>
      <c r="F7" s="3"/>
      <c r="G7" s="3"/>
      <c r="H7" s="3"/>
    </row>
    <row r="8" spans="1:9" ht="101.25" customHeight="1">
      <c r="A8" s="246" t="s">
        <v>266</v>
      </c>
      <c r="B8" s="246"/>
      <c r="C8" s="246"/>
      <c r="D8" s="246"/>
      <c r="E8" s="246"/>
      <c r="F8" s="246"/>
      <c r="G8" s="246"/>
      <c r="H8" s="246"/>
      <c r="I8" s="246"/>
    </row>
    <row r="9" spans="1:9" ht="15.75">
      <c r="A9" s="4"/>
    </row>
    <row r="10" spans="1:9" ht="63.75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</row>
    <row r="11" spans="1:9" ht="15.75">
      <c r="A11" s="4"/>
    </row>
    <row r="12" spans="1:9" ht="82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8" customHeight="1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5.75" customHeight="1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5.75" customHeight="1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4" si="1">SUM(F19*G19/1000)</f>
        <v>0.48973100000000003</v>
      </c>
      <c r="I19" s="34">
        <f>2.11*G19</f>
        <v>489.73099999999994</v>
      </c>
    </row>
    <row r="20" spans="1:9" hidden="1">
      <c r="A20" s="30">
        <v>4</v>
      </c>
      <c r="B20" s="62" t="s">
        <v>91</v>
      </c>
      <c r="C20" s="63" t="s">
        <v>80</v>
      </c>
      <c r="D20" s="62" t="s">
        <v>40</v>
      </c>
      <c r="E20" s="128">
        <v>2.4</v>
      </c>
      <c r="F20" s="129">
        <f>SUM(E20*2/100)</f>
        <v>4.8000000000000001E-2</v>
      </c>
      <c r="G20" s="129">
        <v>294.77999999999997</v>
      </c>
      <c r="H20" s="130">
        <f t="shared" si="1"/>
        <v>1.4149439999999999E-2</v>
      </c>
      <c r="I20" s="34">
        <f>0.048/2*G20</f>
        <v>7.0747199999999992</v>
      </c>
    </row>
    <row r="21" spans="1:9" hidden="1">
      <c r="A21" s="30">
        <v>5</v>
      </c>
      <c r="B21" s="62" t="s">
        <v>92</v>
      </c>
      <c r="C21" s="63" t="s">
        <v>50</v>
      </c>
      <c r="D21" s="62" t="s">
        <v>89</v>
      </c>
      <c r="E21" s="128">
        <v>317</v>
      </c>
      <c r="F21" s="129">
        <f>SUM(E21/100)</f>
        <v>3.17</v>
      </c>
      <c r="G21" s="129">
        <v>367.27</v>
      </c>
      <c r="H21" s="130">
        <f t="shared" si="1"/>
        <v>1.1642458999999998</v>
      </c>
      <c r="I21" s="34">
        <f>3.17*G21</f>
        <v>1164.2458999999999</v>
      </c>
    </row>
    <row r="22" spans="1:9" hidden="1">
      <c r="A22" s="30">
        <v>7</v>
      </c>
      <c r="B22" s="62" t="s">
        <v>93</v>
      </c>
      <c r="C22" s="63" t="s">
        <v>50</v>
      </c>
      <c r="D22" s="62" t="s">
        <v>89</v>
      </c>
      <c r="E22" s="131">
        <v>24.15</v>
      </c>
      <c r="F22" s="129">
        <f>SUM(E22/100)</f>
        <v>0.24149999999999999</v>
      </c>
      <c r="G22" s="129">
        <v>60.41</v>
      </c>
      <c r="H22" s="130">
        <f t="shared" si="1"/>
        <v>1.4589014999999999E-2</v>
      </c>
      <c r="I22" s="34">
        <f>0.2415*G22</f>
        <v>14.589014999999998</v>
      </c>
    </row>
    <row r="23" spans="1:9" hidden="1">
      <c r="A23" s="30">
        <v>8</v>
      </c>
      <c r="B23" s="62" t="s">
        <v>94</v>
      </c>
      <c r="C23" s="63" t="s">
        <v>50</v>
      </c>
      <c r="D23" s="62" t="s">
        <v>51</v>
      </c>
      <c r="E23" s="128">
        <v>10</v>
      </c>
      <c r="F23" s="129">
        <f>SUM(E23/100)</f>
        <v>0.1</v>
      </c>
      <c r="G23" s="129">
        <v>531.55999999999995</v>
      </c>
      <c r="H23" s="130">
        <f t="shared" si="1"/>
        <v>5.3156000000000002E-2</v>
      </c>
      <c r="I23" s="34">
        <f>0.1*G23</f>
        <v>53.155999999999999</v>
      </c>
    </row>
    <row r="24" spans="1:9" hidden="1">
      <c r="A24" s="30">
        <v>9</v>
      </c>
      <c r="B24" s="62" t="s">
        <v>95</v>
      </c>
      <c r="C24" s="63" t="s">
        <v>50</v>
      </c>
      <c r="D24" s="62" t="s">
        <v>51</v>
      </c>
      <c r="E24" s="128">
        <v>4.25</v>
      </c>
      <c r="F24" s="129">
        <f>SUM(E24/100)</f>
        <v>4.2500000000000003E-2</v>
      </c>
      <c r="G24" s="129">
        <v>710.37</v>
      </c>
      <c r="H24" s="130">
        <f t="shared" si="1"/>
        <v>3.0190725000000005E-2</v>
      </c>
      <c r="I24" s="34">
        <f>0.0425*G24</f>
        <v>30.190725000000004</v>
      </c>
    </row>
    <row r="25" spans="1:9" ht="30" hidden="1">
      <c r="A25" s="30">
        <v>10</v>
      </c>
      <c r="B25" s="62" t="s">
        <v>110</v>
      </c>
      <c r="C25" s="63" t="s">
        <v>50</v>
      </c>
      <c r="D25" s="62" t="s">
        <v>51</v>
      </c>
      <c r="E25" s="128">
        <v>9.5</v>
      </c>
      <c r="F25" s="129">
        <v>9.5000000000000001E-2</v>
      </c>
      <c r="G25" s="129">
        <v>294.77999999999997</v>
      </c>
      <c r="H25" s="130">
        <f>G25*F25/1000</f>
        <v>2.8004099999999997E-2</v>
      </c>
      <c r="I25" s="34">
        <f>0.095*G25</f>
        <v>28.004099999999998</v>
      </c>
    </row>
    <row r="26" spans="1:9" hidden="1">
      <c r="A26" s="30">
        <v>11</v>
      </c>
      <c r="B26" s="155" t="s">
        <v>174</v>
      </c>
      <c r="C26" s="182" t="s">
        <v>25</v>
      </c>
      <c r="D26" s="155" t="s">
        <v>175</v>
      </c>
      <c r="E26" s="205">
        <v>2.2400000000000002</v>
      </c>
      <c r="F26" s="129">
        <f>E26*258</f>
        <v>577.92000000000007</v>
      </c>
      <c r="G26" s="129">
        <v>10.39</v>
      </c>
      <c r="H26" s="66">
        <f>SUM(F26*G26/1000)</f>
        <v>6.0045888000000014</v>
      </c>
      <c r="I26" s="13">
        <f>F26/12*G26</f>
        <v>500.38240000000008</v>
      </c>
    </row>
    <row r="27" spans="1:9" ht="14.25" customHeight="1">
      <c r="A27" s="30">
        <v>4</v>
      </c>
      <c r="B27" s="155" t="s">
        <v>174</v>
      </c>
      <c r="C27" s="182" t="s">
        <v>25</v>
      </c>
      <c r="D27" s="155" t="s">
        <v>175</v>
      </c>
      <c r="E27" s="205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 hidden="1">
      <c r="A28" s="30">
        <v>5</v>
      </c>
      <c r="B28" s="70" t="s">
        <v>23</v>
      </c>
      <c r="C28" s="63" t="s">
        <v>24</v>
      </c>
      <c r="D28" s="70" t="s">
        <v>122</v>
      </c>
      <c r="E28" s="64">
        <v>2409</v>
      </c>
      <c r="F28" s="65">
        <f>SUM(E28*12)</f>
        <v>28908</v>
      </c>
      <c r="G28" s="65">
        <v>4.5199999999999996</v>
      </c>
      <c r="H28" s="66">
        <f>SUM(F28*G28/1000)</f>
        <v>130.66415999999998</v>
      </c>
      <c r="I28" s="13">
        <f>2409*G28</f>
        <v>10888.679999999998</v>
      </c>
    </row>
    <row r="29" spans="1:9">
      <c r="A29" s="242" t="s">
        <v>78</v>
      </c>
      <c r="B29" s="242"/>
      <c r="C29" s="242"/>
      <c r="D29" s="242"/>
      <c r="E29" s="242"/>
      <c r="F29" s="242"/>
      <c r="G29" s="242"/>
      <c r="H29" s="242"/>
      <c r="I29" s="242"/>
    </row>
    <row r="30" spans="1:9" hidden="1">
      <c r="A30" s="30"/>
      <c r="B30" s="81" t="s">
        <v>28</v>
      </c>
      <c r="C30" s="63"/>
      <c r="D30" s="62"/>
      <c r="E30" s="64"/>
      <c r="F30" s="65"/>
      <c r="G30" s="65"/>
      <c r="H30" s="66"/>
      <c r="I30" s="13"/>
    </row>
    <row r="31" spans="1:9" hidden="1">
      <c r="A31" s="30">
        <v>6</v>
      </c>
      <c r="B31" s="62" t="s">
        <v>97</v>
      </c>
      <c r="C31" s="63" t="s">
        <v>82</v>
      </c>
      <c r="D31" s="62" t="s">
        <v>134</v>
      </c>
      <c r="E31" s="65">
        <v>372.4</v>
      </c>
      <c r="F31" s="65">
        <f>SUM(E31*52/1000)</f>
        <v>19.364799999999999</v>
      </c>
      <c r="G31" s="129">
        <v>212.62</v>
      </c>
      <c r="H31" s="66">
        <f t="shared" ref="H31:H37" si="2">SUM(F31*G31/1000)</f>
        <v>4.1173437759999993</v>
      </c>
      <c r="I31" s="13">
        <f>19.3648/6*G31</f>
        <v>686.22396266666669</v>
      </c>
    </row>
    <row r="32" spans="1:9" ht="45" hidden="1">
      <c r="A32" s="30">
        <v>7</v>
      </c>
      <c r="B32" s="62" t="s">
        <v>108</v>
      </c>
      <c r="C32" s="63" t="s">
        <v>82</v>
      </c>
      <c r="D32" s="62" t="s">
        <v>135</v>
      </c>
      <c r="E32" s="65">
        <v>195.5</v>
      </c>
      <c r="F32" s="65">
        <f>SUM(E32*78/1000)</f>
        <v>15.249000000000001</v>
      </c>
      <c r="G32" s="129">
        <v>352.77</v>
      </c>
      <c r="H32" s="66">
        <f t="shared" si="2"/>
        <v>5.3793897299999998</v>
      </c>
      <c r="I32" s="13">
        <f>15.249/6*G32</f>
        <v>896.56495499999994</v>
      </c>
    </row>
    <row r="33" spans="1:9" hidden="1">
      <c r="A33" s="30">
        <v>13</v>
      </c>
      <c r="B33" s="62" t="s">
        <v>27</v>
      </c>
      <c r="C33" s="63" t="s">
        <v>82</v>
      </c>
      <c r="D33" s="62" t="s">
        <v>51</v>
      </c>
      <c r="E33" s="65">
        <v>372.4</v>
      </c>
      <c r="F33" s="65">
        <f>SUM(E33/1000)</f>
        <v>0.37239999999999995</v>
      </c>
      <c r="G33" s="129">
        <v>4119.68</v>
      </c>
      <c r="H33" s="66">
        <f t="shared" si="2"/>
        <v>1.5341688319999998</v>
      </c>
      <c r="I33" s="13">
        <f>0.3724*G33</f>
        <v>1534.1688320000001</v>
      </c>
    </row>
    <row r="34" spans="1:9" hidden="1">
      <c r="A34" s="30">
        <v>8</v>
      </c>
      <c r="B34" s="62" t="s">
        <v>136</v>
      </c>
      <c r="C34" s="63" t="s">
        <v>38</v>
      </c>
      <c r="D34" s="62" t="s">
        <v>60</v>
      </c>
      <c r="E34" s="65">
        <v>2</v>
      </c>
      <c r="F34" s="65">
        <f>E34*155/100</f>
        <v>3.1</v>
      </c>
      <c r="G34" s="129">
        <v>1775.94</v>
      </c>
      <c r="H34" s="66">
        <f t="shared" si="2"/>
        <v>5.5054140000000009</v>
      </c>
      <c r="I34" s="13">
        <f>3.1/6*G34</f>
        <v>917.56900000000007</v>
      </c>
    </row>
    <row r="35" spans="1:9" hidden="1">
      <c r="A35" s="30">
        <v>9</v>
      </c>
      <c r="B35" s="62" t="s">
        <v>96</v>
      </c>
      <c r="C35" s="63" t="s">
        <v>30</v>
      </c>
      <c r="D35" s="62" t="s">
        <v>60</v>
      </c>
      <c r="E35" s="69">
        <f>1/3</f>
        <v>0.33333333333333331</v>
      </c>
      <c r="F35" s="65">
        <f>155/3</f>
        <v>51.666666666666664</v>
      </c>
      <c r="G35" s="129">
        <v>77.33</v>
      </c>
      <c r="H35" s="66">
        <f t="shared" si="2"/>
        <v>3.9953833333333333</v>
      </c>
      <c r="I35" s="13">
        <f>155/3/6*G35</f>
        <v>665.89722222222213</v>
      </c>
    </row>
    <row r="36" spans="1:9" hidden="1">
      <c r="A36" s="30"/>
      <c r="B36" s="62" t="s">
        <v>61</v>
      </c>
      <c r="C36" s="63" t="s">
        <v>32</v>
      </c>
      <c r="D36" s="62" t="s">
        <v>63</v>
      </c>
      <c r="E36" s="64"/>
      <c r="F36" s="65">
        <v>2</v>
      </c>
      <c r="G36" s="65">
        <v>250.92</v>
      </c>
      <c r="H36" s="66">
        <f t="shared" si="2"/>
        <v>0.50183999999999995</v>
      </c>
      <c r="I36" s="13">
        <v>0</v>
      </c>
    </row>
    <row r="37" spans="1:9" hidden="1">
      <c r="A37" s="30"/>
      <c r="B37" s="62" t="s">
        <v>62</v>
      </c>
      <c r="C37" s="63" t="s">
        <v>31</v>
      </c>
      <c r="D37" s="62" t="s">
        <v>63</v>
      </c>
      <c r="E37" s="64"/>
      <c r="F37" s="65">
        <v>1</v>
      </c>
      <c r="G37" s="65">
        <v>1490.31</v>
      </c>
      <c r="H37" s="66">
        <f t="shared" si="2"/>
        <v>1.49031</v>
      </c>
      <c r="I37" s="13">
        <v>0</v>
      </c>
    </row>
    <row r="38" spans="1:9" ht="14.25" customHeight="1">
      <c r="A38" s="30"/>
      <c r="B38" s="81" t="s">
        <v>5</v>
      </c>
      <c r="C38" s="63"/>
      <c r="D38" s="62"/>
      <c r="E38" s="64"/>
      <c r="F38" s="65"/>
      <c r="G38" s="65"/>
      <c r="H38" s="66" t="s">
        <v>122</v>
      </c>
      <c r="I38" s="13"/>
    </row>
    <row r="39" spans="1:9" ht="18.75" hidden="1" customHeight="1">
      <c r="A39" s="30">
        <v>5</v>
      </c>
      <c r="B39" s="62" t="s">
        <v>26</v>
      </c>
      <c r="C39" s="63" t="s">
        <v>31</v>
      </c>
      <c r="D39" s="62"/>
      <c r="E39" s="172"/>
      <c r="F39" s="154">
        <v>5</v>
      </c>
      <c r="G39" s="154">
        <v>2083</v>
      </c>
      <c r="H39" s="66">
        <f t="shared" ref="H39:H46" si="3">SUM(F39*G39/1000)</f>
        <v>10.414999999999999</v>
      </c>
      <c r="I39" s="13">
        <f>G39*0.6</f>
        <v>1249.8</v>
      </c>
    </row>
    <row r="40" spans="1:9" hidden="1">
      <c r="A40" s="30">
        <v>9</v>
      </c>
      <c r="B40" s="62" t="s">
        <v>113</v>
      </c>
      <c r="C40" s="63" t="s">
        <v>114</v>
      </c>
      <c r="D40" s="62" t="s">
        <v>63</v>
      </c>
      <c r="E40" s="172"/>
      <c r="F40" s="173">
        <v>26</v>
      </c>
      <c r="G40" s="154">
        <v>314</v>
      </c>
      <c r="H40" s="66">
        <f>G40*F40/1000</f>
        <v>8.1639999999999997</v>
      </c>
      <c r="I40" s="13">
        <v>0</v>
      </c>
    </row>
    <row r="41" spans="1:9" ht="18.75" customHeight="1">
      <c r="A41" s="30">
        <v>5</v>
      </c>
      <c r="B41" s="62" t="s">
        <v>137</v>
      </c>
      <c r="C41" s="63" t="s">
        <v>29</v>
      </c>
      <c r="D41" s="62" t="s">
        <v>179</v>
      </c>
      <c r="E41" s="172">
        <v>88</v>
      </c>
      <c r="F41" s="173">
        <f>E41*30/1000</f>
        <v>2.64</v>
      </c>
      <c r="G41" s="154">
        <v>2868.09</v>
      </c>
      <c r="H41" s="66">
        <f>G41*F41/1000</f>
        <v>7.5717576000000006</v>
      </c>
      <c r="I41" s="13">
        <f>F41/6*G41</f>
        <v>1261.9596000000001</v>
      </c>
    </row>
    <row r="42" spans="1:9" ht="33" customHeight="1">
      <c r="A42" s="30">
        <v>6</v>
      </c>
      <c r="B42" s="62" t="s">
        <v>64</v>
      </c>
      <c r="C42" s="63" t="s">
        <v>29</v>
      </c>
      <c r="D42" s="62" t="s">
        <v>180</v>
      </c>
      <c r="E42" s="154">
        <v>93.3</v>
      </c>
      <c r="F42" s="173">
        <f>SUM(E42*155/1000)</f>
        <v>14.461499999999999</v>
      </c>
      <c r="G42" s="154">
        <v>478.42</v>
      </c>
      <c r="H42" s="66">
        <f t="shared" si="3"/>
        <v>6.9186708299999999</v>
      </c>
      <c r="I42" s="13">
        <f>F42/6*G42</f>
        <v>1153.111805</v>
      </c>
    </row>
    <row r="43" spans="1:9" ht="64.5" customHeight="1">
      <c r="A43" s="30">
        <v>7</v>
      </c>
      <c r="B43" s="62" t="s">
        <v>76</v>
      </c>
      <c r="C43" s="63" t="s">
        <v>82</v>
      </c>
      <c r="D43" s="62" t="s">
        <v>181</v>
      </c>
      <c r="E43" s="154">
        <v>34</v>
      </c>
      <c r="F43" s="173">
        <f>SUM(E43*35/1000)</f>
        <v>1.19</v>
      </c>
      <c r="G43" s="154">
        <v>7915.6</v>
      </c>
      <c r="H43" s="66">
        <f t="shared" si="3"/>
        <v>9.4195640000000012</v>
      </c>
      <c r="I43" s="13">
        <f>F43/6*G43</f>
        <v>1569.9273333333333</v>
      </c>
    </row>
    <row r="44" spans="1:9" ht="19.5" customHeight="1">
      <c r="A44" s="30">
        <v>8</v>
      </c>
      <c r="B44" s="62" t="s">
        <v>83</v>
      </c>
      <c r="C44" s="63" t="s">
        <v>82</v>
      </c>
      <c r="D44" s="62" t="s">
        <v>178</v>
      </c>
      <c r="E44" s="154">
        <v>72</v>
      </c>
      <c r="F44" s="173">
        <v>0.36</v>
      </c>
      <c r="G44" s="154">
        <v>584.74</v>
      </c>
      <c r="H44" s="66">
        <f t="shared" si="3"/>
        <v>0.21050639999999998</v>
      </c>
      <c r="I44" s="13">
        <f>G44*F44/45*1</f>
        <v>4.6779199999999994</v>
      </c>
    </row>
    <row r="45" spans="1:9" ht="17.25" customHeight="1">
      <c r="A45" s="30">
        <v>9</v>
      </c>
      <c r="B45" s="62" t="s">
        <v>66</v>
      </c>
      <c r="C45" s="63" t="s">
        <v>32</v>
      </c>
      <c r="D45" s="62"/>
      <c r="E45" s="174"/>
      <c r="F45" s="173">
        <v>0.1</v>
      </c>
      <c r="G45" s="173">
        <v>800</v>
      </c>
      <c r="H45" s="66">
        <f t="shared" si="3"/>
        <v>0.08</v>
      </c>
      <c r="I45" s="13">
        <f>G45*F45/45*1</f>
        <v>1.7777777777777777</v>
      </c>
    </row>
    <row r="46" spans="1:9" ht="36" customHeight="1">
      <c r="A46" s="30">
        <v>10</v>
      </c>
      <c r="B46" s="46" t="s">
        <v>138</v>
      </c>
      <c r="C46" s="49" t="s">
        <v>29</v>
      </c>
      <c r="D46" s="62" t="s">
        <v>183</v>
      </c>
      <c r="E46" s="174">
        <v>1.8</v>
      </c>
      <c r="F46" s="173">
        <f>SUM(E46*12/1000)</f>
        <v>2.1600000000000001E-2</v>
      </c>
      <c r="G46" s="173">
        <v>270.61</v>
      </c>
      <c r="H46" s="66">
        <f t="shared" si="3"/>
        <v>5.8451760000000005E-3</v>
      </c>
      <c r="I46" s="13">
        <f t="shared" ref="I46" si="4">F46/6*G46</f>
        <v>0.97419600000000017</v>
      </c>
    </row>
    <row r="47" spans="1:9" ht="17.25" customHeight="1">
      <c r="A47" s="249" t="s">
        <v>124</v>
      </c>
      <c r="B47" s="250"/>
      <c r="C47" s="250"/>
      <c r="D47" s="250"/>
      <c r="E47" s="250"/>
      <c r="F47" s="250"/>
      <c r="G47" s="250"/>
      <c r="H47" s="250"/>
      <c r="I47" s="251"/>
    </row>
    <row r="48" spans="1:9" hidden="1">
      <c r="A48" s="30">
        <v>12</v>
      </c>
      <c r="B48" s="62" t="s">
        <v>117</v>
      </c>
      <c r="C48" s="63" t="s">
        <v>82</v>
      </c>
      <c r="D48" s="62" t="s">
        <v>40</v>
      </c>
      <c r="E48" s="64">
        <v>670.4</v>
      </c>
      <c r="F48" s="65">
        <f>SUM(E48*2/1000)</f>
        <v>1.3408</v>
      </c>
      <c r="G48" s="34">
        <v>1158.7</v>
      </c>
      <c r="H48" s="66">
        <f t="shared" ref="H48:H56" si="5">SUM(F48*G48/1000)</f>
        <v>1.5535849600000002</v>
      </c>
      <c r="I48" s="13">
        <f t="shared" ref="I48:I50" si="6">F48/2*G48</f>
        <v>776.79248000000007</v>
      </c>
    </row>
    <row r="49" spans="1:9" hidden="1">
      <c r="A49" s="30">
        <v>13</v>
      </c>
      <c r="B49" s="62" t="s">
        <v>33</v>
      </c>
      <c r="C49" s="63" t="s">
        <v>82</v>
      </c>
      <c r="D49" s="62" t="s">
        <v>40</v>
      </c>
      <c r="E49" s="64">
        <v>26</v>
      </c>
      <c r="F49" s="65">
        <f t="shared" ref="F49:F51" si="7">SUM(E49*2/1000)</f>
        <v>5.1999999999999998E-2</v>
      </c>
      <c r="G49" s="34">
        <v>790.38</v>
      </c>
      <c r="H49" s="66">
        <f t="shared" si="5"/>
        <v>4.1099759999999999E-2</v>
      </c>
      <c r="I49" s="13">
        <f t="shared" si="6"/>
        <v>20.549879999999998</v>
      </c>
    </row>
    <row r="50" spans="1:9" hidden="1">
      <c r="A50" s="30">
        <v>14</v>
      </c>
      <c r="B50" s="62" t="s">
        <v>34</v>
      </c>
      <c r="C50" s="63" t="s">
        <v>82</v>
      </c>
      <c r="D50" s="62" t="s">
        <v>40</v>
      </c>
      <c r="E50" s="64">
        <v>760.4</v>
      </c>
      <c r="F50" s="65">
        <f t="shared" si="7"/>
        <v>1.5207999999999999</v>
      </c>
      <c r="G50" s="34">
        <v>790.38</v>
      </c>
      <c r="H50" s="66">
        <f t="shared" si="5"/>
        <v>1.2020099040000001</v>
      </c>
      <c r="I50" s="13">
        <f t="shared" si="6"/>
        <v>601.004952</v>
      </c>
    </row>
    <row r="51" spans="1:9" hidden="1">
      <c r="A51" s="30">
        <v>15</v>
      </c>
      <c r="B51" s="62" t="s">
        <v>35</v>
      </c>
      <c r="C51" s="63" t="s">
        <v>82</v>
      </c>
      <c r="D51" s="62" t="s">
        <v>40</v>
      </c>
      <c r="E51" s="64">
        <v>1440</v>
      </c>
      <c r="F51" s="65">
        <f t="shared" si="7"/>
        <v>2.88</v>
      </c>
      <c r="G51" s="34">
        <v>827.65</v>
      </c>
      <c r="H51" s="66">
        <f t="shared" si="5"/>
        <v>2.383632</v>
      </c>
      <c r="I51" s="13">
        <f>F51/2*G51</f>
        <v>1191.816</v>
      </c>
    </row>
    <row r="52" spans="1:9" hidden="1">
      <c r="A52" s="30">
        <v>16</v>
      </c>
      <c r="B52" s="62" t="s">
        <v>53</v>
      </c>
      <c r="C52" s="63" t="s">
        <v>82</v>
      </c>
      <c r="D52" s="62" t="s">
        <v>130</v>
      </c>
      <c r="E52" s="64">
        <v>2409</v>
      </c>
      <c r="F52" s="65">
        <v>4.8179999999999996</v>
      </c>
      <c r="G52" s="34">
        <v>1655.27</v>
      </c>
      <c r="H52" s="66">
        <f t="shared" si="5"/>
        <v>7.975090859999999</v>
      </c>
      <c r="I52" s="13">
        <f>F52/5*G52</f>
        <v>1595.0181719999998</v>
      </c>
    </row>
    <row r="53" spans="1:9" ht="45" hidden="1">
      <c r="A53" s="30">
        <v>10</v>
      </c>
      <c r="B53" s="62" t="s">
        <v>84</v>
      </c>
      <c r="C53" s="63" t="s">
        <v>82</v>
      </c>
      <c r="D53" s="62" t="s">
        <v>40</v>
      </c>
      <c r="E53" s="64">
        <v>2409</v>
      </c>
      <c r="F53" s="65">
        <f>SUM(E53*2/1000)</f>
        <v>4.8179999999999996</v>
      </c>
      <c r="G53" s="34">
        <v>1655.27</v>
      </c>
      <c r="H53" s="66">
        <f t="shared" si="5"/>
        <v>7.975090859999999</v>
      </c>
      <c r="I53" s="13">
        <f>F53/2*G53</f>
        <v>3987.5454299999997</v>
      </c>
    </row>
    <row r="54" spans="1:9" ht="30" hidden="1">
      <c r="A54" s="30">
        <v>11</v>
      </c>
      <c r="B54" s="62" t="s">
        <v>85</v>
      </c>
      <c r="C54" s="63" t="s">
        <v>36</v>
      </c>
      <c r="D54" s="62" t="s">
        <v>40</v>
      </c>
      <c r="E54" s="64">
        <v>10</v>
      </c>
      <c r="F54" s="65">
        <f>SUM(E54*2/100)</f>
        <v>0.2</v>
      </c>
      <c r="G54" s="34">
        <v>3724.37</v>
      </c>
      <c r="H54" s="66">
        <f>SUM(F54*G54/1000)</f>
        <v>0.74487400000000004</v>
      </c>
      <c r="I54" s="13">
        <f t="shared" ref="I54:I55" si="8">F54/2*G54</f>
        <v>372.43700000000001</v>
      </c>
    </row>
    <row r="55" spans="1:9" hidden="1">
      <c r="A55" s="30">
        <v>12</v>
      </c>
      <c r="B55" s="62" t="s">
        <v>37</v>
      </c>
      <c r="C55" s="63" t="s">
        <v>38</v>
      </c>
      <c r="D55" s="62" t="s">
        <v>40</v>
      </c>
      <c r="E55" s="64">
        <v>1</v>
      </c>
      <c r="F55" s="65">
        <v>0.02</v>
      </c>
      <c r="G55" s="34">
        <v>7709.44</v>
      </c>
      <c r="H55" s="66">
        <f t="shared" si="5"/>
        <v>0.15418879999999999</v>
      </c>
      <c r="I55" s="13">
        <f t="shared" si="8"/>
        <v>77.094399999999993</v>
      </c>
    </row>
    <row r="56" spans="1:9">
      <c r="A56" s="30">
        <v>11</v>
      </c>
      <c r="B56" s="62" t="s">
        <v>39</v>
      </c>
      <c r="C56" s="63" t="s">
        <v>98</v>
      </c>
      <c r="D56" s="214">
        <v>44147</v>
      </c>
      <c r="E56" s="64">
        <v>80</v>
      </c>
      <c r="F56" s="65">
        <f>SUM(E56)*3</f>
        <v>240</v>
      </c>
      <c r="G56" s="102">
        <v>89.59</v>
      </c>
      <c r="H56" s="66">
        <f t="shared" si="5"/>
        <v>21.501600000000003</v>
      </c>
      <c r="I56" s="13">
        <f>G56*240/3</f>
        <v>7167.2000000000007</v>
      </c>
    </row>
    <row r="57" spans="1:9">
      <c r="A57" s="249" t="s">
        <v>125</v>
      </c>
      <c r="B57" s="250"/>
      <c r="C57" s="250"/>
      <c r="D57" s="250"/>
      <c r="E57" s="250"/>
      <c r="F57" s="250"/>
      <c r="G57" s="250"/>
      <c r="H57" s="250"/>
      <c r="I57" s="251"/>
    </row>
    <row r="58" spans="1:9" hidden="1">
      <c r="A58" s="30"/>
      <c r="B58" s="81" t="s">
        <v>41</v>
      </c>
      <c r="C58" s="63"/>
      <c r="D58" s="62"/>
      <c r="E58" s="64"/>
      <c r="F58" s="65"/>
      <c r="G58" s="65"/>
      <c r="H58" s="66"/>
      <c r="I58" s="13"/>
    </row>
    <row r="59" spans="1:9" hidden="1">
      <c r="A59" s="30">
        <v>15</v>
      </c>
      <c r="B59" s="71" t="s">
        <v>120</v>
      </c>
      <c r="C59" s="72" t="s">
        <v>121</v>
      </c>
      <c r="D59" s="71" t="s">
        <v>40</v>
      </c>
      <c r="E59" s="73">
        <v>2</v>
      </c>
      <c r="F59" s="74">
        <v>4</v>
      </c>
      <c r="G59" s="13">
        <v>237.1</v>
      </c>
      <c r="H59" s="66">
        <f t="shared" ref="H59" si="9">SUM(F59*G59/1000)</f>
        <v>0.94840000000000002</v>
      </c>
      <c r="I59" s="13">
        <f>F59/2*G59</f>
        <v>474.2</v>
      </c>
    </row>
    <row r="60" spans="1:9" ht="19.5" hidden="1" customHeight="1">
      <c r="A60" s="30">
        <v>12</v>
      </c>
      <c r="B60" s="62" t="s">
        <v>119</v>
      </c>
      <c r="C60" s="63" t="s">
        <v>80</v>
      </c>
      <c r="D60" s="62" t="s">
        <v>178</v>
      </c>
      <c r="E60" s="64">
        <v>3.8</v>
      </c>
      <c r="F60" s="154">
        <f>SUM(E60*6/100)</f>
        <v>0.22799999999999998</v>
      </c>
      <c r="G60" s="140">
        <v>2110.4699999999998</v>
      </c>
      <c r="H60" s="66">
        <f>SUM(F60*G60/1000)</f>
        <v>0.48118715999999989</v>
      </c>
      <c r="I60" s="13">
        <f>F60/6*G60</f>
        <v>80.197859999999991</v>
      </c>
    </row>
    <row r="61" spans="1:9" hidden="1">
      <c r="A61" s="30"/>
      <c r="B61" s="62" t="s">
        <v>140</v>
      </c>
      <c r="C61" s="63" t="s">
        <v>141</v>
      </c>
      <c r="D61" s="62" t="s">
        <v>63</v>
      </c>
      <c r="E61" s="64"/>
      <c r="F61" s="65">
        <v>3</v>
      </c>
      <c r="G61" s="13">
        <v>1582.05</v>
      </c>
      <c r="H61" s="66">
        <f>SUM(F61*G61/1000)</f>
        <v>4.7461499999999992</v>
      </c>
      <c r="I61" s="13">
        <v>0</v>
      </c>
    </row>
    <row r="62" spans="1:9" ht="18" customHeight="1">
      <c r="A62" s="30"/>
      <c r="B62" s="82" t="s">
        <v>42</v>
      </c>
      <c r="C62" s="72"/>
      <c r="D62" s="71"/>
      <c r="E62" s="73"/>
      <c r="F62" s="74"/>
      <c r="G62" s="13"/>
      <c r="H62" s="75"/>
      <c r="I62" s="13"/>
    </row>
    <row r="63" spans="1:9" hidden="1">
      <c r="A63" s="30"/>
      <c r="B63" s="71" t="s">
        <v>142</v>
      </c>
      <c r="C63" s="72" t="s">
        <v>50</v>
      </c>
      <c r="D63" s="71" t="s">
        <v>51</v>
      </c>
      <c r="E63" s="73">
        <v>110</v>
      </c>
      <c r="F63" s="74">
        <f>E63/100</f>
        <v>1.1000000000000001</v>
      </c>
      <c r="G63" s="13">
        <v>1040.8399999999999</v>
      </c>
      <c r="H63" s="75">
        <f>F63*G63/1000</f>
        <v>1.1449240000000001</v>
      </c>
      <c r="I63" s="13">
        <v>0</v>
      </c>
    </row>
    <row r="64" spans="1:9" ht="17.25" customHeight="1">
      <c r="A64" s="30">
        <v>12</v>
      </c>
      <c r="B64" s="71" t="s">
        <v>109</v>
      </c>
      <c r="C64" s="72" t="s">
        <v>25</v>
      </c>
      <c r="D64" s="71" t="s">
        <v>184</v>
      </c>
      <c r="E64" s="73">
        <v>100</v>
      </c>
      <c r="F64" s="76">
        <f>E64*12</f>
        <v>1200</v>
      </c>
      <c r="G64" s="56">
        <v>1.4</v>
      </c>
      <c r="H64" s="74">
        <f>F64*G64/1000</f>
        <v>1.68</v>
      </c>
      <c r="I64" s="13">
        <f>F64/12*G64</f>
        <v>140</v>
      </c>
    </row>
    <row r="65" spans="1:9" ht="18" hidden="1" customHeight="1">
      <c r="A65" s="30"/>
      <c r="B65" s="82" t="s">
        <v>43</v>
      </c>
      <c r="C65" s="72"/>
      <c r="D65" s="71"/>
      <c r="E65" s="73"/>
      <c r="F65" s="76"/>
      <c r="G65" s="76"/>
      <c r="H65" s="74" t="s">
        <v>122</v>
      </c>
      <c r="I65" s="13"/>
    </row>
    <row r="66" spans="1:9" ht="17.25" hidden="1" customHeight="1">
      <c r="A66" s="30">
        <v>14</v>
      </c>
      <c r="B66" s="14" t="s">
        <v>44</v>
      </c>
      <c r="C66" s="16" t="s">
        <v>98</v>
      </c>
      <c r="D66" s="14" t="s">
        <v>63</v>
      </c>
      <c r="E66" s="18">
        <v>8</v>
      </c>
      <c r="F66" s="65">
        <f>SUM(E66)</f>
        <v>8</v>
      </c>
      <c r="G66" s="34">
        <v>303.35000000000002</v>
      </c>
      <c r="H66" s="61">
        <f t="shared" ref="H66:H83" si="10">SUM(F66*G66/1000)</f>
        <v>2.4268000000000001</v>
      </c>
      <c r="I66" s="13">
        <f>G66*2</f>
        <v>606.70000000000005</v>
      </c>
    </row>
    <row r="67" spans="1:9" ht="31.5" hidden="1" customHeight="1">
      <c r="A67" s="30"/>
      <c r="B67" s="14" t="s">
        <v>45</v>
      </c>
      <c r="C67" s="16" t="s">
        <v>98</v>
      </c>
      <c r="D67" s="14" t="s">
        <v>63</v>
      </c>
      <c r="E67" s="18">
        <v>4</v>
      </c>
      <c r="F67" s="65">
        <f>SUM(E67)</f>
        <v>4</v>
      </c>
      <c r="G67" s="34">
        <v>104.01</v>
      </c>
      <c r="H67" s="61">
        <f t="shared" si="10"/>
        <v>0.41604000000000002</v>
      </c>
      <c r="I67" s="13">
        <v>0</v>
      </c>
    </row>
    <row r="68" spans="1:9" hidden="1">
      <c r="A68" s="30">
        <v>28</v>
      </c>
      <c r="B68" s="14" t="s">
        <v>46</v>
      </c>
      <c r="C68" s="16" t="s">
        <v>100</v>
      </c>
      <c r="D68" s="14" t="s">
        <v>51</v>
      </c>
      <c r="E68" s="64">
        <v>9962</v>
      </c>
      <c r="F68" s="13">
        <f>SUM(E68/100)</f>
        <v>99.62</v>
      </c>
      <c r="G68" s="34">
        <v>289.37</v>
      </c>
      <c r="H68" s="61">
        <f t="shared" si="10"/>
        <v>28.8270394</v>
      </c>
      <c r="I68" s="13">
        <f>F68*G68</f>
        <v>28827.039400000001</v>
      </c>
    </row>
    <row r="69" spans="1:9" hidden="1">
      <c r="A69" s="30">
        <v>29</v>
      </c>
      <c r="B69" s="14" t="s">
        <v>47</v>
      </c>
      <c r="C69" s="16" t="s">
        <v>101</v>
      </c>
      <c r="D69" s="14"/>
      <c r="E69" s="64">
        <v>9962</v>
      </c>
      <c r="F69" s="13">
        <f>SUM(E69/1000)</f>
        <v>9.9619999999999997</v>
      </c>
      <c r="G69" s="34">
        <v>225.35</v>
      </c>
      <c r="H69" s="61">
        <f t="shared" si="10"/>
        <v>2.2449366999999998</v>
      </c>
      <c r="I69" s="13">
        <f t="shared" ref="I69:I73" si="11">F69*G69</f>
        <v>2244.9366999999997</v>
      </c>
    </row>
    <row r="70" spans="1:9" hidden="1">
      <c r="A70" s="30">
        <v>30</v>
      </c>
      <c r="B70" s="14" t="s">
        <v>48</v>
      </c>
      <c r="C70" s="16" t="s">
        <v>72</v>
      </c>
      <c r="D70" s="14" t="s">
        <v>51</v>
      </c>
      <c r="E70" s="64">
        <v>806.3</v>
      </c>
      <c r="F70" s="13">
        <f>SUM(E70/100)</f>
        <v>8.0629999999999988</v>
      </c>
      <c r="G70" s="34">
        <v>2829.78</v>
      </c>
      <c r="H70" s="61">
        <f t="shared" si="10"/>
        <v>22.816516140000001</v>
      </c>
      <c r="I70" s="13">
        <f t="shared" si="11"/>
        <v>22816.51614</v>
      </c>
    </row>
    <row r="71" spans="1:9" hidden="1">
      <c r="A71" s="30">
        <v>31</v>
      </c>
      <c r="B71" s="89" t="s">
        <v>102</v>
      </c>
      <c r="C71" s="90" t="s">
        <v>32</v>
      </c>
      <c r="D71" s="91"/>
      <c r="E71" s="73">
        <v>9.4</v>
      </c>
      <c r="F71" s="92">
        <f>SUM(E71)</f>
        <v>9.4</v>
      </c>
      <c r="G71" s="133">
        <v>44.31</v>
      </c>
      <c r="H71" s="93">
        <f t="shared" si="10"/>
        <v>0.416514</v>
      </c>
      <c r="I71" s="13">
        <f t="shared" si="11"/>
        <v>416.51400000000001</v>
      </c>
    </row>
    <row r="72" spans="1:9" hidden="1">
      <c r="A72" s="30"/>
      <c r="B72" s="77" t="s">
        <v>103</v>
      </c>
      <c r="C72" s="16" t="s">
        <v>32</v>
      </c>
      <c r="D72" s="14"/>
      <c r="E72" s="18">
        <v>9.4</v>
      </c>
      <c r="F72" s="92">
        <f t="shared" ref="F72:F75" si="12">SUM(E72)</f>
        <v>9.4</v>
      </c>
      <c r="G72" s="34">
        <v>47.79</v>
      </c>
      <c r="H72" s="13">
        <f t="shared" si="10"/>
        <v>0.44922600000000001</v>
      </c>
      <c r="I72" s="13">
        <f t="shared" si="11"/>
        <v>449.226</v>
      </c>
    </row>
    <row r="73" spans="1:9" hidden="1">
      <c r="A73" s="30">
        <v>18</v>
      </c>
      <c r="B73" s="14" t="s">
        <v>54</v>
      </c>
      <c r="C73" s="16" t="s">
        <v>55</v>
      </c>
      <c r="D73" s="14" t="s">
        <v>51</v>
      </c>
      <c r="E73" s="18">
        <v>2</v>
      </c>
      <c r="F73" s="92">
        <f t="shared" si="12"/>
        <v>2</v>
      </c>
      <c r="G73" s="34">
        <v>68.040000000000006</v>
      </c>
      <c r="H73" s="13">
        <f t="shared" si="10"/>
        <v>0.13608000000000001</v>
      </c>
      <c r="I73" s="13">
        <f t="shared" si="11"/>
        <v>136.08000000000001</v>
      </c>
    </row>
    <row r="74" spans="1:9" ht="18" customHeight="1">
      <c r="A74" s="30"/>
      <c r="B74" s="168" t="s">
        <v>68</v>
      </c>
      <c r="C74" s="16"/>
      <c r="D74" s="14"/>
      <c r="E74" s="18"/>
      <c r="F74" s="13"/>
      <c r="G74" s="13"/>
      <c r="H74" s="13" t="s">
        <v>122</v>
      </c>
      <c r="I74" s="13"/>
    </row>
    <row r="75" spans="1:9" ht="27" hidden="1" customHeight="1">
      <c r="A75" s="30"/>
      <c r="B75" s="14" t="s">
        <v>143</v>
      </c>
      <c r="C75" s="16" t="s">
        <v>98</v>
      </c>
      <c r="D75" s="14" t="s">
        <v>63</v>
      </c>
      <c r="E75" s="18">
        <v>2</v>
      </c>
      <c r="F75" s="92">
        <f t="shared" si="12"/>
        <v>2</v>
      </c>
      <c r="G75" s="13">
        <v>1543.4</v>
      </c>
      <c r="H75" s="13">
        <f t="shared" ref="H75:H77" si="13">SUM(F75*G75/1000)</f>
        <v>3.0868000000000002</v>
      </c>
      <c r="I75" s="13">
        <v>0</v>
      </c>
    </row>
    <row r="76" spans="1:9" ht="27.75" hidden="1" customHeight="1">
      <c r="A76" s="30">
        <v>11</v>
      </c>
      <c r="B76" s="14" t="s">
        <v>69</v>
      </c>
      <c r="C76" s="16" t="s">
        <v>70</v>
      </c>
      <c r="D76" s="14" t="s">
        <v>63</v>
      </c>
      <c r="E76" s="18">
        <v>2</v>
      </c>
      <c r="F76" s="13">
        <f>E76/10</f>
        <v>0.2</v>
      </c>
      <c r="G76" s="140">
        <v>684.19</v>
      </c>
      <c r="H76" s="13">
        <f t="shared" si="13"/>
        <v>0.13683800000000002</v>
      </c>
      <c r="I76" s="13">
        <f>G76*0.2</f>
        <v>136.83800000000002</v>
      </c>
    </row>
    <row r="77" spans="1:9" ht="24.75" hidden="1" customHeight="1">
      <c r="A77" s="30"/>
      <c r="B77" s="14" t="s">
        <v>144</v>
      </c>
      <c r="C77" s="16" t="s">
        <v>98</v>
      </c>
      <c r="D77" s="14" t="s">
        <v>63</v>
      </c>
      <c r="E77" s="18">
        <v>1</v>
      </c>
      <c r="F77" s="13">
        <f>SUM(E77)</f>
        <v>1</v>
      </c>
      <c r="G77" s="13">
        <v>1118.72</v>
      </c>
      <c r="H77" s="13">
        <f t="shared" si="13"/>
        <v>1.1187199999999999</v>
      </c>
      <c r="I77" s="13">
        <v>0</v>
      </c>
    </row>
    <row r="78" spans="1:9" ht="27" hidden="1" customHeight="1">
      <c r="A78" s="30"/>
      <c r="B78" s="46" t="s">
        <v>145</v>
      </c>
      <c r="C78" s="49" t="s">
        <v>98</v>
      </c>
      <c r="D78" s="14" t="s">
        <v>63</v>
      </c>
      <c r="E78" s="18">
        <v>1</v>
      </c>
      <c r="F78" s="13">
        <v>1</v>
      </c>
      <c r="G78" s="13">
        <v>1605.83</v>
      </c>
      <c r="H78" s="13">
        <f>SUM(F78*G78/1000)</f>
        <v>1.6058299999999999</v>
      </c>
      <c r="I78" s="13">
        <v>0</v>
      </c>
    </row>
    <row r="79" spans="1:9" ht="15" customHeight="1">
      <c r="A79" s="30">
        <v>13</v>
      </c>
      <c r="B79" s="46" t="s">
        <v>146</v>
      </c>
      <c r="C79" s="49" t="s">
        <v>98</v>
      </c>
      <c r="D79" s="14" t="s">
        <v>184</v>
      </c>
      <c r="E79" s="18">
        <v>1</v>
      </c>
      <c r="F79" s="13">
        <f>E79*12</f>
        <v>12</v>
      </c>
      <c r="G79" s="13">
        <v>55.55</v>
      </c>
      <c r="H79" s="13">
        <f t="shared" ref="H79" si="14">SUM(F79*G79/1000)</f>
        <v>0.66659999999999986</v>
      </c>
      <c r="I79" s="13">
        <f>F79/12*G79</f>
        <v>55.55</v>
      </c>
    </row>
    <row r="80" spans="1:9" ht="18" customHeight="1">
      <c r="A80" s="30"/>
      <c r="B80" s="100" t="s">
        <v>147</v>
      </c>
      <c r="C80" s="49"/>
      <c r="D80" s="14"/>
      <c r="E80" s="18"/>
      <c r="F80" s="13"/>
      <c r="G80" s="13"/>
      <c r="H80" s="61"/>
      <c r="I80" s="13"/>
    </row>
    <row r="81" spans="1:9" ht="18" customHeight="1">
      <c r="A81" s="30">
        <v>14</v>
      </c>
      <c r="B81" s="14" t="s">
        <v>148</v>
      </c>
      <c r="C81" s="30" t="s">
        <v>149</v>
      </c>
      <c r="D81" s="14"/>
      <c r="E81" s="18">
        <v>2409</v>
      </c>
      <c r="F81" s="13">
        <f>SUM(E81*12)</f>
        <v>28908</v>
      </c>
      <c r="G81" s="13">
        <v>2.37</v>
      </c>
      <c r="H81" s="61">
        <f t="shared" ref="H81" si="15">SUM(F81*G81/1000)</f>
        <v>68.511960000000002</v>
      </c>
      <c r="I81" s="13">
        <f>F81/12*G81</f>
        <v>5709.33</v>
      </c>
    </row>
    <row r="82" spans="1:9" hidden="1">
      <c r="A82" s="30"/>
      <c r="B82" s="79" t="s">
        <v>71</v>
      </c>
      <c r="C82" s="16"/>
      <c r="D82" s="14"/>
      <c r="E82" s="18"/>
      <c r="F82" s="13"/>
      <c r="G82" s="13" t="s">
        <v>122</v>
      </c>
      <c r="H82" s="13" t="s">
        <v>122</v>
      </c>
      <c r="I82" s="13"/>
    </row>
    <row r="83" spans="1:9" hidden="1">
      <c r="A83" s="30"/>
      <c r="B83" s="43" t="s">
        <v>111</v>
      </c>
      <c r="C83" s="16" t="s">
        <v>72</v>
      </c>
      <c r="D83" s="14"/>
      <c r="E83" s="18"/>
      <c r="F83" s="13">
        <v>0.1</v>
      </c>
      <c r="G83" s="13">
        <v>3619.09</v>
      </c>
      <c r="H83" s="13">
        <f t="shared" si="10"/>
        <v>0.36190900000000004</v>
      </c>
      <c r="I83" s="13">
        <v>0</v>
      </c>
    </row>
    <row r="84" spans="1:9" ht="30.75" hidden="1" customHeight="1">
      <c r="A84" s="30"/>
      <c r="B84" s="101" t="s">
        <v>86</v>
      </c>
      <c r="C84" s="94"/>
      <c r="D84" s="95"/>
      <c r="E84" s="96"/>
      <c r="F84" s="97"/>
      <c r="G84" s="97"/>
      <c r="H84" s="98">
        <f>SUM(H59:H83)</f>
        <v>142.22247039999999</v>
      </c>
      <c r="I84" s="68"/>
    </row>
    <row r="85" spans="1:9" ht="17.25" hidden="1" customHeight="1">
      <c r="A85" s="30">
        <v>14</v>
      </c>
      <c r="B85" s="62" t="s">
        <v>104</v>
      </c>
      <c r="C85" s="16"/>
      <c r="D85" s="14"/>
      <c r="E85" s="57"/>
      <c r="F85" s="13">
        <v>1</v>
      </c>
      <c r="G85" s="13">
        <v>1428.4</v>
      </c>
      <c r="H85" s="61">
        <f>G85*F85/1000</f>
        <v>1.4284000000000001</v>
      </c>
      <c r="I85" s="13">
        <f>G85</f>
        <v>1428.4</v>
      </c>
    </row>
    <row r="86" spans="1:9">
      <c r="A86" s="225" t="s">
        <v>126</v>
      </c>
      <c r="B86" s="226"/>
      <c r="C86" s="226"/>
      <c r="D86" s="226"/>
      <c r="E86" s="226"/>
      <c r="F86" s="226"/>
      <c r="G86" s="226"/>
      <c r="H86" s="226"/>
      <c r="I86" s="227"/>
    </row>
    <row r="87" spans="1:9" ht="15.75" customHeight="1">
      <c r="A87" s="30">
        <v>15</v>
      </c>
      <c r="B87" s="62" t="s">
        <v>105</v>
      </c>
      <c r="C87" s="16" t="s">
        <v>52</v>
      </c>
      <c r="D87" s="99"/>
      <c r="E87" s="13">
        <v>2409</v>
      </c>
      <c r="F87" s="13">
        <f>SUM(E87*12)</f>
        <v>28908</v>
      </c>
      <c r="G87" s="13">
        <v>3.22</v>
      </c>
      <c r="H87" s="61">
        <f>SUM(F87*G87/1000)</f>
        <v>93.083760000000012</v>
      </c>
      <c r="I87" s="13">
        <f>F87/12*G87</f>
        <v>7756.9800000000005</v>
      </c>
    </row>
    <row r="88" spans="1:9" ht="36" customHeight="1">
      <c r="A88" s="30">
        <v>16</v>
      </c>
      <c r="B88" s="14" t="s">
        <v>73</v>
      </c>
      <c r="C88" s="16"/>
      <c r="D88" s="99"/>
      <c r="E88" s="64">
        <f>E87</f>
        <v>2409</v>
      </c>
      <c r="F88" s="13">
        <f>E88*12</f>
        <v>28908</v>
      </c>
      <c r="G88" s="13">
        <v>3.64</v>
      </c>
      <c r="H88" s="61">
        <f>F88*G88/1000</f>
        <v>105.22512</v>
      </c>
      <c r="I88" s="13">
        <f>F88/12*G88</f>
        <v>8768.76</v>
      </c>
    </row>
    <row r="89" spans="1:9">
      <c r="A89" s="30"/>
      <c r="B89" s="36" t="s">
        <v>75</v>
      </c>
      <c r="C89" s="79"/>
      <c r="D89" s="78"/>
      <c r="E89" s="68"/>
      <c r="F89" s="68"/>
      <c r="G89" s="68"/>
      <c r="H89" s="80">
        <f>H88</f>
        <v>105.22512</v>
      </c>
      <c r="I89" s="68">
        <f>I88+I87+I81+I79+I64+I56+I46+I45+I44+I43+I42+I41+I27+I18+I17+I16</f>
        <v>44168.733798777779</v>
      </c>
    </row>
    <row r="90" spans="1:9">
      <c r="A90" s="230" t="s">
        <v>57</v>
      </c>
      <c r="B90" s="231"/>
      <c r="C90" s="231"/>
      <c r="D90" s="231"/>
      <c r="E90" s="231"/>
      <c r="F90" s="231"/>
      <c r="G90" s="231"/>
      <c r="H90" s="231"/>
      <c r="I90" s="232"/>
    </row>
    <row r="91" spans="1:9" ht="16.5" customHeight="1">
      <c r="A91" s="30">
        <v>17</v>
      </c>
      <c r="B91" s="156" t="s">
        <v>171</v>
      </c>
      <c r="C91" s="157" t="s">
        <v>88</v>
      </c>
      <c r="D91" s="115"/>
      <c r="E91" s="34"/>
      <c r="F91" s="34">
        <v>0.06</v>
      </c>
      <c r="G91" s="34">
        <v>2638.36</v>
      </c>
      <c r="H91" s="34"/>
      <c r="I91" s="13">
        <f>G91*0.06</f>
        <v>158.30160000000001</v>
      </c>
    </row>
    <row r="92" spans="1:9">
      <c r="A92" s="30">
        <v>18</v>
      </c>
      <c r="B92" s="47" t="s">
        <v>153</v>
      </c>
      <c r="C92" s="48" t="s">
        <v>98</v>
      </c>
      <c r="D92" s="115"/>
      <c r="E92" s="34"/>
      <c r="F92" s="34">
        <v>6</v>
      </c>
      <c r="G92" s="34">
        <v>215.85</v>
      </c>
      <c r="H92" s="61"/>
      <c r="I92" s="13">
        <f>G92*1</f>
        <v>215.85</v>
      </c>
    </row>
    <row r="93" spans="1:9" ht="15" customHeight="1">
      <c r="A93" s="30"/>
      <c r="B93" s="41" t="s">
        <v>49</v>
      </c>
      <c r="C93" s="37"/>
      <c r="D93" s="44"/>
      <c r="E93" s="37">
        <v>1</v>
      </c>
      <c r="F93" s="37"/>
      <c r="G93" s="37"/>
      <c r="H93" s="37"/>
      <c r="I93" s="32">
        <f>SUM(I91:I92)</f>
        <v>374.15160000000003</v>
      </c>
    </row>
    <row r="94" spans="1:9">
      <c r="A94" s="30"/>
      <c r="B94" s="43" t="s">
        <v>74</v>
      </c>
      <c r="C94" s="15"/>
      <c r="D94" s="15"/>
      <c r="E94" s="38"/>
      <c r="F94" s="38"/>
      <c r="G94" s="39"/>
      <c r="H94" s="39"/>
      <c r="I94" s="17">
        <v>0</v>
      </c>
    </row>
    <row r="95" spans="1:9">
      <c r="A95" s="45"/>
      <c r="B95" s="42" t="s">
        <v>133</v>
      </c>
      <c r="C95" s="33"/>
      <c r="D95" s="33"/>
      <c r="E95" s="33"/>
      <c r="F95" s="33"/>
      <c r="G95" s="33"/>
      <c r="H95" s="33"/>
      <c r="I95" s="40">
        <f>I89+I93</f>
        <v>44542.885398777777</v>
      </c>
    </row>
    <row r="96" spans="1:9" ht="15.75">
      <c r="A96" s="235" t="s">
        <v>270</v>
      </c>
      <c r="B96" s="235"/>
      <c r="C96" s="235"/>
      <c r="D96" s="235"/>
      <c r="E96" s="235"/>
      <c r="F96" s="235"/>
      <c r="G96" s="235"/>
      <c r="H96" s="235"/>
      <c r="I96" s="235"/>
    </row>
    <row r="97" spans="1:9" ht="15.75">
      <c r="A97" s="55"/>
      <c r="B97" s="236" t="s">
        <v>271</v>
      </c>
      <c r="C97" s="236"/>
      <c r="D97" s="236"/>
      <c r="E97" s="236"/>
      <c r="F97" s="236"/>
      <c r="G97" s="236"/>
      <c r="H97" s="60"/>
      <c r="I97" s="3"/>
    </row>
    <row r="98" spans="1:9">
      <c r="A98" s="166"/>
      <c r="B98" s="237" t="s">
        <v>6</v>
      </c>
      <c r="C98" s="237"/>
      <c r="D98" s="237"/>
      <c r="E98" s="237"/>
      <c r="F98" s="237"/>
      <c r="G98" s="237"/>
      <c r="H98" s="25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238" t="s">
        <v>7</v>
      </c>
      <c r="B100" s="238"/>
      <c r="C100" s="238"/>
      <c r="D100" s="238"/>
      <c r="E100" s="238"/>
      <c r="F100" s="238"/>
      <c r="G100" s="238"/>
      <c r="H100" s="238"/>
      <c r="I100" s="238"/>
    </row>
    <row r="101" spans="1:9" ht="15.75">
      <c r="A101" s="238" t="s">
        <v>8</v>
      </c>
      <c r="B101" s="238"/>
      <c r="C101" s="238"/>
      <c r="D101" s="238"/>
      <c r="E101" s="238"/>
      <c r="F101" s="238"/>
      <c r="G101" s="238"/>
      <c r="H101" s="238"/>
      <c r="I101" s="238"/>
    </row>
    <row r="102" spans="1:9" ht="15.75">
      <c r="A102" s="239" t="s">
        <v>58</v>
      </c>
      <c r="B102" s="239"/>
      <c r="C102" s="239"/>
      <c r="D102" s="239"/>
      <c r="E102" s="239"/>
      <c r="F102" s="239"/>
      <c r="G102" s="239"/>
      <c r="H102" s="239"/>
      <c r="I102" s="239"/>
    </row>
    <row r="103" spans="1:9" ht="15.75">
      <c r="A103" s="11"/>
    </row>
    <row r="104" spans="1:9" ht="15.75">
      <c r="A104" s="240" t="s">
        <v>9</v>
      </c>
      <c r="B104" s="240"/>
      <c r="C104" s="240"/>
      <c r="D104" s="240"/>
      <c r="E104" s="240"/>
      <c r="F104" s="240"/>
      <c r="G104" s="240"/>
      <c r="H104" s="240"/>
      <c r="I104" s="240"/>
    </row>
    <row r="105" spans="1:9" ht="15.75">
      <c r="A105" s="4"/>
    </row>
    <row r="106" spans="1:9" ht="15.75">
      <c r="B106" s="171" t="s">
        <v>10</v>
      </c>
      <c r="C106" s="241" t="s">
        <v>267</v>
      </c>
      <c r="D106" s="241"/>
      <c r="E106" s="241"/>
      <c r="F106" s="58"/>
      <c r="I106" s="169"/>
    </row>
    <row r="107" spans="1:9">
      <c r="A107" s="166"/>
      <c r="C107" s="237" t="s">
        <v>11</v>
      </c>
      <c r="D107" s="237"/>
      <c r="E107" s="237"/>
      <c r="F107" s="25"/>
      <c r="I107" s="170" t="s">
        <v>12</v>
      </c>
    </row>
    <row r="108" spans="1:9" ht="15.75">
      <c r="A108" s="26"/>
      <c r="C108" s="12"/>
      <c r="D108" s="12"/>
      <c r="G108" s="12"/>
      <c r="H108" s="12"/>
    </row>
    <row r="109" spans="1:9" ht="15.75">
      <c r="B109" s="171" t="s">
        <v>13</v>
      </c>
      <c r="C109" s="233"/>
      <c r="D109" s="233"/>
      <c r="E109" s="233"/>
      <c r="F109" s="59"/>
      <c r="I109" s="169"/>
    </row>
    <row r="110" spans="1:9">
      <c r="A110" s="166"/>
      <c r="C110" s="234" t="s">
        <v>11</v>
      </c>
      <c r="D110" s="234"/>
      <c r="E110" s="234"/>
      <c r="F110" s="166"/>
      <c r="I110" s="170" t="s">
        <v>12</v>
      </c>
    </row>
    <row r="111" spans="1:9" ht="15.75">
      <c r="A111" s="4" t="s">
        <v>14</v>
      </c>
    </row>
    <row r="112" spans="1:9">
      <c r="A112" s="228" t="s">
        <v>15</v>
      </c>
      <c r="B112" s="228"/>
      <c r="C112" s="228"/>
      <c r="D112" s="228"/>
      <c r="E112" s="228"/>
      <c r="F112" s="228"/>
      <c r="G112" s="228"/>
      <c r="H112" s="228"/>
      <c r="I112" s="228"/>
    </row>
    <row r="113" spans="1:9" ht="51" customHeight="1">
      <c r="A113" s="229" t="s">
        <v>16</v>
      </c>
      <c r="B113" s="229"/>
      <c r="C113" s="229"/>
      <c r="D113" s="229"/>
      <c r="E113" s="229"/>
      <c r="F113" s="229"/>
      <c r="G113" s="229"/>
      <c r="H113" s="229"/>
      <c r="I113" s="229"/>
    </row>
    <row r="114" spans="1:9" ht="32.25" customHeight="1">
      <c r="A114" s="229" t="s">
        <v>17</v>
      </c>
      <c r="B114" s="229"/>
      <c r="C114" s="229"/>
      <c r="D114" s="229"/>
      <c r="E114" s="229"/>
      <c r="F114" s="229"/>
      <c r="G114" s="229"/>
      <c r="H114" s="229"/>
      <c r="I114" s="229"/>
    </row>
    <row r="115" spans="1:9" ht="30" customHeight="1">
      <c r="A115" s="229" t="s">
        <v>21</v>
      </c>
      <c r="B115" s="229"/>
      <c r="C115" s="229"/>
      <c r="D115" s="229"/>
      <c r="E115" s="229"/>
      <c r="F115" s="229"/>
      <c r="G115" s="229"/>
      <c r="H115" s="229"/>
      <c r="I115" s="229"/>
    </row>
    <row r="116" spans="1:9" ht="15.75">
      <c r="A116" s="229" t="s">
        <v>20</v>
      </c>
      <c r="B116" s="229"/>
      <c r="C116" s="229"/>
      <c r="D116" s="229"/>
      <c r="E116" s="229"/>
      <c r="F116" s="229"/>
      <c r="G116" s="229"/>
      <c r="H116" s="229"/>
      <c r="I116" s="229"/>
    </row>
  </sheetData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9:I29"/>
    <mergeCell ref="A57:I57"/>
    <mergeCell ref="A86:I86"/>
    <mergeCell ref="A90:I90"/>
    <mergeCell ref="A96:I96"/>
    <mergeCell ref="B97:G97"/>
    <mergeCell ref="B98:G98"/>
    <mergeCell ref="A100:I100"/>
    <mergeCell ref="A101:I101"/>
    <mergeCell ref="A47:I47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  <rowBreaks count="1" manualBreakCount="1">
    <brk id="9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2"/>
  <sheetViews>
    <sheetView tabSelected="1" topLeftCell="A89" workbookViewId="0">
      <selection activeCell="A107" sqref="A107:I107"/>
    </sheetView>
  </sheetViews>
  <sheetFormatPr defaultRowHeight="15"/>
  <cols>
    <col min="1" max="1" width="11" customWidth="1"/>
    <col min="2" max="2" width="53.7109375" customWidth="1"/>
    <col min="3" max="3" width="17.7109375" customWidth="1"/>
    <col min="4" max="4" width="18.42578125" customWidth="1"/>
    <col min="5" max="6" width="0" hidden="1" customWidth="1"/>
    <col min="7" max="7" width="15.5703125" customWidth="1"/>
    <col min="8" max="8" width="0" hidden="1" customWidth="1"/>
    <col min="9" max="9" width="16.140625" customWidth="1"/>
  </cols>
  <sheetData>
    <row r="1" spans="1:9" ht="15.75">
      <c r="A1" s="28" t="s">
        <v>157</v>
      </c>
      <c r="I1" s="27"/>
    </row>
    <row r="2" spans="1:9" ht="15.75">
      <c r="A2" s="29" t="s">
        <v>59</v>
      </c>
    </row>
    <row r="3" spans="1:9" ht="15.75">
      <c r="A3" s="243" t="s">
        <v>169</v>
      </c>
      <c r="B3" s="243"/>
      <c r="C3" s="243"/>
      <c r="D3" s="243"/>
      <c r="E3" s="243"/>
      <c r="F3" s="243"/>
      <c r="G3" s="243"/>
      <c r="H3" s="243"/>
      <c r="I3" s="243"/>
    </row>
    <row r="4" spans="1:9" ht="33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9" ht="15.75">
      <c r="A5" s="243" t="s">
        <v>274</v>
      </c>
      <c r="B5" s="245"/>
      <c r="C5" s="245"/>
      <c r="D5" s="245"/>
      <c r="E5" s="245"/>
      <c r="F5" s="245"/>
      <c r="G5" s="245"/>
      <c r="H5" s="245"/>
      <c r="I5" s="245"/>
    </row>
    <row r="6" spans="1:9" ht="15.75">
      <c r="A6" s="2"/>
      <c r="B6" s="176"/>
      <c r="C6" s="176"/>
      <c r="D6" s="176"/>
      <c r="E6" s="176"/>
      <c r="F6" s="176"/>
      <c r="G6" s="176"/>
      <c r="H6" s="176"/>
      <c r="I6" s="31">
        <v>44196</v>
      </c>
    </row>
    <row r="7" spans="1:9" ht="15.75">
      <c r="B7" s="180"/>
      <c r="C7" s="180"/>
      <c r="D7" s="180"/>
      <c r="E7" s="3"/>
      <c r="F7" s="3"/>
      <c r="G7" s="3"/>
      <c r="H7" s="3"/>
    </row>
    <row r="8" spans="1:9" ht="84.75" customHeight="1">
      <c r="A8" s="246" t="s">
        <v>266</v>
      </c>
      <c r="B8" s="246"/>
      <c r="C8" s="246"/>
      <c r="D8" s="246"/>
      <c r="E8" s="246"/>
      <c r="F8" s="246"/>
      <c r="G8" s="246"/>
      <c r="H8" s="246"/>
      <c r="I8" s="246"/>
    </row>
    <row r="9" spans="1:9" ht="15.75">
      <c r="A9" s="4"/>
    </row>
    <row r="10" spans="1:9" ht="49.5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</row>
    <row r="11" spans="1:9" ht="15.75">
      <c r="A11" s="4"/>
    </row>
    <row r="12" spans="1:9" ht="84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6.5" customHeight="1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24" si="0">SUM(F16*G16/1000)</f>
        <v>25.337020800000001</v>
      </c>
      <c r="I16" s="13">
        <f>F16/12*G16</f>
        <v>2111.4184000000005</v>
      </c>
    </row>
    <row r="17" spans="1:9" ht="15.75" customHeight="1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8.75" customHeight="1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si="0"/>
        <v>0.48973100000000003</v>
      </c>
      <c r="I19" s="34">
        <f>2.11*G19</f>
        <v>489.73099999999994</v>
      </c>
    </row>
    <row r="20" spans="1:9" hidden="1">
      <c r="A20" s="30">
        <v>4</v>
      </c>
      <c r="B20" s="62" t="s">
        <v>91</v>
      </c>
      <c r="C20" s="63" t="s">
        <v>80</v>
      </c>
      <c r="D20" s="62" t="s">
        <v>40</v>
      </c>
      <c r="E20" s="128">
        <v>2.4</v>
      </c>
      <c r="F20" s="129">
        <f>SUM(E20*2/100)</f>
        <v>4.8000000000000001E-2</v>
      </c>
      <c r="G20" s="129">
        <v>294.77999999999997</v>
      </c>
      <c r="H20" s="130">
        <f t="shared" si="0"/>
        <v>1.4149439999999999E-2</v>
      </c>
      <c r="I20" s="34">
        <f>0.048/2*G20</f>
        <v>7.0747199999999992</v>
      </c>
    </row>
    <row r="21" spans="1:9" hidden="1">
      <c r="A21" s="30">
        <v>5</v>
      </c>
      <c r="B21" s="62" t="s">
        <v>92</v>
      </c>
      <c r="C21" s="63" t="s">
        <v>50</v>
      </c>
      <c r="D21" s="62" t="s">
        <v>89</v>
      </c>
      <c r="E21" s="128">
        <v>317</v>
      </c>
      <c r="F21" s="129">
        <f>SUM(E21/100)</f>
        <v>3.17</v>
      </c>
      <c r="G21" s="129">
        <v>367.27</v>
      </c>
      <c r="H21" s="130">
        <f t="shared" si="0"/>
        <v>1.1642458999999998</v>
      </c>
      <c r="I21" s="34">
        <f>3.17*G21</f>
        <v>1164.2458999999999</v>
      </c>
    </row>
    <row r="22" spans="1:9" hidden="1">
      <c r="A22" s="30">
        <v>7</v>
      </c>
      <c r="B22" s="62" t="s">
        <v>93</v>
      </c>
      <c r="C22" s="63" t="s">
        <v>50</v>
      </c>
      <c r="D22" s="62" t="s">
        <v>89</v>
      </c>
      <c r="E22" s="131">
        <v>24.15</v>
      </c>
      <c r="F22" s="129">
        <f>SUM(E22/100)</f>
        <v>0.24149999999999999</v>
      </c>
      <c r="G22" s="129">
        <v>60.41</v>
      </c>
      <c r="H22" s="130">
        <f t="shared" si="0"/>
        <v>1.4589014999999999E-2</v>
      </c>
      <c r="I22" s="34">
        <f>0.2415*G22</f>
        <v>14.589014999999998</v>
      </c>
    </row>
    <row r="23" spans="1:9" hidden="1">
      <c r="A23" s="30">
        <v>8</v>
      </c>
      <c r="B23" s="62" t="s">
        <v>94</v>
      </c>
      <c r="C23" s="63" t="s">
        <v>50</v>
      </c>
      <c r="D23" s="62" t="s">
        <v>51</v>
      </c>
      <c r="E23" s="128">
        <v>10</v>
      </c>
      <c r="F23" s="129">
        <f>SUM(E23/100)</f>
        <v>0.1</v>
      </c>
      <c r="G23" s="129">
        <v>531.55999999999995</v>
      </c>
      <c r="H23" s="130">
        <f t="shared" si="0"/>
        <v>5.3156000000000002E-2</v>
      </c>
      <c r="I23" s="34">
        <f>0.1*G23</f>
        <v>53.155999999999999</v>
      </c>
    </row>
    <row r="24" spans="1:9" hidden="1">
      <c r="A24" s="30">
        <v>9</v>
      </c>
      <c r="B24" s="62" t="s">
        <v>95</v>
      </c>
      <c r="C24" s="63" t="s">
        <v>50</v>
      </c>
      <c r="D24" s="62" t="s">
        <v>51</v>
      </c>
      <c r="E24" s="128">
        <v>4.25</v>
      </c>
      <c r="F24" s="129">
        <f>SUM(E24/100)</f>
        <v>4.2500000000000003E-2</v>
      </c>
      <c r="G24" s="129">
        <v>710.37</v>
      </c>
      <c r="H24" s="130">
        <f t="shared" si="0"/>
        <v>3.0190725000000005E-2</v>
      </c>
      <c r="I24" s="34">
        <f>0.0425*G24</f>
        <v>30.190725000000004</v>
      </c>
    </row>
    <row r="25" spans="1:9" hidden="1">
      <c r="A25" s="30">
        <v>10</v>
      </c>
      <c r="B25" s="62" t="s">
        <v>110</v>
      </c>
      <c r="C25" s="63" t="s">
        <v>50</v>
      </c>
      <c r="D25" s="62" t="s">
        <v>51</v>
      </c>
      <c r="E25" s="128">
        <v>9.5</v>
      </c>
      <c r="F25" s="129">
        <v>9.5000000000000001E-2</v>
      </c>
      <c r="G25" s="129">
        <v>294.77999999999997</v>
      </c>
      <c r="H25" s="130">
        <f>G25*F25/1000</f>
        <v>2.8004099999999997E-2</v>
      </c>
      <c r="I25" s="34">
        <f>0.095*G25</f>
        <v>28.004099999999998</v>
      </c>
    </row>
    <row r="26" spans="1:9" hidden="1">
      <c r="A26" s="30">
        <v>11</v>
      </c>
      <c r="B26" s="155" t="s">
        <v>174</v>
      </c>
      <c r="C26" s="182" t="s">
        <v>25</v>
      </c>
      <c r="D26" s="155" t="s">
        <v>175</v>
      </c>
      <c r="E26" s="205">
        <v>2.2400000000000002</v>
      </c>
      <c r="F26" s="129">
        <f>E26*258</f>
        <v>577.92000000000007</v>
      </c>
      <c r="G26" s="129">
        <v>10.39</v>
      </c>
      <c r="H26" s="66">
        <f>SUM(F26*G26/1000)</f>
        <v>6.0045888000000014</v>
      </c>
      <c r="I26" s="13">
        <f>F26/12*G26</f>
        <v>500.38240000000008</v>
      </c>
    </row>
    <row r="27" spans="1:9" ht="15.75" customHeight="1">
      <c r="A27" s="30">
        <v>4</v>
      </c>
      <c r="B27" s="155" t="s">
        <v>174</v>
      </c>
      <c r="C27" s="182" t="s">
        <v>25</v>
      </c>
      <c r="D27" s="155" t="s">
        <v>175</v>
      </c>
      <c r="E27" s="205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 hidden="1">
      <c r="A28" s="30">
        <v>5</v>
      </c>
      <c r="B28" s="70" t="s">
        <v>23</v>
      </c>
      <c r="C28" s="63" t="s">
        <v>24</v>
      </c>
      <c r="D28" s="70" t="s">
        <v>122</v>
      </c>
      <c r="E28" s="64">
        <v>2409</v>
      </c>
      <c r="F28" s="65">
        <f>SUM(E28*12)</f>
        <v>28908</v>
      </c>
      <c r="G28" s="65">
        <v>4.5199999999999996</v>
      </c>
      <c r="H28" s="66">
        <f>SUM(F28*G28/1000)</f>
        <v>130.66415999999998</v>
      </c>
      <c r="I28" s="13">
        <f>2409*G28</f>
        <v>10888.679999999998</v>
      </c>
    </row>
    <row r="29" spans="1:9">
      <c r="A29" s="242" t="s">
        <v>78</v>
      </c>
      <c r="B29" s="242"/>
      <c r="C29" s="242"/>
      <c r="D29" s="242"/>
      <c r="E29" s="242"/>
      <c r="F29" s="242"/>
      <c r="G29" s="242"/>
      <c r="H29" s="242"/>
      <c r="I29" s="242"/>
    </row>
    <row r="30" spans="1:9" hidden="1">
      <c r="A30" s="30"/>
      <c r="B30" s="81" t="s">
        <v>28</v>
      </c>
      <c r="C30" s="63"/>
      <c r="D30" s="62"/>
      <c r="E30" s="64"/>
      <c r="F30" s="65"/>
      <c r="G30" s="65"/>
      <c r="H30" s="66"/>
      <c r="I30" s="13"/>
    </row>
    <row r="31" spans="1:9" hidden="1">
      <c r="A31" s="30">
        <v>6</v>
      </c>
      <c r="B31" s="62" t="s">
        <v>97</v>
      </c>
      <c r="C31" s="63" t="s">
        <v>82</v>
      </c>
      <c r="D31" s="62" t="s">
        <v>134</v>
      </c>
      <c r="E31" s="65">
        <v>372.4</v>
      </c>
      <c r="F31" s="65">
        <f>SUM(E31*52/1000)</f>
        <v>19.364799999999999</v>
      </c>
      <c r="G31" s="129">
        <v>212.62</v>
      </c>
      <c r="H31" s="66">
        <f t="shared" ref="H31:H37" si="1">SUM(F31*G31/1000)</f>
        <v>4.1173437759999993</v>
      </c>
      <c r="I31" s="13">
        <f>19.3648/6*G31</f>
        <v>686.22396266666669</v>
      </c>
    </row>
    <row r="32" spans="1:9" ht="45" hidden="1">
      <c r="A32" s="30">
        <v>7</v>
      </c>
      <c r="B32" s="62" t="s">
        <v>108</v>
      </c>
      <c r="C32" s="63" t="s">
        <v>82</v>
      </c>
      <c r="D32" s="62" t="s">
        <v>135</v>
      </c>
      <c r="E32" s="65">
        <v>195.5</v>
      </c>
      <c r="F32" s="65">
        <f>SUM(E32*78/1000)</f>
        <v>15.249000000000001</v>
      </c>
      <c r="G32" s="129">
        <v>352.77</v>
      </c>
      <c r="H32" s="66">
        <f t="shared" si="1"/>
        <v>5.3793897299999998</v>
      </c>
      <c r="I32" s="13">
        <f>15.249/6*G32</f>
        <v>896.56495499999994</v>
      </c>
    </row>
    <row r="33" spans="1:9" hidden="1">
      <c r="A33" s="30">
        <v>13</v>
      </c>
      <c r="B33" s="62" t="s">
        <v>27</v>
      </c>
      <c r="C33" s="63" t="s">
        <v>82</v>
      </c>
      <c r="D33" s="62" t="s">
        <v>51</v>
      </c>
      <c r="E33" s="65">
        <v>372.4</v>
      </c>
      <c r="F33" s="65">
        <f>SUM(E33/1000)</f>
        <v>0.37239999999999995</v>
      </c>
      <c r="G33" s="129">
        <v>4119.68</v>
      </c>
      <c r="H33" s="66">
        <f t="shared" si="1"/>
        <v>1.5341688319999998</v>
      </c>
      <c r="I33" s="13">
        <f>0.3724*G33</f>
        <v>1534.1688320000001</v>
      </c>
    </row>
    <row r="34" spans="1:9" hidden="1">
      <c r="A34" s="30">
        <v>8</v>
      </c>
      <c r="B34" s="62" t="s">
        <v>136</v>
      </c>
      <c r="C34" s="63" t="s">
        <v>38</v>
      </c>
      <c r="D34" s="62" t="s">
        <v>60</v>
      </c>
      <c r="E34" s="65">
        <v>2</v>
      </c>
      <c r="F34" s="65">
        <f>E34*155/100</f>
        <v>3.1</v>
      </c>
      <c r="G34" s="129">
        <v>1775.94</v>
      </c>
      <c r="H34" s="66">
        <f t="shared" si="1"/>
        <v>5.5054140000000009</v>
      </c>
      <c r="I34" s="13">
        <f>3.1/6*G34</f>
        <v>917.56900000000007</v>
      </c>
    </row>
    <row r="35" spans="1:9" hidden="1">
      <c r="A35" s="30">
        <v>9</v>
      </c>
      <c r="B35" s="62" t="s">
        <v>96</v>
      </c>
      <c r="C35" s="63" t="s">
        <v>30</v>
      </c>
      <c r="D35" s="62" t="s">
        <v>60</v>
      </c>
      <c r="E35" s="69">
        <f>1/3</f>
        <v>0.33333333333333331</v>
      </c>
      <c r="F35" s="65">
        <f>155/3</f>
        <v>51.666666666666664</v>
      </c>
      <c r="G35" s="129">
        <v>77.33</v>
      </c>
      <c r="H35" s="66">
        <f t="shared" si="1"/>
        <v>3.9953833333333333</v>
      </c>
      <c r="I35" s="13">
        <f>155/3/6*G35</f>
        <v>665.89722222222213</v>
      </c>
    </row>
    <row r="36" spans="1:9" hidden="1">
      <c r="A36" s="30"/>
      <c r="B36" s="62" t="s">
        <v>61</v>
      </c>
      <c r="C36" s="63" t="s">
        <v>32</v>
      </c>
      <c r="D36" s="62" t="s">
        <v>63</v>
      </c>
      <c r="E36" s="64"/>
      <c r="F36" s="65">
        <v>2</v>
      </c>
      <c r="G36" s="65">
        <v>250.92</v>
      </c>
      <c r="H36" s="66">
        <f t="shared" si="1"/>
        <v>0.50183999999999995</v>
      </c>
      <c r="I36" s="13">
        <v>0</v>
      </c>
    </row>
    <row r="37" spans="1:9" hidden="1">
      <c r="A37" s="30"/>
      <c r="B37" s="62" t="s">
        <v>62</v>
      </c>
      <c r="C37" s="63" t="s">
        <v>31</v>
      </c>
      <c r="D37" s="62" t="s">
        <v>63</v>
      </c>
      <c r="E37" s="64"/>
      <c r="F37" s="65">
        <v>1</v>
      </c>
      <c r="G37" s="65">
        <v>1490.31</v>
      </c>
      <c r="H37" s="66">
        <f t="shared" si="1"/>
        <v>1.49031</v>
      </c>
      <c r="I37" s="13">
        <v>0</v>
      </c>
    </row>
    <row r="38" spans="1:9" ht="18" customHeight="1">
      <c r="A38" s="30"/>
      <c r="B38" s="81" t="s">
        <v>5</v>
      </c>
      <c r="C38" s="63"/>
      <c r="D38" s="62"/>
      <c r="E38" s="64"/>
      <c r="F38" s="65"/>
      <c r="G38" s="65"/>
      <c r="H38" s="66" t="s">
        <v>122</v>
      </c>
      <c r="I38" s="13"/>
    </row>
    <row r="39" spans="1:9" ht="18" customHeight="1">
      <c r="A39" s="30">
        <v>5</v>
      </c>
      <c r="B39" s="181" t="s">
        <v>26</v>
      </c>
      <c r="C39" s="182" t="s">
        <v>31</v>
      </c>
      <c r="D39" s="155" t="s">
        <v>275</v>
      </c>
      <c r="E39" s="128"/>
      <c r="F39" s="129">
        <v>5</v>
      </c>
      <c r="G39" s="129">
        <v>2083</v>
      </c>
      <c r="H39" s="66">
        <f t="shared" ref="H39" si="2">SUM(F39*G39/1000)</f>
        <v>10.414999999999999</v>
      </c>
      <c r="I39" s="13">
        <f>G39*0.8</f>
        <v>1666.4</v>
      </c>
    </row>
    <row r="40" spans="1:9" ht="30" hidden="1">
      <c r="A40" s="30">
        <v>9</v>
      </c>
      <c r="B40" s="155" t="s">
        <v>113</v>
      </c>
      <c r="C40" s="182" t="s">
        <v>114</v>
      </c>
      <c r="D40" s="155" t="s">
        <v>167</v>
      </c>
      <c r="E40" s="128"/>
      <c r="F40" s="132">
        <v>26</v>
      </c>
      <c r="G40" s="129">
        <v>314</v>
      </c>
      <c r="H40" s="66">
        <f>G40*F40/1000</f>
        <v>8.1639999999999997</v>
      </c>
      <c r="I40" s="13">
        <v>0</v>
      </c>
    </row>
    <row r="41" spans="1:9" ht="17.25" customHeight="1">
      <c r="A41" s="30">
        <v>6</v>
      </c>
      <c r="B41" s="62" t="s">
        <v>137</v>
      </c>
      <c r="C41" s="63" t="s">
        <v>29</v>
      </c>
      <c r="D41" s="62" t="s">
        <v>179</v>
      </c>
      <c r="E41" s="172">
        <v>88</v>
      </c>
      <c r="F41" s="173">
        <f>E41*30/1000</f>
        <v>2.64</v>
      </c>
      <c r="G41" s="154">
        <v>2868.09</v>
      </c>
      <c r="H41" s="66">
        <f>G41*F41/1000</f>
        <v>7.5717576000000006</v>
      </c>
      <c r="I41" s="13">
        <f>F41/6*G41</f>
        <v>1261.9596000000001</v>
      </c>
    </row>
    <row r="42" spans="1:9" ht="18.75" customHeight="1">
      <c r="A42" s="30">
        <v>7</v>
      </c>
      <c r="B42" s="62" t="s">
        <v>64</v>
      </c>
      <c r="C42" s="63" t="s">
        <v>29</v>
      </c>
      <c r="D42" s="62" t="s">
        <v>180</v>
      </c>
      <c r="E42" s="154">
        <v>93.3</v>
      </c>
      <c r="F42" s="173">
        <f>SUM(E42*155/1000)</f>
        <v>14.461499999999999</v>
      </c>
      <c r="G42" s="154">
        <v>478.42</v>
      </c>
      <c r="H42" s="66">
        <f t="shared" ref="H42:H46" si="3">SUM(F42*G42/1000)</f>
        <v>6.9186708299999999</v>
      </c>
      <c r="I42" s="13">
        <f>F42/6*G42</f>
        <v>1153.111805</v>
      </c>
    </row>
    <row r="43" spans="1:9" ht="48.75" customHeight="1">
      <c r="A43" s="30">
        <v>8</v>
      </c>
      <c r="B43" s="62" t="s">
        <v>76</v>
      </c>
      <c r="C43" s="63" t="s">
        <v>82</v>
      </c>
      <c r="D43" s="62" t="s">
        <v>181</v>
      </c>
      <c r="E43" s="154">
        <v>34</v>
      </c>
      <c r="F43" s="173">
        <f>SUM(E43*35/1000)</f>
        <v>1.19</v>
      </c>
      <c r="G43" s="154">
        <v>7915.6</v>
      </c>
      <c r="H43" s="66">
        <f t="shared" si="3"/>
        <v>9.4195640000000012</v>
      </c>
      <c r="I43" s="13">
        <f>F43/6*G43</f>
        <v>1569.9273333333333</v>
      </c>
    </row>
    <row r="44" spans="1:9" ht="18" hidden="1" customHeight="1">
      <c r="A44" s="30">
        <v>9</v>
      </c>
      <c r="B44" s="62" t="s">
        <v>83</v>
      </c>
      <c r="C44" s="63" t="s">
        <v>82</v>
      </c>
      <c r="D44" s="62" t="s">
        <v>182</v>
      </c>
      <c r="E44" s="154">
        <v>72</v>
      </c>
      <c r="F44" s="173">
        <v>0.36</v>
      </c>
      <c r="G44" s="154">
        <v>584.74</v>
      </c>
      <c r="H44" s="66">
        <f t="shared" si="3"/>
        <v>0.21050639999999998</v>
      </c>
      <c r="I44" s="13">
        <f>(F44/7.5)*G44</f>
        <v>28.067520000000002</v>
      </c>
    </row>
    <row r="45" spans="1:9" ht="16.5" hidden="1" customHeight="1">
      <c r="A45" s="30">
        <v>10</v>
      </c>
      <c r="B45" s="62" t="s">
        <v>66</v>
      </c>
      <c r="C45" s="63" t="s">
        <v>32</v>
      </c>
      <c r="D45" s="62"/>
      <c r="E45" s="174"/>
      <c r="F45" s="173">
        <v>0.1</v>
      </c>
      <c r="G45" s="173">
        <v>800</v>
      </c>
      <c r="H45" s="66">
        <f t="shared" si="3"/>
        <v>0.08</v>
      </c>
      <c r="I45" s="13">
        <f>(F45/7.5)*G45</f>
        <v>10.666666666666668</v>
      </c>
    </row>
    <row r="46" spans="1:9" ht="36" customHeight="1">
      <c r="A46" s="30">
        <v>9</v>
      </c>
      <c r="B46" s="46" t="s">
        <v>138</v>
      </c>
      <c r="C46" s="49" t="s">
        <v>29</v>
      </c>
      <c r="D46" s="62" t="s">
        <v>183</v>
      </c>
      <c r="E46" s="174">
        <v>1.8</v>
      </c>
      <c r="F46" s="173">
        <f>SUM(E46*12/1000)</f>
        <v>2.1600000000000001E-2</v>
      </c>
      <c r="G46" s="173">
        <v>270.61</v>
      </c>
      <c r="H46" s="66">
        <f t="shared" si="3"/>
        <v>5.8451760000000005E-3</v>
      </c>
      <c r="I46" s="13">
        <f t="shared" ref="I46" si="4">F46/6*G46</f>
        <v>0.97419600000000017</v>
      </c>
    </row>
    <row r="47" spans="1:9" ht="15" customHeight="1">
      <c r="A47" s="249" t="s">
        <v>124</v>
      </c>
      <c r="B47" s="250"/>
      <c r="C47" s="250"/>
      <c r="D47" s="250"/>
      <c r="E47" s="250"/>
      <c r="F47" s="250"/>
      <c r="G47" s="250"/>
      <c r="H47" s="250"/>
      <c r="I47" s="251"/>
    </row>
    <row r="48" spans="1:9" hidden="1">
      <c r="A48" s="30">
        <v>12</v>
      </c>
      <c r="B48" s="62" t="s">
        <v>117</v>
      </c>
      <c r="C48" s="63" t="s">
        <v>82</v>
      </c>
      <c r="D48" s="62" t="s">
        <v>40</v>
      </c>
      <c r="E48" s="64">
        <v>670.4</v>
      </c>
      <c r="F48" s="65">
        <f>SUM(E48*2/1000)</f>
        <v>1.3408</v>
      </c>
      <c r="G48" s="34">
        <v>1158.7</v>
      </c>
      <c r="H48" s="66">
        <f t="shared" ref="H48:H55" si="5">SUM(F48*G48/1000)</f>
        <v>1.5535849600000002</v>
      </c>
      <c r="I48" s="13">
        <f t="shared" ref="I48:I50" si="6">F48/2*G48</f>
        <v>776.79248000000007</v>
      </c>
    </row>
    <row r="49" spans="1:9" hidden="1">
      <c r="A49" s="30">
        <v>13</v>
      </c>
      <c r="B49" s="62" t="s">
        <v>33</v>
      </c>
      <c r="C49" s="63" t="s">
        <v>82</v>
      </c>
      <c r="D49" s="62" t="s">
        <v>40</v>
      </c>
      <c r="E49" s="64">
        <v>26</v>
      </c>
      <c r="F49" s="65">
        <f t="shared" ref="F49:F51" si="7">SUM(E49*2/1000)</f>
        <v>5.1999999999999998E-2</v>
      </c>
      <c r="G49" s="34">
        <v>790.38</v>
      </c>
      <c r="H49" s="66">
        <f t="shared" si="5"/>
        <v>4.1099759999999999E-2</v>
      </c>
      <c r="I49" s="13">
        <f t="shared" si="6"/>
        <v>20.549879999999998</v>
      </c>
    </row>
    <row r="50" spans="1:9" hidden="1">
      <c r="A50" s="30">
        <v>14</v>
      </c>
      <c r="B50" s="62" t="s">
        <v>34</v>
      </c>
      <c r="C50" s="63" t="s">
        <v>82</v>
      </c>
      <c r="D50" s="62" t="s">
        <v>40</v>
      </c>
      <c r="E50" s="64">
        <v>760.4</v>
      </c>
      <c r="F50" s="65">
        <f t="shared" si="7"/>
        <v>1.5207999999999999</v>
      </c>
      <c r="G50" s="34">
        <v>790.38</v>
      </c>
      <c r="H50" s="66">
        <f t="shared" si="5"/>
        <v>1.2020099040000001</v>
      </c>
      <c r="I50" s="13">
        <f t="shared" si="6"/>
        <v>601.004952</v>
      </c>
    </row>
    <row r="51" spans="1:9" hidden="1">
      <c r="A51" s="30">
        <v>15</v>
      </c>
      <c r="B51" s="62" t="s">
        <v>35</v>
      </c>
      <c r="C51" s="63" t="s">
        <v>82</v>
      </c>
      <c r="D51" s="62" t="s">
        <v>40</v>
      </c>
      <c r="E51" s="64">
        <v>1440</v>
      </c>
      <c r="F51" s="65">
        <f t="shared" si="7"/>
        <v>2.88</v>
      </c>
      <c r="G51" s="34">
        <v>827.65</v>
      </c>
      <c r="H51" s="66">
        <f t="shared" si="5"/>
        <v>2.383632</v>
      </c>
      <c r="I51" s="13">
        <f>F51/2*G51</f>
        <v>1191.816</v>
      </c>
    </row>
    <row r="52" spans="1:9">
      <c r="A52" s="30">
        <v>10</v>
      </c>
      <c r="B52" s="155" t="s">
        <v>168</v>
      </c>
      <c r="C52" s="182" t="s">
        <v>82</v>
      </c>
      <c r="D52" s="155" t="s">
        <v>178</v>
      </c>
      <c r="E52" s="128">
        <v>2409</v>
      </c>
      <c r="F52" s="129">
        <v>4.8179999999999996</v>
      </c>
      <c r="G52" s="34">
        <v>1655.27</v>
      </c>
      <c r="H52" s="66">
        <f t="shared" si="5"/>
        <v>7.975090859999999</v>
      </c>
      <c r="I52" s="13">
        <f>F52/5*G52</f>
        <v>1595.0181719999998</v>
      </c>
    </row>
    <row r="53" spans="1:9" ht="30" hidden="1">
      <c r="A53" s="30">
        <v>10</v>
      </c>
      <c r="B53" s="62" t="s">
        <v>84</v>
      </c>
      <c r="C53" s="63" t="s">
        <v>82</v>
      </c>
      <c r="D53" s="62" t="s">
        <v>40</v>
      </c>
      <c r="E53" s="64">
        <v>2409</v>
      </c>
      <c r="F53" s="65">
        <f>SUM(E53*2/1000)</f>
        <v>4.8179999999999996</v>
      </c>
      <c r="G53" s="34">
        <v>1655.27</v>
      </c>
      <c r="H53" s="66">
        <f t="shared" si="5"/>
        <v>7.975090859999999</v>
      </c>
      <c r="I53" s="13">
        <f>F53/2*G53</f>
        <v>3987.5454299999997</v>
      </c>
    </row>
    <row r="54" spans="1:9" ht="30" hidden="1">
      <c r="A54" s="30">
        <v>11</v>
      </c>
      <c r="B54" s="62" t="s">
        <v>85</v>
      </c>
      <c r="C54" s="63" t="s">
        <v>36</v>
      </c>
      <c r="D54" s="62" t="s">
        <v>40</v>
      </c>
      <c r="E54" s="64">
        <v>10</v>
      </c>
      <c r="F54" s="65">
        <f>SUM(E54*2/100)</f>
        <v>0.2</v>
      </c>
      <c r="G54" s="34">
        <v>3724.37</v>
      </c>
      <c r="H54" s="66">
        <f>SUM(F54*G54/1000)</f>
        <v>0.74487400000000004</v>
      </c>
      <c r="I54" s="13">
        <f t="shared" ref="I54:I55" si="8">F54/2*G54</f>
        <v>372.43700000000001</v>
      </c>
    </row>
    <row r="55" spans="1:9" hidden="1">
      <c r="A55" s="30">
        <v>12</v>
      </c>
      <c r="B55" s="62" t="s">
        <v>37</v>
      </c>
      <c r="C55" s="63" t="s">
        <v>38</v>
      </c>
      <c r="D55" s="62" t="s">
        <v>40</v>
      </c>
      <c r="E55" s="64">
        <v>1</v>
      </c>
      <c r="F55" s="65">
        <v>0.02</v>
      </c>
      <c r="G55" s="34">
        <v>7709.44</v>
      </c>
      <c r="H55" s="66">
        <f t="shared" si="5"/>
        <v>0.15418879999999999</v>
      </c>
      <c r="I55" s="13">
        <f t="shared" si="8"/>
        <v>77.094399999999993</v>
      </c>
    </row>
    <row r="56" spans="1:9">
      <c r="A56" s="249" t="s">
        <v>125</v>
      </c>
      <c r="B56" s="250"/>
      <c r="C56" s="250"/>
      <c r="D56" s="250"/>
      <c r="E56" s="250"/>
      <c r="F56" s="250"/>
      <c r="G56" s="250"/>
      <c r="H56" s="250"/>
      <c r="I56" s="251"/>
    </row>
    <row r="57" spans="1:9" hidden="1">
      <c r="A57" s="30"/>
      <c r="B57" s="81" t="s">
        <v>41</v>
      </c>
      <c r="C57" s="63"/>
      <c r="D57" s="62"/>
      <c r="E57" s="64"/>
      <c r="F57" s="65"/>
      <c r="G57" s="65"/>
      <c r="H57" s="66"/>
      <c r="I57" s="13"/>
    </row>
    <row r="58" spans="1:9" hidden="1">
      <c r="A58" s="30">
        <v>15</v>
      </c>
      <c r="B58" s="71" t="s">
        <v>120</v>
      </c>
      <c r="C58" s="72" t="s">
        <v>121</v>
      </c>
      <c r="D58" s="71" t="s">
        <v>40</v>
      </c>
      <c r="E58" s="73">
        <v>2</v>
      </c>
      <c r="F58" s="74">
        <v>4</v>
      </c>
      <c r="G58" s="13">
        <v>237.1</v>
      </c>
      <c r="H58" s="66">
        <f t="shared" ref="H58" si="9">SUM(F58*G58/1000)</f>
        <v>0.94840000000000002</v>
      </c>
      <c r="I58" s="13">
        <f>F58/2*G58</f>
        <v>474.2</v>
      </c>
    </row>
    <row r="59" spans="1:9" hidden="1">
      <c r="A59" s="30">
        <v>13</v>
      </c>
      <c r="B59" s="155" t="s">
        <v>119</v>
      </c>
      <c r="C59" s="182" t="s">
        <v>80</v>
      </c>
      <c r="D59" s="155" t="s">
        <v>178</v>
      </c>
      <c r="E59" s="128">
        <v>3.8</v>
      </c>
      <c r="F59" s="129">
        <f>SUM(E59*6/100)</f>
        <v>0.22799999999999998</v>
      </c>
      <c r="G59" s="34">
        <v>2110.4699999999998</v>
      </c>
      <c r="H59" s="66">
        <f>SUM(F59*G59/1000)</f>
        <v>0.48118715999999989</v>
      </c>
      <c r="I59" s="13">
        <f>F59/6*G59</f>
        <v>80.197859999999991</v>
      </c>
    </row>
    <row r="60" spans="1:9" hidden="1">
      <c r="A60" s="30"/>
      <c r="B60" s="62" t="s">
        <v>140</v>
      </c>
      <c r="C60" s="63" t="s">
        <v>141</v>
      </c>
      <c r="D60" s="62" t="s">
        <v>63</v>
      </c>
      <c r="E60" s="64"/>
      <c r="F60" s="65">
        <v>3</v>
      </c>
      <c r="G60" s="13">
        <v>1582.05</v>
      </c>
      <c r="H60" s="66">
        <f>SUM(F60*G60/1000)</f>
        <v>4.7461499999999992</v>
      </c>
      <c r="I60" s="13">
        <v>0</v>
      </c>
    </row>
    <row r="61" spans="1:9">
      <c r="A61" s="30"/>
      <c r="B61" s="82" t="s">
        <v>42</v>
      </c>
      <c r="C61" s="72"/>
      <c r="D61" s="71"/>
      <c r="E61" s="73"/>
      <c r="F61" s="74"/>
      <c r="G61" s="13"/>
      <c r="H61" s="75"/>
      <c r="I61" s="13"/>
    </row>
    <row r="62" spans="1:9" hidden="1">
      <c r="A62" s="30"/>
      <c r="B62" s="71" t="s">
        <v>142</v>
      </c>
      <c r="C62" s="72" t="s">
        <v>50</v>
      </c>
      <c r="D62" s="71" t="s">
        <v>51</v>
      </c>
      <c r="E62" s="73">
        <v>110</v>
      </c>
      <c r="F62" s="74">
        <f>E62/100</f>
        <v>1.1000000000000001</v>
      </c>
      <c r="G62" s="13">
        <v>1040.8399999999999</v>
      </c>
      <c r="H62" s="75">
        <f>F62*G62/1000</f>
        <v>1.1449240000000001</v>
      </c>
      <c r="I62" s="13">
        <v>0</v>
      </c>
    </row>
    <row r="63" spans="1:9">
      <c r="A63" s="30">
        <v>11</v>
      </c>
      <c r="B63" s="71" t="s">
        <v>109</v>
      </c>
      <c r="C63" s="72" t="s">
        <v>25</v>
      </c>
      <c r="D63" s="71" t="s">
        <v>178</v>
      </c>
      <c r="E63" s="73">
        <v>100</v>
      </c>
      <c r="F63" s="76">
        <f>E63*12</f>
        <v>1200</v>
      </c>
      <c r="G63" s="56">
        <v>1.4</v>
      </c>
      <c r="H63" s="74">
        <f>F63*G63/1000</f>
        <v>1.68</v>
      </c>
      <c r="I63" s="13">
        <f>F63/12*G63</f>
        <v>140</v>
      </c>
    </row>
    <row r="64" spans="1:9" hidden="1">
      <c r="A64" s="30"/>
      <c r="B64" s="82" t="s">
        <v>43</v>
      </c>
      <c r="C64" s="72"/>
      <c r="D64" s="71"/>
      <c r="E64" s="73"/>
      <c r="F64" s="76"/>
      <c r="G64" s="76"/>
      <c r="H64" s="74" t="s">
        <v>122</v>
      </c>
      <c r="I64" s="13"/>
    </row>
    <row r="65" spans="1:9" hidden="1">
      <c r="A65" s="30">
        <v>15</v>
      </c>
      <c r="B65" s="14" t="s">
        <v>44</v>
      </c>
      <c r="C65" s="16" t="s">
        <v>98</v>
      </c>
      <c r="D65" s="14" t="s">
        <v>178</v>
      </c>
      <c r="E65" s="18">
        <v>8</v>
      </c>
      <c r="F65" s="65">
        <f>SUM(E65)</f>
        <v>8</v>
      </c>
      <c r="G65" s="34">
        <v>303.35000000000002</v>
      </c>
      <c r="H65" s="61">
        <f t="shared" ref="H65:H82" si="10">SUM(F65*G65/1000)</f>
        <v>2.4268000000000001</v>
      </c>
      <c r="I65" s="13">
        <f>G65*1</f>
        <v>303.35000000000002</v>
      </c>
    </row>
    <row r="66" spans="1:9" hidden="1">
      <c r="A66" s="30"/>
      <c r="B66" s="14" t="s">
        <v>45</v>
      </c>
      <c r="C66" s="16" t="s">
        <v>98</v>
      </c>
      <c r="D66" s="14" t="s">
        <v>63</v>
      </c>
      <c r="E66" s="18">
        <v>4</v>
      </c>
      <c r="F66" s="65">
        <f>SUM(E66)</f>
        <v>4</v>
      </c>
      <c r="G66" s="34">
        <v>104.01</v>
      </c>
      <c r="H66" s="61">
        <f t="shared" si="10"/>
        <v>0.41604000000000002</v>
      </c>
      <c r="I66" s="13">
        <v>0</v>
      </c>
    </row>
    <row r="67" spans="1:9" hidden="1">
      <c r="A67" s="30">
        <v>28</v>
      </c>
      <c r="B67" s="14" t="s">
        <v>46</v>
      </c>
      <c r="C67" s="16" t="s">
        <v>100</v>
      </c>
      <c r="D67" s="14" t="s">
        <v>51</v>
      </c>
      <c r="E67" s="64">
        <v>9962</v>
      </c>
      <c r="F67" s="13">
        <f>SUM(E67/100)</f>
        <v>99.62</v>
      </c>
      <c r="G67" s="34">
        <v>289.37</v>
      </c>
      <c r="H67" s="61">
        <f t="shared" si="10"/>
        <v>28.8270394</v>
      </c>
      <c r="I67" s="13">
        <f>F67*G67</f>
        <v>28827.039400000001</v>
      </c>
    </row>
    <row r="68" spans="1:9" hidden="1">
      <c r="A68" s="30">
        <v>29</v>
      </c>
      <c r="B68" s="14" t="s">
        <v>47</v>
      </c>
      <c r="C68" s="16" t="s">
        <v>101</v>
      </c>
      <c r="D68" s="14"/>
      <c r="E68" s="64">
        <v>9962</v>
      </c>
      <c r="F68" s="13">
        <f>SUM(E68/1000)</f>
        <v>9.9619999999999997</v>
      </c>
      <c r="G68" s="34">
        <v>225.35</v>
      </c>
      <c r="H68" s="61">
        <f t="shared" si="10"/>
        <v>2.2449366999999998</v>
      </c>
      <c r="I68" s="13">
        <f t="shared" ref="I68:I72" si="11">F68*G68</f>
        <v>2244.9366999999997</v>
      </c>
    </row>
    <row r="69" spans="1:9" hidden="1">
      <c r="A69" s="30">
        <v>30</v>
      </c>
      <c r="B69" s="14" t="s">
        <v>48</v>
      </c>
      <c r="C69" s="16" t="s">
        <v>72</v>
      </c>
      <c r="D69" s="14" t="s">
        <v>51</v>
      </c>
      <c r="E69" s="64">
        <v>806.3</v>
      </c>
      <c r="F69" s="13">
        <f>SUM(E69/100)</f>
        <v>8.0629999999999988</v>
      </c>
      <c r="G69" s="34">
        <v>2829.78</v>
      </c>
      <c r="H69" s="61">
        <f t="shared" si="10"/>
        <v>22.816516140000001</v>
      </c>
      <c r="I69" s="13">
        <f t="shared" si="11"/>
        <v>22816.51614</v>
      </c>
    </row>
    <row r="70" spans="1:9" hidden="1">
      <c r="A70" s="30">
        <v>31</v>
      </c>
      <c r="B70" s="89" t="s">
        <v>102</v>
      </c>
      <c r="C70" s="90" t="s">
        <v>32</v>
      </c>
      <c r="D70" s="91"/>
      <c r="E70" s="73">
        <v>9.4</v>
      </c>
      <c r="F70" s="92">
        <f>SUM(E70)</f>
        <v>9.4</v>
      </c>
      <c r="G70" s="133">
        <v>44.31</v>
      </c>
      <c r="H70" s="93">
        <f t="shared" si="10"/>
        <v>0.416514</v>
      </c>
      <c r="I70" s="13">
        <f t="shared" si="11"/>
        <v>416.51400000000001</v>
      </c>
    </row>
    <row r="71" spans="1:9" hidden="1">
      <c r="A71" s="30"/>
      <c r="B71" s="77" t="s">
        <v>103</v>
      </c>
      <c r="C71" s="16" t="s">
        <v>32</v>
      </c>
      <c r="D71" s="14"/>
      <c r="E71" s="18">
        <v>9.4</v>
      </c>
      <c r="F71" s="92">
        <f t="shared" ref="F71:F74" si="12">SUM(E71)</f>
        <v>9.4</v>
      </c>
      <c r="G71" s="34">
        <v>47.79</v>
      </c>
      <c r="H71" s="13">
        <f t="shared" si="10"/>
        <v>0.44922600000000001</v>
      </c>
      <c r="I71" s="13">
        <f t="shared" si="11"/>
        <v>449.226</v>
      </c>
    </row>
    <row r="72" spans="1:9" hidden="1">
      <c r="A72" s="30">
        <v>18</v>
      </c>
      <c r="B72" s="14" t="s">
        <v>54</v>
      </c>
      <c r="C72" s="16" t="s">
        <v>55</v>
      </c>
      <c r="D72" s="14" t="s">
        <v>51</v>
      </c>
      <c r="E72" s="18">
        <v>2</v>
      </c>
      <c r="F72" s="92">
        <f t="shared" si="12"/>
        <v>2</v>
      </c>
      <c r="G72" s="34">
        <v>68.040000000000006</v>
      </c>
      <c r="H72" s="13">
        <f t="shared" si="10"/>
        <v>0.13608000000000001</v>
      </c>
      <c r="I72" s="13">
        <f t="shared" si="11"/>
        <v>136.08000000000001</v>
      </c>
    </row>
    <row r="73" spans="1:9">
      <c r="A73" s="30"/>
      <c r="B73" s="177" t="s">
        <v>68</v>
      </c>
      <c r="C73" s="16"/>
      <c r="D73" s="14"/>
      <c r="E73" s="18"/>
      <c r="F73" s="13"/>
      <c r="G73" s="13"/>
      <c r="H73" s="13" t="s">
        <v>122</v>
      </c>
      <c r="I73" s="13"/>
    </row>
    <row r="74" spans="1:9" ht="30" hidden="1">
      <c r="A74" s="30"/>
      <c r="B74" s="14" t="s">
        <v>143</v>
      </c>
      <c r="C74" s="16" t="s">
        <v>98</v>
      </c>
      <c r="D74" s="14" t="s">
        <v>63</v>
      </c>
      <c r="E74" s="18">
        <v>2</v>
      </c>
      <c r="F74" s="92">
        <f t="shared" si="12"/>
        <v>2</v>
      </c>
      <c r="G74" s="13">
        <v>1543.4</v>
      </c>
      <c r="H74" s="13">
        <f t="shared" ref="H74:H76" si="13">SUM(F74*G74/1000)</f>
        <v>3.0868000000000002</v>
      </c>
      <c r="I74" s="13">
        <v>0</v>
      </c>
    </row>
    <row r="75" spans="1:9" hidden="1">
      <c r="A75" s="30">
        <v>11</v>
      </c>
      <c r="B75" s="14" t="s">
        <v>69</v>
      </c>
      <c r="C75" s="16" t="s">
        <v>70</v>
      </c>
      <c r="D75" s="14" t="s">
        <v>63</v>
      </c>
      <c r="E75" s="18">
        <v>2</v>
      </c>
      <c r="F75" s="13">
        <f>E75/10</f>
        <v>0.2</v>
      </c>
      <c r="G75" s="140">
        <v>684.19</v>
      </c>
      <c r="H75" s="13">
        <f t="shared" si="13"/>
        <v>0.13683800000000002</v>
      </c>
      <c r="I75" s="13">
        <f>G75*0.2</f>
        <v>136.83800000000002</v>
      </c>
    </row>
    <row r="76" spans="1:9" hidden="1">
      <c r="A76" s="30"/>
      <c r="B76" s="14" t="s">
        <v>144</v>
      </c>
      <c r="C76" s="16" t="s">
        <v>98</v>
      </c>
      <c r="D76" s="14" t="s">
        <v>63</v>
      </c>
      <c r="E76" s="18">
        <v>1</v>
      </c>
      <c r="F76" s="13">
        <f>SUM(E76)</f>
        <v>1</v>
      </c>
      <c r="G76" s="13">
        <v>1118.72</v>
      </c>
      <c r="H76" s="13">
        <f t="shared" si="13"/>
        <v>1.1187199999999999</v>
      </c>
      <c r="I76" s="13">
        <v>0</v>
      </c>
    </row>
    <row r="77" spans="1:9" hidden="1">
      <c r="A77" s="30"/>
      <c r="B77" s="46" t="s">
        <v>145</v>
      </c>
      <c r="C77" s="49" t="s">
        <v>98</v>
      </c>
      <c r="D77" s="14" t="s">
        <v>63</v>
      </c>
      <c r="E77" s="18">
        <v>1</v>
      </c>
      <c r="F77" s="13">
        <v>1</v>
      </c>
      <c r="G77" s="13">
        <v>1605.83</v>
      </c>
      <c r="H77" s="13">
        <f>SUM(F77*G77/1000)</f>
        <v>1.6058299999999999</v>
      </c>
      <c r="I77" s="13">
        <v>0</v>
      </c>
    </row>
    <row r="78" spans="1:9" ht="15" customHeight="1">
      <c r="A78" s="30">
        <v>13</v>
      </c>
      <c r="B78" s="46" t="s">
        <v>146</v>
      </c>
      <c r="C78" s="49" t="s">
        <v>98</v>
      </c>
      <c r="D78" s="14" t="s">
        <v>184</v>
      </c>
      <c r="E78" s="18">
        <v>1</v>
      </c>
      <c r="F78" s="13">
        <f>E78*12</f>
        <v>12</v>
      </c>
      <c r="G78" s="13">
        <v>55.55</v>
      </c>
      <c r="H78" s="13">
        <f t="shared" ref="H78" si="14">SUM(F78*G78/1000)</f>
        <v>0.66659999999999986</v>
      </c>
      <c r="I78" s="13">
        <f>F78/12*G78</f>
        <v>55.55</v>
      </c>
    </row>
    <row r="79" spans="1:9" ht="18.75" customHeight="1">
      <c r="A79" s="30"/>
      <c r="B79" s="100" t="s">
        <v>147</v>
      </c>
      <c r="C79" s="49"/>
      <c r="D79" s="14"/>
      <c r="E79" s="18"/>
      <c r="F79" s="13"/>
      <c r="G79" s="13"/>
      <c r="H79" s="61"/>
      <c r="I79" s="13"/>
    </row>
    <row r="80" spans="1:9" ht="18" customHeight="1">
      <c r="A80" s="30">
        <v>14</v>
      </c>
      <c r="B80" s="14" t="s">
        <v>148</v>
      </c>
      <c r="C80" s="30" t="s">
        <v>149</v>
      </c>
      <c r="D80" s="14"/>
      <c r="E80" s="18">
        <v>2409</v>
      </c>
      <c r="F80" s="13">
        <f>SUM(E80*12)</f>
        <v>28908</v>
      </c>
      <c r="G80" s="13">
        <v>2.37</v>
      </c>
      <c r="H80" s="61">
        <f t="shared" ref="H80" si="15">SUM(F80*G80/1000)</f>
        <v>68.511960000000002</v>
      </c>
      <c r="I80" s="13">
        <f>F80/12*G80</f>
        <v>5709.33</v>
      </c>
    </row>
    <row r="81" spans="1:9" hidden="1">
      <c r="A81" s="30"/>
      <c r="B81" s="79" t="s">
        <v>71</v>
      </c>
      <c r="C81" s="16"/>
      <c r="D81" s="14"/>
      <c r="E81" s="18"/>
      <c r="F81" s="13"/>
      <c r="G81" s="13" t="s">
        <v>122</v>
      </c>
      <c r="H81" s="13" t="s">
        <v>122</v>
      </c>
      <c r="I81" s="13"/>
    </row>
    <row r="82" spans="1:9" hidden="1">
      <c r="A82" s="30"/>
      <c r="B82" s="43" t="s">
        <v>111</v>
      </c>
      <c r="C82" s="16" t="s">
        <v>72</v>
      </c>
      <c r="D82" s="14"/>
      <c r="E82" s="18"/>
      <c r="F82" s="13">
        <v>0.1</v>
      </c>
      <c r="G82" s="13">
        <v>3619.09</v>
      </c>
      <c r="H82" s="13">
        <f t="shared" si="10"/>
        <v>0.36190900000000004</v>
      </c>
      <c r="I82" s="13">
        <v>0</v>
      </c>
    </row>
    <row r="83" spans="1:9" ht="18" customHeight="1">
      <c r="A83" s="30"/>
      <c r="B83" s="101" t="s">
        <v>86</v>
      </c>
      <c r="C83" s="94"/>
      <c r="D83" s="95"/>
      <c r="E83" s="96"/>
      <c r="F83" s="97"/>
      <c r="G83" s="97"/>
      <c r="H83" s="98">
        <f>SUM(H58:H82)</f>
        <v>142.22247039999999</v>
      </c>
      <c r="I83" s="68"/>
    </row>
    <row r="84" spans="1:9">
      <c r="A84" s="30">
        <v>15</v>
      </c>
      <c r="B84" s="62" t="s">
        <v>104</v>
      </c>
      <c r="C84" s="16"/>
      <c r="D84" s="14"/>
      <c r="E84" s="57"/>
      <c r="F84" s="13">
        <v>1</v>
      </c>
      <c r="G84" s="13">
        <v>62.9</v>
      </c>
      <c r="H84" s="61">
        <f>G84*F84/1000</f>
        <v>6.2899999999999998E-2</v>
      </c>
      <c r="I84" s="13">
        <f>G84</f>
        <v>62.9</v>
      </c>
    </row>
    <row r="85" spans="1:9">
      <c r="A85" s="225" t="s">
        <v>126</v>
      </c>
      <c r="B85" s="226"/>
      <c r="C85" s="226"/>
      <c r="D85" s="226"/>
      <c r="E85" s="226"/>
      <c r="F85" s="226"/>
      <c r="G85" s="226"/>
      <c r="H85" s="226"/>
      <c r="I85" s="227"/>
    </row>
    <row r="86" spans="1:9" ht="18.75" customHeight="1">
      <c r="A86" s="30">
        <v>16</v>
      </c>
      <c r="B86" s="62" t="s">
        <v>105</v>
      </c>
      <c r="C86" s="16" t="s">
        <v>52</v>
      </c>
      <c r="D86" s="99"/>
      <c r="E86" s="13">
        <v>2409</v>
      </c>
      <c r="F86" s="13">
        <f>SUM(E86*12)</f>
        <v>28908</v>
      </c>
      <c r="G86" s="13">
        <v>3.22</v>
      </c>
      <c r="H86" s="61">
        <f>SUM(F86*G86/1000)</f>
        <v>93.083760000000012</v>
      </c>
      <c r="I86" s="13">
        <f>F86/12*G86</f>
        <v>7756.9800000000005</v>
      </c>
    </row>
    <row r="87" spans="1:9" ht="31.5" customHeight="1">
      <c r="A87" s="30">
        <v>17</v>
      </c>
      <c r="B87" s="14" t="s">
        <v>73</v>
      </c>
      <c r="C87" s="16"/>
      <c r="D87" s="99"/>
      <c r="E87" s="64">
        <f>E86</f>
        <v>2409</v>
      </c>
      <c r="F87" s="13">
        <f>E87*12</f>
        <v>28908</v>
      </c>
      <c r="G87" s="13">
        <v>3.64</v>
      </c>
      <c r="H87" s="61">
        <f>F87*G87/1000</f>
        <v>105.22512</v>
      </c>
      <c r="I87" s="13">
        <f>F87/12*G87</f>
        <v>8768.76</v>
      </c>
    </row>
    <row r="88" spans="1:9">
      <c r="A88" s="30"/>
      <c r="B88" s="36" t="s">
        <v>75</v>
      </c>
      <c r="C88" s="79"/>
      <c r="D88" s="78"/>
      <c r="E88" s="68"/>
      <c r="F88" s="68"/>
      <c r="G88" s="68"/>
      <c r="H88" s="80">
        <f>H87</f>
        <v>105.22512</v>
      </c>
      <c r="I88" s="68">
        <f>I87+I86+I84+I80+I78+I63+I52+I46+I43+I42+I41+I39+I27+I18+I17+I16</f>
        <v>40319.396272999998</v>
      </c>
    </row>
    <row r="89" spans="1:9">
      <c r="A89" s="230" t="s">
        <v>57</v>
      </c>
      <c r="B89" s="231"/>
      <c r="C89" s="231"/>
      <c r="D89" s="231"/>
      <c r="E89" s="231"/>
      <c r="F89" s="231"/>
      <c r="G89" s="231"/>
      <c r="H89" s="231"/>
      <c r="I89" s="232"/>
    </row>
    <row r="90" spans="1:9" ht="30">
      <c r="A90" s="186">
        <v>18</v>
      </c>
      <c r="B90" s="47" t="s">
        <v>123</v>
      </c>
      <c r="C90" s="48" t="s">
        <v>112</v>
      </c>
      <c r="D90" s="115" t="s">
        <v>280</v>
      </c>
      <c r="E90" s="34"/>
      <c r="F90" s="34">
        <v>2</v>
      </c>
      <c r="G90" s="34">
        <v>670.51</v>
      </c>
      <c r="H90" s="224"/>
      <c r="I90" s="185">
        <f>G90*1</f>
        <v>670.51</v>
      </c>
    </row>
    <row r="91" spans="1:9" ht="32.25" customHeight="1">
      <c r="A91" s="186">
        <v>19</v>
      </c>
      <c r="B91" s="47" t="s">
        <v>197</v>
      </c>
      <c r="C91" s="48" t="s">
        <v>129</v>
      </c>
      <c r="D91" s="35" t="s">
        <v>279</v>
      </c>
      <c r="E91" s="34"/>
      <c r="F91" s="34">
        <v>74</v>
      </c>
      <c r="G91" s="34">
        <v>1523.6</v>
      </c>
      <c r="H91" s="224"/>
      <c r="I91" s="185">
        <f>G91*4</f>
        <v>6094.4</v>
      </c>
    </row>
    <row r="92" spans="1:9" ht="30" customHeight="1">
      <c r="A92" s="186">
        <v>20</v>
      </c>
      <c r="B92" s="47" t="s">
        <v>156</v>
      </c>
      <c r="C92" s="48" t="s">
        <v>36</v>
      </c>
      <c r="D92" s="115" t="s">
        <v>178</v>
      </c>
      <c r="E92" s="34"/>
      <c r="F92" s="34">
        <v>0.02</v>
      </c>
      <c r="G92" s="34">
        <v>4070.89</v>
      </c>
      <c r="H92" s="224"/>
      <c r="I92" s="185">
        <v>0</v>
      </c>
    </row>
    <row r="93" spans="1:9" ht="15" customHeight="1">
      <c r="A93" s="186">
        <v>21</v>
      </c>
      <c r="B93" s="47" t="s">
        <v>248</v>
      </c>
      <c r="C93" s="48" t="s">
        <v>77</v>
      </c>
      <c r="D93" s="115" t="s">
        <v>192</v>
      </c>
      <c r="E93" s="34"/>
      <c r="F93" s="34">
        <v>3</v>
      </c>
      <c r="G93" s="34">
        <v>269.91000000000003</v>
      </c>
      <c r="H93" s="224"/>
      <c r="I93" s="185">
        <f>G93*2</f>
        <v>539.82000000000005</v>
      </c>
    </row>
    <row r="94" spans="1:9" ht="17.25" customHeight="1">
      <c r="A94" s="186">
        <v>22</v>
      </c>
      <c r="B94" s="47" t="s">
        <v>227</v>
      </c>
      <c r="C94" s="48" t="s">
        <v>77</v>
      </c>
      <c r="D94" s="115" t="s">
        <v>278</v>
      </c>
      <c r="E94" s="34"/>
      <c r="F94" s="34">
        <v>6</v>
      </c>
      <c r="G94" s="34">
        <v>222.63</v>
      </c>
      <c r="H94" s="224"/>
      <c r="I94" s="185">
        <f>G94*1</f>
        <v>222.63</v>
      </c>
    </row>
    <row r="95" spans="1:9" ht="15" customHeight="1">
      <c r="A95" s="186">
        <v>23</v>
      </c>
      <c r="B95" s="47" t="s">
        <v>257</v>
      </c>
      <c r="C95" s="48" t="s">
        <v>38</v>
      </c>
      <c r="D95" s="115" t="s">
        <v>178</v>
      </c>
      <c r="E95" s="34"/>
      <c r="F95" s="34">
        <v>0.03</v>
      </c>
      <c r="G95" s="34">
        <v>27139.18</v>
      </c>
      <c r="H95" s="224"/>
      <c r="I95" s="185">
        <v>0</v>
      </c>
    </row>
    <row r="96" spans="1:9" ht="13.5" customHeight="1">
      <c r="A96" s="186">
        <v>24</v>
      </c>
      <c r="B96" s="156" t="s">
        <v>276</v>
      </c>
      <c r="C96" s="157" t="s">
        <v>129</v>
      </c>
      <c r="D96" s="115" t="s">
        <v>298</v>
      </c>
      <c r="E96" s="34"/>
      <c r="F96" s="34">
        <v>7</v>
      </c>
      <c r="G96" s="34">
        <v>284</v>
      </c>
      <c r="H96" s="224"/>
      <c r="I96" s="185">
        <v>0</v>
      </c>
    </row>
    <row r="97" spans="1:9" ht="16.5" customHeight="1">
      <c r="A97" s="186">
        <v>25</v>
      </c>
      <c r="B97" s="47" t="s">
        <v>277</v>
      </c>
      <c r="C97" s="48" t="s">
        <v>98</v>
      </c>
      <c r="D97" s="115"/>
      <c r="E97" s="34"/>
      <c r="F97" s="34">
        <v>1</v>
      </c>
      <c r="G97" s="34">
        <v>1332.01</v>
      </c>
      <c r="H97" s="224"/>
      <c r="I97" s="185">
        <f>G97*1</f>
        <v>1332.01</v>
      </c>
    </row>
    <row r="98" spans="1:9" ht="15" customHeight="1">
      <c r="A98" s="186">
        <v>26</v>
      </c>
      <c r="B98" s="47" t="s">
        <v>153</v>
      </c>
      <c r="C98" s="48" t="s">
        <v>98</v>
      </c>
      <c r="D98" s="115"/>
      <c r="E98" s="34"/>
      <c r="F98" s="34">
        <v>7</v>
      </c>
      <c r="G98" s="34">
        <v>215.85</v>
      </c>
      <c r="H98" s="224"/>
      <c r="I98" s="185">
        <f>G98*1</f>
        <v>215.85</v>
      </c>
    </row>
    <row r="99" spans="1:9" ht="15" customHeight="1">
      <c r="A99" s="30"/>
      <c r="B99" s="41" t="s">
        <v>49</v>
      </c>
      <c r="C99" s="37"/>
      <c r="D99" s="44"/>
      <c r="E99" s="37">
        <v>1</v>
      </c>
      <c r="F99" s="37"/>
      <c r="G99" s="37"/>
      <c r="H99" s="37"/>
      <c r="I99" s="32">
        <f>SUM(I90:I98)</f>
        <v>9075.2199999999993</v>
      </c>
    </row>
    <row r="100" spans="1:9">
      <c r="A100" s="30"/>
      <c r="B100" s="43" t="s">
        <v>74</v>
      </c>
      <c r="C100" s="15"/>
      <c r="D100" s="15"/>
      <c r="E100" s="38"/>
      <c r="F100" s="38"/>
      <c r="G100" s="39"/>
      <c r="H100" s="39"/>
      <c r="I100" s="17">
        <v>0</v>
      </c>
    </row>
    <row r="101" spans="1:9">
      <c r="A101" s="45"/>
      <c r="B101" s="42" t="s">
        <v>133</v>
      </c>
      <c r="C101" s="33"/>
      <c r="D101" s="33"/>
      <c r="E101" s="33"/>
      <c r="F101" s="33"/>
      <c r="G101" s="33"/>
      <c r="H101" s="33"/>
      <c r="I101" s="40">
        <f>I88+I99</f>
        <v>49394.616273</v>
      </c>
    </row>
    <row r="102" spans="1:9" ht="15.75">
      <c r="A102" s="235" t="s">
        <v>299</v>
      </c>
      <c r="B102" s="235"/>
      <c r="C102" s="235"/>
      <c r="D102" s="235"/>
      <c r="E102" s="235"/>
      <c r="F102" s="235"/>
      <c r="G102" s="235"/>
      <c r="H102" s="235"/>
      <c r="I102" s="235"/>
    </row>
    <row r="103" spans="1:9" ht="15.75">
      <c r="A103" s="55"/>
      <c r="B103" s="236" t="s">
        <v>300</v>
      </c>
      <c r="C103" s="236"/>
      <c r="D103" s="236"/>
      <c r="E103" s="236"/>
      <c r="F103" s="236"/>
      <c r="G103" s="236"/>
      <c r="H103" s="60"/>
      <c r="I103" s="3"/>
    </row>
    <row r="104" spans="1:9">
      <c r="A104" s="175"/>
      <c r="B104" s="237" t="s">
        <v>6</v>
      </c>
      <c r="C104" s="237"/>
      <c r="D104" s="237"/>
      <c r="E104" s="237"/>
      <c r="F104" s="237"/>
      <c r="G104" s="237"/>
      <c r="H104" s="25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238" t="s">
        <v>7</v>
      </c>
      <c r="B106" s="238"/>
      <c r="C106" s="238"/>
      <c r="D106" s="238"/>
      <c r="E106" s="238"/>
      <c r="F106" s="238"/>
      <c r="G106" s="238"/>
      <c r="H106" s="238"/>
      <c r="I106" s="238"/>
    </row>
    <row r="107" spans="1:9" ht="15.75">
      <c r="A107" s="238" t="s">
        <v>8</v>
      </c>
      <c r="B107" s="238"/>
      <c r="C107" s="238"/>
      <c r="D107" s="238"/>
      <c r="E107" s="238"/>
      <c r="F107" s="238"/>
      <c r="G107" s="238"/>
      <c r="H107" s="238"/>
      <c r="I107" s="238"/>
    </row>
    <row r="108" spans="1:9" ht="15.75">
      <c r="A108" s="239" t="s">
        <v>58</v>
      </c>
      <c r="B108" s="239"/>
      <c r="C108" s="239"/>
      <c r="D108" s="239"/>
      <c r="E108" s="239"/>
      <c r="F108" s="239"/>
      <c r="G108" s="239"/>
      <c r="H108" s="239"/>
      <c r="I108" s="239"/>
    </row>
    <row r="109" spans="1:9" ht="15.75">
      <c r="A109" s="11"/>
    </row>
    <row r="110" spans="1:9" ht="15.75">
      <c r="A110" s="240" t="s">
        <v>9</v>
      </c>
      <c r="B110" s="240"/>
      <c r="C110" s="240"/>
      <c r="D110" s="240"/>
      <c r="E110" s="240"/>
      <c r="F110" s="240"/>
      <c r="G110" s="240"/>
      <c r="H110" s="240"/>
      <c r="I110" s="240"/>
    </row>
    <row r="111" spans="1:9" ht="15.75">
      <c r="A111" s="4"/>
    </row>
    <row r="112" spans="1:9" ht="15.75">
      <c r="B112" s="180" t="s">
        <v>10</v>
      </c>
      <c r="C112" s="241" t="s">
        <v>267</v>
      </c>
      <c r="D112" s="241"/>
      <c r="E112" s="241"/>
      <c r="F112" s="58"/>
      <c r="I112" s="178"/>
    </row>
    <row r="113" spans="1:9">
      <c r="A113" s="175"/>
      <c r="C113" s="237" t="s">
        <v>11</v>
      </c>
      <c r="D113" s="237"/>
      <c r="E113" s="237"/>
      <c r="F113" s="25"/>
      <c r="I113" s="179" t="s">
        <v>12</v>
      </c>
    </row>
    <row r="114" spans="1:9" ht="15.75">
      <c r="A114" s="26"/>
      <c r="C114" s="12"/>
      <c r="D114" s="12"/>
      <c r="G114" s="12"/>
      <c r="H114" s="12"/>
    </row>
    <row r="115" spans="1:9" ht="15.75">
      <c r="B115" s="180" t="s">
        <v>13</v>
      </c>
      <c r="C115" s="233"/>
      <c r="D115" s="233"/>
      <c r="E115" s="233"/>
      <c r="F115" s="59"/>
      <c r="I115" s="178"/>
    </row>
    <row r="116" spans="1:9">
      <c r="A116" s="175"/>
      <c r="C116" s="234" t="s">
        <v>11</v>
      </c>
      <c r="D116" s="234"/>
      <c r="E116" s="234"/>
      <c r="F116" s="175"/>
      <c r="I116" s="179" t="s">
        <v>12</v>
      </c>
    </row>
    <row r="117" spans="1:9" ht="15.75">
      <c r="A117" s="4" t="s">
        <v>14</v>
      </c>
    </row>
    <row r="118" spans="1:9">
      <c r="A118" s="228" t="s">
        <v>15</v>
      </c>
      <c r="B118" s="228"/>
      <c r="C118" s="228"/>
      <c r="D118" s="228"/>
      <c r="E118" s="228"/>
      <c r="F118" s="228"/>
      <c r="G118" s="228"/>
      <c r="H118" s="228"/>
      <c r="I118" s="228"/>
    </row>
    <row r="119" spans="1:9" ht="15.75">
      <c r="A119" s="229" t="s">
        <v>16</v>
      </c>
      <c r="B119" s="229"/>
      <c r="C119" s="229"/>
      <c r="D119" s="229"/>
      <c r="E119" s="229"/>
      <c r="F119" s="229"/>
      <c r="G119" s="229"/>
      <c r="H119" s="229"/>
      <c r="I119" s="229"/>
    </row>
    <row r="120" spans="1:9" ht="15.75">
      <c r="A120" s="229" t="s">
        <v>17</v>
      </c>
      <c r="B120" s="229"/>
      <c r="C120" s="229"/>
      <c r="D120" s="229"/>
      <c r="E120" s="229"/>
      <c r="F120" s="229"/>
      <c r="G120" s="229"/>
      <c r="H120" s="229"/>
      <c r="I120" s="229"/>
    </row>
    <row r="121" spans="1:9" ht="15.75">
      <c r="A121" s="229" t="s">
        <v>21</v>
      </c>
      <c r="B121" s="229"/>
      <c r="C121" s="229"/>
      <c r="D121" s="229"/>
      <c r="E121" s="229"/>
      <c r="F121" s="229"/>
      <c r="G121" s="229"/>
      <c r="H121" s="229"/>
      <c r="I121" s="229"/>
    </row>
    <row r="122" spans="1:9" ht="15.75">
      <c r="A122" s="229" t="s">
        <v>20</v>
      </c>
      <c r="B122" s="229"/>
      <c r="C122" s="229"/>
      <c r="D122" s="229"/>
      <c r="E122" s="229"/>
      <c r="F122" s="229"/>
      <c r="G122" s="229"/>
      <c r="H122" s="229"/>
      <c r="I122" s="229"/>
    </row>
  </sheetData>
  <mergeCells count="28">
    <mergeCell ref="A120:I120"/>
    <mergeCell ref="A121:I121"/>
    <mergeCell ref="A122:I122"/>
    <mergeCell ref="A47:I47"/>
    <mergeCell ref="C112:E112"/>
    <mergeCell ref="C113:E113"/>
    <mergeCell ref="C115:E115"/>
    <mergeCell ref="C116:E116"/>
    <mergeCell ref="A118:I118"/>
    <mergeCell ref="A119:I119"/>
    <mergeCell ref="B103:G103"/>
    <mergeCell ref="B104:G104"/>
    <mergeCell ref="A106:I106"/>
    <mergeCell ref="A107:I107"/>
    <mergeCell ref="A108:I108"/>
    <mergeCell ref="A110:I110"/>
    <mergeCell ref="A102:I102"/>
    <mergeCell ref="A3:I3"/>
    <mergeCell ref="A4:I4"/>
    <mergeCell ref="A5:I5"/>
    <mergeCell ref="A8:I8"/>
    <mergeCell ref="A10:I10"/>
    <mergeCell ref="A14:I14"/>
    <mergeCell ref="A15:I15"/>
    <mergeCell ref="A29:I29"/>
    <mergeCell ref="A56:I56"/>
    <mergeCell ref="A85:I85"/>
    <mergeCell ref="A89:I89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20"/>
  <sheetViews>
    <sheetView topLeftCell="A95" workbookViewId="0">
      <selection activeCell="A104" sqref="A104:I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43" t="s">
        <v>131</v>
      </c>
      <c r="B3" s="243"/>
      <c r="C3" s="243"/>
      <c r="D3" s="243"/>
      <c r="E3" s="243"/>
      <c r="F3" s="243"/>
      <c r="G3" s="243"/>
      <c r="H3" s="243"/>
      <c r="I3" s="243"/>
      <c r="J3" s="3"/>
      <c r="K3" s="3"/>
      <c r="L3" s="3"/>
    </row>
    <row r="4" spans="1:13" ht="31.5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13" ht="15.75">
      <c r="A5" s="243" t="s">
        <v>205</v>
      </c>
      <c r="B5" s="245"/>
      <c r="C5" s="245"/>
      <c r="D5" s="245"/>
      <c r="E5" s="245"/>
      <c r="F5" s="245"/>
      <c r="G5" s="245"/>
      <c r="H5" s="245"/>
      <c r="I5" s="245"/>
      <c r="J5" s="2"/>
      <c r="K5" s="2"/>
      <c r="L5" s="2"/>
      <c r="M5" s="2"/>
    </row>
    <row r="6" spans="1:13" ht="15.75">
      <c r="A6" s="2"/>
      <c r="B6" s="88"/>
      <c r="C6" s="88"/>
      <c r="D6" s="88"/>
      <c r="E6" s="88"/>
      <c r="F6" s="88"/>
      <c r="G6" s="88"/>
      <c r="H6" s="88"/>
      <c r="I6" s="31">
        <v>43890</v>
      </c>
      <c r="J6" s="2"/>
      <c r="K6" s="2"/>
      <c r="L6" s="2"/>
      <c r="M6" s="2"/>
    </row>
    <row r="7" spans="1:13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46" t="s">
        <v>172</v>
      </c>
      <c r="B8" s="246"/>
      <c r="C8" s="246"/>
      <c r="D8" s="246"/>
      <c r="E8" s="246"/>
      <c r="F8" s="246"/>
      <c r="G8" s="246"/>
      <c r="H8" s="246"/>
      <c r="I8" s="2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  <c r="J14" s="8"/>
      <c r="K14" s="8"/>
      <c r="L14" s="8"/>
      <c r="M14" s="8"/>
    </row>
    <row r="15" spans="1:13" ht="15.75" customHeight="1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  <c r="J15" s="8"/>
      <c r="K15" s="8"/>
      <c r="L15" s="8"/>
      <c r="M15" s="8"/>
    </row>
    <row r="16" spans="1:13" ht="15.75" customHeight="1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25" si="0">SUM(F16*G16/1000)</f>
        <v>25.337020800000001</v>
      </c>
      <c r="I16" s="13">
        <f>F16/12*G16</f>
        <v>2111.4184000000005</v>
      </c>
      <c r="J16" s="22"/>
      <c r="K16" s="8"/>
      <c r="L16" s="8"/>
      <c r="M16" s="8"/>
    </row>
    <row r="17" spans="1:13" ht="15.75" customHeight="1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  <c r="J17" s="23"/>
      <c r="K17" s="8"/>
      <c r="L17" s="8"/>
      <c r="M17" s="8"/>
    </row>
    <row r="18" spans="1:13" ht="15.75" customHeight="1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21.1</v>
      </c>
      <c r="F19" s="65">
        <f>SUM(E19/10)</f>
        <v>2.1100000000000003</v>
      </c>
      <c r="G19" s="65">
        <v>223.17</v>
      </c>
      <c r="H19" s="66">
        <f t="shared" si="0"/>
        <v>0.47088870000000005</v>
      </c>
      <c r="I19" s="13">
        <f>F19*G19</f>
        <v>470.88870000000003</v>
      </c>
      <c r="J19" s="23"/>
      <c r="K19" s="8"/>
      <c r="L19" s="8"/>
      <c r="M19" s="8"/>
    </row>
    <row r="20" spans="1:13" ht="15.75" hidden="1" customHeight="1">
      <c r="A20" s="30">
        <v>4</v>
      </c>
      <c r="B20" s="155" t="s">
        <v>90</v>
      </c>
      <c r="C20" s="182" t="s">
        <v>80</v>
      </c>
      <c r="D20" s="155" t="s">
        <v>40</v>
      </c>
      <c r="E20" s="128">
        <v>7</v>
      </c>
      <c r="F20" s="129">
        <v>0.14000000000000001</v>
      </c>
      <c r="G20" s="129">
        <v>297.19</v>
      </c>
      <c r="H20" s="66">
        <f t="shared" si="0"/>
        <v>4.1606600000000001E-2</v>
      </c>
      <c r="I20" s="13">
        <f>F20/12*G20</f>
        <v>3.4672166666666668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40</v>
      </c>
      <c r="E21" s="64">
        <v>2.4</v>
      </c>
      <c r="F21" s="65">
        <f>SUM(E21*2/100)</f>
        <v>4.8000000000000001E-2</v>
      </c>
      <c r="G21" s="65">
        <v>283.44</v>
      </c>
      <c r="H21" s="66">
        <f t="shared" si="0"/>
        <v>1.360512E-2</v>
      </c>
      <c r="I21" s="13">
        <f>F21/2*G21</f>
        <v>6.8025599999999997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50</v>
      </c>
      <c r="D22" s="62" t="s">
        <v>89</v>
      </c>
      <c r="E22" s="64">
        <v>317</v>
      </c>
      <c r="F22" s="65">
        <f>SUM(E22/100)</f>
        <v>3.17</v>
      </c>
      <c r="G22" s="65">
        <v>353.14</v>
      </c>
      <c r="H22" s="66">
        <f t="shared" si="0"/>
        <v>1.1194538000000001</v>
      </c>
      <c r="I22" s="13">
        <f>F22*G22</f>
        <v>1119.4538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50</v>
      </c>
      <c r="D23" s="62" t="s">
        <v>89</v>
      </c>
      <c r="E23" s="67">
        <v>24.15</v>
      </c>
      <c r="F23" s="65">
        <f>SUM(E23/100)</f>
        <v>0.24149999999999999</v>
      </c>
      <c r="G23" s="65">
        <v>58.08</v>
      </c>
      <c r="H23" s="66">
        <f t="shared" si="0"/>
        <v>1.4026319999999998E-2</v>
      </c>
      <c r="I23" s="13">
        <f t="shared" ref="I23:I26" si="1">F23*G23</f>
        <v>14.026319999999998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50</v>
      </c>
      <c r="D24" s="62" t="s">
        <v>51</v>
      </c>
      <c r="E24" s="64">
        <v>10</v>
      </c>
      <c r="F24" s="65">
        <f>SUM(E24/100)</f>
        <v>0.1</v>
      </c>
      <c r="G24" s="65">
        <v>511.12</v>
      </c>
      <c r="H24" s="66">
        <f t="shared" si="0"/>
        <v>5.1112000000000005E-2</v>
      </c>
      <c r="I24" s="13">
        <f t="shared" si="1"/>
        <v>51.112000000000002</v>
      </c>
      <c r="J24" s="23"/>
      <c r="K24" s="8"/>
      <c r="L24" s="8"/>
      <c r="M24" s="8"/>
    </row>
    <row r="25" spans="1:13" ht="15.75" hidden="1" customHeight="1">
      <c r="A25" s="30"/>
      <c r="B25" s="62" t="s">
        <v>95</v>
      </c>
      <c r="C25" s="63" t="s">
        <v>50</v>
      </c>
      <c r="D25" s="62" t="s">
        <v>51</v>
      </c>
      <c r="E25" s="64">
        <v>4.25</v>
      </c>
      <c r="F25" s="65">
        <f>SUM(E25/100)</f>
        <v>4.2500000000000003E-2</v>
      </c>
      <c r="G25" s="65">
        <v>683.05</v>
      </c>
      <c r="H25" s="66">
        <f t="shared" si="0"/>
        <v>2.9029625E-2</v>
      </c>
      <c r="I25" s="13">
        <f t="shared" si="1"/>
        <v>29.029624999999999</v>
      </c>
      <c r="J25" s="23"/>
      <c r="K25" s="8"/>
      <c r="L25" s="8"/>
      <c r="M25" s="8"/>
    </row>
    <row r="26" spans="1:13" ht="15.75" hidden="1" customHeight="1">
      <c r="A26" s="30"/>
      <c r="B26" s="62" t="s">
        <v>110</v>
      </c>
      <c r="C26" s="63" t="s">
        <v>50</v>
      </c>
      <c r="D26" s="62" t="s">
        <v>51</v>
      </c>
      <c r="E26" s="64">
        <v>9.5</v>
      </c>
      <c r="F26" s="65">
        <v>9.5000000000000001E-2</v>
      </c>
      <c r="G26" s="65">
        <v>283.44</v>
      </c>
      <c r="H26" s="66">
        <f>G26*F26/1000</f>
        <v>2.6926800000000001E-2</v>
      </c>
      <c r="I26" s="13">
        <f t="shared" si="1"/>
        <v>26.9268</v>
      </c>
      <c r="J26" s="23"/>
      <c r="K26" s="8"/>
      <c r="L26" s="8"/>
      <c r="M26" s="8"/>
    </row>
    <row r="27" spans="1:13" ht="15.75" customHeight="1">
      <c r="A27" s="30">
        <v>4</v>
      </c>
      <c r="B27" s="155" t="s">
        <v>174</v>
      </c>
      <c r="C27" s="182" t="s">
        <v>25</v>
      </c>
      <c r="D27" s="155" t="s">
        <v>175</v>
      </c>
      <c r="E27" s="205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  <c r="J27" s="24"/>
    </row>
    <row r="28" spans="1:13" ht="15.75" customHeight="1">
      <c r="A28" s="242" t="s">
        <v>78</v>
      </c>
      <c r="B28" s="242"/>
      <c r="C28" s="242"/>
      <c r="D28" s="242"/>
      <c r="E28" s="242"/>
      <c r="F28" s="242"/>
      <c r="G28" s="242"/>
      <c r="H28" s="242"/>
      <c r="I28" s="242"/>
      <c r="J28" s="24"/>
    </row>
    <row r="29" spans="1:13" ht="15.75" hidden="1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hidden="1" customHeight="1">
      <c r="A30" s="30"/>
      <c r="B30" s="62" t="s">
        <v>97</v>
      </c>
      <c r="C30" s="63" t="s">
        <v>82</v>
      </c>
      <c r="D30" s="62" t="s">
        <v>134</v>
      </c>
      <c r="E30" s="65">
        <v>372.4</v>
      </c>
      <c r="F30" s="65">
        <f>SUM(E30*52/1000)</f>
        <v>19.364799999999999</v>
      </c>
      <c r="G30" s="65">
        <v>204.44</v>
      </c>
      <c r="H30" s="66">
        <f t="shared" ref="H30:H36" si="2">SUM(F30*G30/1000)</f>
        <v>3.9589397119999998</v>
      </c>
      <c r="I30" s="13">
        <f>F30/6*G30</f>
        <v>659.82328533333327</v>
      </c>
      <c r="J30" s="23"/>
      <c r="K30" s="8"/>
      <c r="L30" s="8"/>
      <c r="M30" s="8"/>
    </row>
    <row r="31" spans="1:13" ht="31.5" hidden="1" customHeight="1">
      <c r="A31" s="30"/>
      <c r="B31" s="62" t="s">
        <v>108</v>
      </c>
      <c r="C31" s="63" t="s">
        <v>82</v>
      </c>
      <c r="D31" s="62" t="s">
        <v>135</v>
      </c>
      <c r="E31" s="65">
        <v>195.5</v>
      </c>
      <c r="F31" s="65">
        <f>SUM(E31*78/1000)</f>
        <v>15.249000000000001</v>
      </c>
      <c r="G31" s="65">
        <v>339.21</v>
      </c>
      <c r="H31" s="66">
        <f t="shared" si="2"/>
        <v>5.1726132900000001</v>
      </c>
      <c r="I31" s="13">
        <f t="shared" ref="I31:I34" si="3">F31/6*G31</f>
        <v>862.102215</v>
      </c>
      <c r="J31" s="23"/>
      <c r="K31" s="8"/>
      <c r="L31" s="8"/>
      <c r="M31" s="8"/>
    </row>
    <row r="32" spans="1:13" ht="15.75" hidden="1" customHeight="1">
      <c r="A32" s="30"/>
      <c r="B32" s="62" t="s">
        <v>27</v>
      </c>
      <c r="C32" s="63" t="s">
        <v>82</v>
      </c>
      <c r="D32" s="62" t="s">
        <v>51</v>
      </c>
      <c r="E32" s="65">
        <v>372.4</v>
      </c>
      <c r="F32" s="65">
        <f>SUM(E32/1000)</f>
        <v>0.37239999999999995</v>
      </c>
      <c r="G32" s="65">
        <v>3961.23</v>
      </c>
      <c r="H32" s="66">
        <f t="shared" si="2"/>
        <v>1.4751620519999999</v>
      </c>
      <c r="I32" s="13">
        <f>F32*G32</f>
        <v>1475.1620519999999</v>
      </c>
      <c r="J32" s="23"/>
      <c r="K32" s="8"/>
      <c r="L32" s="8"/>
      <c r="M32" s="8"/>
    </row>
    <row r="33" spans="1:14" ht="15.75" hidden="1" customHeight="1">
      <c r="A33" s="30"/>
      <c r="B33" s="62" t="s">
        <v>136</v>
      </c>
      <c r="C33" s="63" t="s">
        <v>38</v>
      </c>
      <c r="D33" s="62" t="s">
        <v>60</v>
      </c>
      <c r="E33" s="65">
        <v>2</v>
      </c>
      <c r="F33" s="65">
        <f>E33*155/100</f>
        <v>3.1</v>
      </c>
      <c r="G33" s="65">
        <v>1707.63</v>
      </c>
      <c r="H33" s="66">
        <f t="shared" si="2"/>
        <v>5.2936529999999999</v>
      </c>
      <c r="I33" s="13">
        <f t="shared" si="3"/>
        <v>882.27550000000019</v>
      </c>
      <c r="J33" s="23"/>
      <c r="K33" s="8"/>
      <c r="L33" s="8"/>
      <c r="M33" s="8"/>
    </row>
    <row r="34" spans="1:14" ht="15.75" hidden="1" customHeight="1">
      <c r="A34" s="30"/>
      <c r="B34" s="62" t="s">
        <v>96</v>
      </c>
      <c r="C34" s="63" t="s">
        <v>30</v>
      </c>
      <c r="D34" s="62" t="s">
        <v>60</v>
      </c>
      <c r="E34" s="69">
        <f>1/3</f>
        <v>0.33333333333333331</v>
      </c>
      <c r="F34" s="65">
        <f>155/3</f>
        <v>51.666666666666664</v>
      </c>
      <c r="G34" s="65">
        <v>74.349999999999994</v>
      </c>
      <c r="H34" s="66">
        <f t="shared" si="2"/>
        <v>3.841416666666666</v>
      </c>
      <c r="I34" s="13">
        <f t="shared" si="3"/>
        <v>640.23611111111109</v>
      </c>
      <c r="J34" s="23"/>
      <c r="K34" s="8"/>
    </row>
    <row r="35" spans="1:14" ht="15.75" hidden="1" customHeight="1">
      <c r="A35" s="30"/>
      <c r="B35" s="62" t="s">
        <v>61</v>
      </c>
      <c r="C35" s="63" t="s">
        <v>32</v>
      </c>
      <c r="D35" s="62" t="s">
        <v>63</v>
      </c>
      <c r="E35" s="64"/>
      <c r="F35" s="65">
        <v>2</v>
      </c>
      <c r="G35" s="65">
        <v>250.92</v>
      </c>
      <c r="H35" s="66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62" t="s">
        <v>62</v>
      </c>
      <c r="C36" s="63" t="s">
        <v>31</v>
      </c>
      <c r="D36" s="62" t="s">
        <v>63</v>
      </c>
      <c r="E36" s="64"/>
      <c r="F36" s="65">
        <v>1</v>
      </c>
      <c r="G36" s="65">
        <v>1490.31</v>
      </c>
      <c r="H36" s="66">
        <f t="shared" si="2"/>
        <v>1.49031</v>
      </c>
      <c r="I36" s="13">
        <v>0</v>
      </c>
      <c r="J36" s="24"/>
    </row>
    <row r="37" spans="1:14" ht="15.75" customHeight="1">
      <c r="A37" s="30"/>
      <c r="B37" s="81" t="s">
        <v>5</v>
      </c>
      <c r="C37" s="63"/>
      <c r="D37" s="62"/>
      <c r="E37" s="64"/>
      <c r="F37" s="65"/>
      <c r="G37" s="65"/>
      <c r="H37" s="66" t="s">
        <v>122</v>
      </c>
      <c r="I37" s="13"/>
      <c r="J37" s="24"/>
      <c r="L37" s="19"/>
      <c r="M37" s="20"/>
      <c r="N37" s="21"/>
    </row>
    <row r="38" spans="1:14" ht="15.75" customHeight="1">
      <c r="A38" s="30">
        <v>5</v>
      </c>
      <c r="B38" s="181" t="s">
        <v>26</v>
      </c>
      <c r="C38" s="182" t="s">
        <v>31</v>
      </c>
      <c r="D38" s="155" t="s">
        <v>206</v>
      </c>
      <c r="E38" s="128"/>
      <c r="F38" s="129">
        <v>5</v>
      </c>
      <c r="G38" s="129">
        <v>2083</v>
      </c>
      <c r="H38" s="66">
        <f t="shared" ref="H38:H45" si="4">SUM(F38*G38/1000)</f>
        <v>10.414999999999999</v>
      </c>
      <c r="I38" s="13">
        <f>G38*0.8</f>
        <v>1666.4</v>
      </c>
      <c r="J38" s="24"/>
      <c r="L38" s="19"/>
      <c r="M38" s="20"/>
      <c r="N38" s="21"/>
    </row>
    <row r="39" spans="1:14" ht="15.75" hidden="1" customHeight="1">
      <c r="A39" s="30">
        <v>9</v>
      </c>
      <c r="B39" s="62" t="s">
        <v>113</v>
      </c>
      <c r="C39" s="63" t="s">
        <v>114</v>
      </c>
      <c r="D39" s="62" t="s">
        <v>63</v>
      </c>
      <c r="E39" s="64"/>
      <c r="F39" s="65">
        <v>26</v>
      </c>
      <c r="G39" s="65">
        <v>314</v>
      </c>
      <c r="H39" s="66">
        <f>G39*F39/1000</f>
        <v>8.1639999999999997</v>
      </c>
      <c r="I39" s="13">
        <v>0</v>
      </c>
      <c r="J39" s="24"/>
      <c r="L39" s="19"/>
      <c r="M39" s="20"/>
      <c r="N39" s="21"/>
    </row>
    <row r="40" spans="1:14" ht="15.75" customHeight="1">
      <c r="A40" s="30">
        <v>6</v>
      </c>
      <c r="B40" s="181" t="s">
        <v>137</v>
      </c>
      <c r="C40" s="183" t="s">
        <v>29</v>
      </c>
      <c r="D40" s="155" t="s">
        <v>179</v>
      </c>
      <c r="E40" s="128">
        <v>88</v>
      </c>
      <c r="F40" s="132">
        <f>E40*30/1000</f>
        <v>2.64</v>
      </c>
      <c r="G40" s="129">
        <v>2868.09</v>
      </c>
      <c r="H40" s="66">
        <f>G40*F40/1000</f>
        <v>7.5717576000000006</v>
      </c>
      <c r="I40" s="13">
        <f>F40/6*G40</f>
        <v>1261.9596000000001</v>
      </c>
      <c r="J40" s="24"/>
      <c r="L40" s="19"/>
      <c r="M40" s="20"/>
      <c r="N40" s="21"/>
    </row>
    <row r="41" spans="1:14" ht="15.75" customHeight="1">
      <c r="A41" s="30">
        <v>7</v>
      </c>
      <c r="B41" s="155" t="s">
        <v>64</v>
      </c>
      <c r="C41" s="182" t="s">
        <v>29</v>
      </c>
      <c r="D41" s="155" t="s">
        <v>180</v>
      </c>
      <c r="E41" s="129">
        <v>93.3</v>
      </c>
      <c r="F41" s="132">
        <f>SUM(E41*155/1000)</f>
        <v>14.461499999999999</v>
      </c>
      <c r="G41" s="129">
        <v>478.42</v>
      </c>
      <c r="H41" s="66">
        <f t="shared" si="4"/>
        <v>6.9186708299999999</v>
      </c>
      <c r="I41" s="13">
        <f>F41/6*G41</f>
        <v>1153.111805</v>
      </c>
      <c r="J41" s="24"/>
      <c r="L41" s="19"/>
      <c r="M41" s="20"/>
      <c r="N41" s="21"/>
    </row>
    <row r="42" spans="1:14" ht="47.25" customHeight="1">
      <c r="A42" s="30">
        <v>8</v>
      </c>
      <c r="B42" s="155" t="s">
        <v>76</v>
      </c>
      <c r="C42" s="182" t="s">
        <v>82</v>
      </c>
      <c r="D42" s="155" t="s">
        <v>181</v>
      </c>
      <c r="E42" s="129">
        <v>34</v>
      </c>
      <c r="F42" s="132">
        <f>SUM(E42*35/1000)</f>
        <v>1.19</v>
      </c>
      <c r="G42" s="129">
        <v>7915.6</v>
      </c>
      <c r="H42" s="66">
        <f t="shared" si="4"/>
        <v>9.4195640000000012</v>
      </c>
      <c r="I42" s="13">
        <f>F42/6*G42</f>
        <v>1569.9273333333333</v>
      </c>
      <c r="J42" s="24"/>
      <c r="L42" s="19"/>
      <c r="M42" s="20"/>
      <c r="N42" s="21"/>
    </row>
    <row r="43" spans="1:14" ht="15.75" customHeight="1">
      <c r="A43" s="30">
        <v>9</v>
      </c>
      <c r="B43" s="155" t="s">
        <v>83</v>
      </c>
      <c r="C43" s="182" t="s">
        <v>82</v>
      </c>
      <c r="D43" s="155" t="s">
        <v>182</v>
      </c>
      <c r="E43" s="129">
        <v>72</v>
      </c>
      <c r="F43" s="132">
        <v>0.36</v>
      </c>
      <c r="G43" s="129">
        <v>584.74</v>
      </c>
      <c r="H43" s="66">
        <f t="shared" si="4"/>
        <v>0.21050639999999998</v>
      </c>
      <c r="I43" s="13">
        <f>G43*F43/45</f>
        <v>4.6779199999999994</v>
      </c>
      <c r="J43" s="24"/>
      <c r="L43" s="19"/>
      <c r="M43" s="20"/>
      <c r="N43" s="21"/>
    </row>
    <row r="44" spans="1:14" ht="15.75" customHeight="1">
      <c r="A44" s="30">
        <v>10</v>
      </c>
      <c r="B44" s="181" t="s">
        <v>66</v>
      </c>
      <c r="C44" s="183" t="s">
        <v>32</v>
      </c>
      <c r="D44" s="181"/>
      <c r="E44" s="184"/>
      <c r="F44" s="132">
        <v>0.1</v>
      </c>
      <c r="G44" s="132">
        <v>800</v>
      </c>
      <c r="H44" s="66">
        <f t="shared" si="4"/>
        <v>0.08</v>
      </c>
      <c r="I44" s="13">
        <f>G44*F44/45</f>
        <v>1.7777777777777777</v>
      </c>
      <c r="J44" s="24"/>
      <c r="L44" s="19"/>
      <c r="M44" s="20"/>
      <c r="N44" s="21"/>
    </row>
    <row r="45" spans="1:14" ht="30.75" customHeight="1">
      <c r="A45" s="30">
        <v>11</v>
      </c>
      <c r="B45" s="47" t="s">
        <v>138</v>
      </c>
      <c r="C45" s="48" t="s">
        <v>29</v>
      </c>
      <c r="D45" s="181" t="s">
        <v>183</v>
      </c>
      <c r="E45" s="184">
        <v>1.8</v>
      </c>
      <c r="F45" s="132">
        <f>SUM(E45*12/1000)</f>
        <v>2.1600000000000001E-2</v>
      </c>
      <c r="G45" s="132">
        <v>270.61</v>
      </c>
      <c r="H45" s="66">
        <f t="shared" si="4"/>
        <v>5.8451760000000005E-3</v>
      </c>
      <c r="I45" s="13">
        <f t="shared" ref="I45" si="5">F45/6*G45</f>
        <v>0.97419600000000017</v>
      </c>
      <c r="J45" s="24"/>
      <c r="L45" s="19"/>
      <c r="M45" s="20"/>
      <c r="N45" s="21"/>
    </row>
    <row r="46" spans="1:14" ht="15.75" customHeight="1">
      <c r="A46" s="249" t="s">
        <v>124</v>
      </c>
      <c r="B46" s="250"/>
      <c r="C46" s="250"/>
      <c r="D46" s="250"/>
      <c r="E46" s="250"/>
      <c r="F46" s="250"/>
      <c r="G46" s="250"/>
      <c r="H46" s="250"/>
      <c r="I46" s="251"/>
      <c r="J46" s="24"/>
      <c r="L46" s="19"/>
      <c r="M46" s="20"/>
      <c r="N46" s="21"/>
    </row>
    <row r="47" spans="1:14" ht="15.75" hidden="1" customHeight="1">
      <c r="A47" s="30"/>
      <c r="B47" s="62" t="s">
        <v>117</v>
      </c>
      <c r="C47" s="63" t="s">
        <v>82</v>
      </c>
      <c r="D47" s="62" t="s">
        <v>40</v>
      </c>
      <c r="E47" s="64">
        <v>670.4</v>
      </c>
      <c r="F47" s="65">
        <f>SUM(E47*2/1000)</f>
        <v>1.3408</v>
      </c>
      <c r="G47" s="13">
        <v>1114.1300000000001</v>
      </c>
      <c r="H47" s="66">
        <f t="shared" ref="H47:H55" si="6">SUM(F47*G47/1000)</f>
        <v>1.4938255040000001</v>
      </c>
      <c r="I47" s="13">
        <f t="shared" ref="I47:I49" si="7">F47/2*G47</f>
        <v>746.91275200000007</v>
      </c>
      <c r="J47" s="24"/>
      <c r="L47" s="19"/>
      <c r="M47" s="20"/>
      <c r="N47" s="21"/>
    </row>
    <row r="48" spans="1:14" ht="15.75" hidden="1" customHeight="1">
      <c r="A48" s="30"/>
      <c r="B48" s="62" t="s">
        <v>33</v>
      </c>
      <c r="C48" s="63" t="s">
        <v>82</v>
      </c>
      <c r="D48" s="62" t="s">
        <v>40</v>
      </c>
      <c r="E48" s="64">
        <v>26</v>
      </c>
      <c r="F48" s="65">
        <f t="shared" ref="F48:F50" si="8">SUM(E48*2/1000)</f>
        <v>5.1999999999999998E-2</v>
      </c>
      <c r="G48" s="13">
        <v>4419.05</v>
      </c>
      <c r="H48" s="66">
        <f t="shared" si="6"/>
        <v>0.22979060000000001</v>
      </c>
      <c r="I48" s="13">
        <f t="shared" si="7"/>
        <v>114.89530000000001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34</v>
      </c>
      <c r="C49" s="63" t="s">
        <v>82</v>
      </c>
      <c r="D49" s="62" t="s">
        <v>40</v>
      </c>
      <c r="E49" s="64">
        <v>760.4</v>
      </c>
      <c r="F49" s="65">
        <f t="shared" si="8"/>
        <v>1.5207999999999999</v>
      </c>
      <c r="G49" s="13">
        <v>1803.69</v>
      </c>
      <c r="H49" s="66">
        <f t="shared" si="6"/>
        <v>2.743051752</v>
      </c>
      <c r="I49" s="13">
        <f t="shared" si="7"/>
        <v>1371.5258759999999</v>
      </c>
      <c r="J49" s="24"/>
      <c r="L49" s="19"/>
      <c r="M49" s="20"/>
      <c r="N49" s="21"/>
    </row>
    <row r="50" spans="1:22" ht="15.75" hidden="1" customHeight="1">
      <c r="A50" s="30"/>
      <c r="B50" s="62" t="s">
        <v>35</v>
      </c>
      <c r="C50" s="63" t="s">
        <v>82</v>
      </c>
      <c r="D50" s="62" t="s">
        <v>40</v>
      </c>
      <c r="E50" s="64">
        <v>1440</v>
      </c>
      <c r="F50" s="65">
        <f t="shared" si="8"/>
        <v>2.88</v>
      </c>
      <c r="G50" s="13">
        <v>1243.43</v>
      </c>
      <c r="H50" s="66">
        <f t="shared" si="6"/>
        <v>3.5810784</v>
      </c>
      <c r="I50" s="13">
        <f>F50/2*G50</f>
        <v>1790.5391999999999</v>
      </c>
      <c r="J50" s="24"/>
      <c r="L50" s="19"/>
      <c r="M50" s="20"/>
      <c r="N50" s="21"/>
    </row>
    <row r="51" spans="1:22" ht="15.75" customHeight="1">
      <c r="A51" s="30">
        <v>12</v>
      </c>
      <c r="B51" s="155" t="s">
        <v>168</v>
      </c>
      <c r="C51" s="182" t="s">
        <v>82</v>
      </c>
      <c r="D51" s="155" t="s">
        <v>178</v>
      </c>
      <c r="E51" s="128">
        <v>2409</v>
      </c>
      <c r="F51" s="129">
        <v>4.8179999999999996</v>
      </c>
      <c r="G51" s="34">
        <v>1655.27</v>
      </c>
      <c r="H51" s="66">
        <f t="shared" si="6"/>
        <v>7.975090859999999</v>
      </c>
      <c r="I51" s="13">
        <f>F51/5*G51</f>
        <v>1595.0181719999998</v>
      </c>
      <c r="J51" s="24"/>
      <c r="L51" s="19"/>
      <c r="M51" s="20"/>
      <c r="N51" s="21"/>
    </row>
    <row r="52" spans="1:22" ht="32.25" hidden="1" customHeight="1">
      <c r="A52" s="30"/>
      <c r="B52" s="62" t="s">
        <v>84</v>
      </c>
      <c r="C52" s="63" t="s">
        <v>82</v>
      </c>
      <c r="D52" s="62" t="s">
        <v>40</v>
      </c>
      <c r="E52" s="64">
        <v>2409</v>
      </c>
      <c r="F52" s="65">
        <f>SUM(E52*2/1000)</f>
        <v>4.8179999999999996</v>
      </c>
      <c r="G52" s="13">
        <v>1591.6</v>
      </c>
      <c r="H52" s="66">
        <f t="shared" si="6"/>
        <v>7.6683287999999994</v>
      </c>
      <c r="I52" s="13">
        <f>F52/2*G52</f>
        <v>3834.1643999999997</v>
      </c>
      <c r="J52" s="24"/>
      <c r="L52" s="19"/>
      <c r="M52" s="20"/>
      <c r="N52" s="21"/>
    </row>
    <row r="53" spans="1:22" ht="32.25" hidden="1" customHeight="1">
      <c r="A53" s="30">
        <v>16</v>
      </c>
      <c r="B53" s="62" t="s">
        <v>85</v>
      </c>
      <c r="C53" s="63" t="s">
        <v>36</v>
      </c>
      <c r="D53" s="62" t="s">
        <v>40</v>
      </c>
      <c r="E53" s="64">
        <v>10</v>
      </c>
      <c r="F53" s="65">
        <f>SUM(E53*2/100)</f>
        <v>0.2</v>
      </c>
      <c r="G53" s="13">
        <v>4058.32</v>
      </c>
      <c r="H53" s="66">
        <f>SUM(F53*G53/1000)</f>
        <v>0.81166400000000005</v>
      </c>
      <c r="I53" s="13">
        <f t="shared" ref="I53:I54" si="9">F53/2*G53</f>
        <v>405.83200000000005</v>
      </c>
      <c r="J53" s="24"/>
      <c r="L53" s="19"/>
    </row>
    <row r="54" spans="1:22" ht="15.75" hidden="1" customHeight="1">
      <c r="A54" s="30"/>
      <c r="B54" s="62" t="s">
        <v>37</v>
      </c>
      <c r="C54" s="63" t="s">
        <v>38</v>
      </c>
      <c r="D54" s="62" t="s">
        <v>40</v>
      </c>
      <c r="E54" s="64">
        <v>1</v>
      </c>
      <c r="F54" s="65">
        <v>0.02</v>
      </c>
      <c r="G54" s="13">
        <v>7412.92</v>
      </c>
      <c r="H54" s="66">
        <f t="shared" si="6"/>
        <v>0.14825839999999998</v>
      </c>
      <c r="I54" s="13">
        <f t="shared" si="9"/>
        <v>74.129199999999997</v>
      </c>
    </row>
    <row r="55" spans="1:22" ht="17.25" hidden="1" customHeight="1">
      <c r="A55" s="30">
        <v>15</v>
      </c>
      <c r="B55" s="155" t="s">
        <v>39</v>
      </c>
      <c r="C55" s="182" t="s">
        <v>98</v>
      </c>
      <c r="D55" s="213">
        <v>43508</v>
      </c>
      <c r="E55" s="128">
        <v>80</v>
      </c>
      <c r="F55" s="129">
        <f>SUM(E55)*3</f>
        <v>240</v>
      </c>
      <c r="G55" s="102">
        <v>89.59</v>
      </c>
      <c r="H55" s="66">
        <f t="shared" si="6"/>
        <v>21.501600000000003</v>
      </c>
      <c r="I55" s="13">
        <f>F55/3*G55</f>
        <v>7167.2000000000007</v>
      </c>
    </row>
    <row r="56" spans="1:22" ht="15.75" customHeight="1">
      <c r="A56" s="249" t="s">
        <v>125</v>
      </c>
      <c r="B56" s="250"/>
      <c r="C56" s="250"/>
      <c r="D56" s="250"/>
      <c r="E56" s="250"/>
      <c r="F56" s="250"/>
      <c r="G56" s="250"/>
      <c r="H56" s="250"/>
      <c r="I56" s="251"/>
    </row>
    <row r="57" spans="1:22" ht="15.75" customHeight="1">
      <c r="A57" s="30"/>
      <c r="B57" s="81" t="s">
        <v>41</v>
      </c>
      <c r="C57" s="63"/>
      <c r="D57" s="62"/>
      <c r="E57" s="64"/>
      <c r="F57" s="65"/>
      <c r="G57" s="65"/>
      <c r="H57" s="66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35.25" customHeight="1">
      <c r="A58" s="30">
        <v>13</v>
      </c>
      <c r="B58" s="62" t="s">
        <v>118</v>
      </c>
      <c r="C58" s="63" t="s">
        <v>80</v>
      </c>
      <c r="D58" s="62"/>
      <c r="E58" s="64">
        <v>79</v>
      </c>
      <c r="F58" s="65">
        <f>SUM(E58*6/100)</f>
        <v>4.74</v>
      </c>
      <c r="G58" s="140">
        <v>2110.4699999999998</v>
      </c>
      <c r="H58" s="66">
        <f>SUM(F58*G58/1000)</f>
        <v>10.0036278</v>
      </c>
      <c r="I58" s="13">
        <f>G58*0.06</f>
        <v>126.62819999999998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6.5" hidden="1" customHeight="1">
      <c r="A59" s="30"/>
      <c r="B59" s="71" t="s">
        <v>120</v>
      </c>
      <c r="C59" s="72" t="s">
        <v>121</v>
      </c>
      <c r="D59" s="71" t="s">
        <v>40</v>
      </c>
      <c r="E59" s="73">
        <v>2</v>
      </c>
      <c r="F59" s="74">
        <v>4</v>
      </c>
      <c r="G59" s="13">
        <v>237.1</v>
      </c>
      <c r="H59" s="66">
        <f t="shared" ref="H59" si="10">SUM(F59*G59/1000)</f>
        <v>0.94840000000000002</v>
      </c>
      <c r="I59" s="13">
        <v>0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>
        <v>15</v>
      </c>
      <c r="B60" s="155" t="s">
        <v>119</v>
      </c>
      <c r="C60" s="182" t="s">
        <v>80</v>
      </c>
      <c r="D60" s="155" t="s">
        <v>178</v>
      </c>
      <c r="E60" s="128">
        <v>3.8</v>
      </c>
      <c r="F60" s="129">
        <f>SUM(E60*6/100)</f>
        <v>0.22799999999999998</v>
      </c>
      <c r="G60" s="34">
        <v>2110.4699999999998</v>
      </c>
      <c r="H60" s="66">
        <f>SUM(F60*G60/1000)</f>
        <v>0.48118715999999989</v>
      </c>
      <c r="I60" s="13">
        <f>F60/6*G60</f>
        <v>80.197859999999991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140</v>
      </c>
      <c r="C61" s="63" t="s">
        <v>141</v>
      </c>
      <c r="D61" s="62" t="s">
        <v>63</v>
      </c>
      <c r="E61" s="64"/>
      <c r="F61" s="65">
        <v>3</v>
      </c>
      <c r="G61" s="13">
        <v>1582.05</v>
      </c>
      <c r="H61" s="66">
        <f>SUM(F61*G61/1000)</f>
        <v>4.7461499999999992</v>
      </c>
      <c r="I61" s="13">
        <v>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customHeight="1">
      <c r="A62" s="30"/>
      <c r="B62" s="82" t="s">
        <v>42</v>
      </c>
      <c r="C62" s="72"/>
      <c r="D62" s="71"/>
      <c r="E62" s="73"/>
      <c r="F62" s="74"/>
      <c r="G62" s="13"/>
      <c r="H62" s="75"/>
      <c r="I62" s="13"/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71" t="s">
        <v>142</v>
      </c>
      <c r="C63" s="72" t="s">
        <v>50</v>
      </c>
      <c r="D63" s="71" t="s">
        <v>51</v>
      </c>
      <c r="E63" s="73">
        <v>110</v>
      </c>
      <c r="F63" s="74">
        <f>E63/100</f>
        <v>1.1000000000000001</v>
      </c>
      <c r="G63" s="13">
        <v>1040.8399999999999</v>
      </c>
      <c r="H63" s="75">
        <f>F63*G63/1000</f>
        <v>1.1449240000000001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0">
        <v>14</v>
      </c>
      <c r="B64" s="199" t="s">
        <v>109</v>
      </c>
      <c r="C64" s="200" t="s">
        <v>25</v>
      </c>
      <c r="D64" s="199" t="s">
        <v>178</v>
      </c>
      <c r="E64" s="201">
        <v>100</v>
      </c>
      <c r="F64" s="202">
        <f>E64*12</f>
        <v>1200</v>
      </c>
      <c r="G64" s="203">
        <v>1.4</v>
      </c>
      <c r="H64" s="74">
        <f>F64*G64/1000</f>
        <v>1.68</v>
      </c>
      <c r="I64" s="13">
        <f>F64/12*G64</f>
        <v>140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0"/>
      <c r="B65" s="82" t="s">
        <v>43</v>
      </c>
      <c r="C65" s="72"/>
      <c r="D65" s="71"/>
      <c r="E65" s="73"/>
      <c r="F65" s="76"/>
      <c r="G65" s="76"/>
      <c r="H65" s="74" t="s">
        <v>122</v>
      </c>
      <c r="I65" s="13"/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30">
        <v>15</v>
      </c>
      <c r="B66" s="14" t="s">
        <v>44</v>
      </c>
      <c r="C66" s="16" t="s">
        <v>98</v>
      </c>
      <c r="D66" s="14"/>
      <c r="E66" s="18">
        <v>8</v>
      </c>
      <c r="F66" s="65">
        <f>SUM(E66)</f>
        <v>8</v>
      </c>
      <c r="G66" s="140">
        <v>303.35000000000002</v>
      </c>
      <c r="H66" s="61">
        <f t="shared" ref="H66:H83" si="11">SUM(F66*G66/1000)</f>
        <v>2.4268000000000001</v>
      </c>
      <c r="I66" s="13">
        <f>G66*2</f>
        <v>606.70000000000005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hidden="1" customHeight="1">
      <c r="A67" s="30"/>
      <c r="B67" s="14" t="s">
        <v>45</v>
      </c>
      <c r="C67" s="16" t="s">
        <v>98</v>
      </c>
      <c r="D67" s="14" t="s">
        <v>63</v>
      </c>
      <c r="E67" s="18">
        <v>4</v>
      </c>
      <c r="F67" s="65">
        <f>SUM(E67)</f>
        <v>4</v>
      </c>
      <c r="G67" s="13">
        <v>100.01</v>
      </c>
      <c r="H67" s="61">
        <f t="shared" si="11"/>
        <v>0.40004000000000001</v>
      </c>
      <c r="I67" s="13">
        <v>0</v>
      </c>
      <c r="J67" s="26"/>
      <c r="K67" s="26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hidden="1" customHeight="1">
      <c r="A68" s="30"/>
      <c r="B68" s="14" t="s">
        <v>46</v>
      </c>
      <c r="C68" s="16" t="s">
        <v>100</v>
      </c>
      <c r="D68" s="14" t="s">
        <v>51</v>
      </c>
      <c r="E68" s="64">
        <v>9962</v>
      </c>
      <c r="F68" s="13">
        <f>SUM(E68/100)</f>
        <v>99.62</v>
      </c>
      <c r="G68" s="13">
        <v>278.24</v>
      </c>
      <c r="H68" s="61">
        <f t="shared" si="11"/>
        <v>27.718268800000001</v>
      </c>
      <c r="I68" s="13">
        <f>F68*G68</f>
        <v>27718.268800000002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hidden="1" customHeight="1">
      <c r="A69" s="30"/>
      <c r="B69" s="14" t="s">
        <v>47</v>
      </c>
      <c r="C69" s="16" t="s">
        <v>101</v>
      </c>
      <c r="D69" s="14"/>
      <c r="E69" s="64">
        <v>9962</v>
      </c>
      <c r="F69" s="13">
        <f>SUM(E69/1000)</f>
        <v>9.9619999999999997</v>
      </c>
      <c r="G69" s="13">
        <v>216.68</v>
      </c>
      <c r="H69" s="61">
        <f t="shared" si="11"/>
        <v>2.1585661599999999</v>
      </c>
      <c r="I69" s="13">
        <f t="shared" ref="I69:I73" si="12">F69*G69</f>
        <v>2158.5661599999999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30"/>
      <c r="B70" s="14" t="s">
        <v>48</v>
      </c>
      <c r="C70" s="16" t="s">
        <v>72</v>
      </c>
      <c r="D70" s="14" t="s">
        <v>51</v>
      </c>
      <c r="E70" s="64">
        <v>806.3</v>
      </c>
      <c r="F70" s="13">
        <f>SUM(E70/100)</f>
        <v>8.0629999999999988</v>
      </c>
      <c r="G70" s="13">
        <v>2720.94</v>
      </c>
      <c r="H70" s="61">
        <f t="shared" si="11"/>
        <v>21.938939219999998</v>
      </c>
      <c r="I70" s="13">
        <f t="shared" si="12"/>
        <v>21938.939219999997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hidden="1" customHeight="1">
      <c r="A71" s="30">
        <v>18</v>
      </c>
      <c r="B71" s="89" t="s">
        <v>102</v>
      </c>
      <c r="C71" s="90" t="s">
        <v>32</v>
      </c>
      <c r="D71" s="91"/>
      <c r="E71" s="73">
        <v>9.4</v>
      </c>
      <c r="F71" s="92">
        <f>SUM(E71)</f>
        <v>9.4</v>
      </c>
      <c r="G71" s="92">
        <v>44.31</v>
      </c>
      <c r="H71" s="93">
        <f t="shared" si="11"/>
        <v>0.416514</v>
      </c>
      <c r="I71" s="13">
        <f t="shared" si="12"/>
        <v>416.51400000000001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1" ht="15.75" hidden="1" customHeight="1">
      <c r="A72" s="30"/>
      <c r="B72" s="77" t="s">
        <v>103</v>
      </c>
      <c r="C72" s="16" t="s">
        <v>32</v>
      </c>
      <c r="D72" s="14"/>
      <c r="E72" s="18">
        <v>9.4</v>
      </c>
      <c r="F72" s="92">
        <f t="shared" ref="F72:F75" si="13">SUM(E72)</f>
        <v>9.4</v>
      </c>
      <c r="G72" s="13">
        <v>47.79</v>
      </c>
      <c r="H72" s="13">
        <f t="shared" si="11"/>
        <v>0.44922600000000001</v>
      </c>
      <c r="I72" s="13">
        <f t="shared" si="12"/>
        <v>449.226</v>
      </c>
      <c r="J72" s="5"/>
      <c r="K72" s="5"/>
      <c r="L72" s="5"/>
      <c r="M72" s="5"/>
      <c r="N72" s="5"/>
      <c r="O72" s="5"/>
      <c r="P72" s="5"/>
      <c r="Q72" s="5"/>
      <c r="R72" s="234"/>
      <c r="S72" s="234"/>
      <c r="T72" s="234"/>
      <c r="U72" s="234"/>
    </row>
    <row r="73" spans="1:21" ht="15.75" hidden="1" customHeight="1">
      <c r="A73" s="30"/>
      <c r="B73" s="14" t="s">
        <v>54</v>
      </c>
      <c r="C73" s="16" t="s">
        <v>55</v>
      </c>
      <c r="D73" s="14" t="s">
        <v>51</v>
      </c>
      <c r="E73" s="18">
        <v>2</v>
      </c>
      <c r="F73" s="92">
        <f t="shared" si="13"/>
        <v>2</v>
      </c>
      <c r="G73" s="13">
        <v>65.42</v>
      </c>
      <c r="H73" s="13">
        <f t="shared" si="11"/>
        <v>0.13084000000000001</v>
      </c>
      <c r="I73" s="13">
        <f t="shared" si="12"/>
        <v>130.84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>
      <c r="A74" s="30"/>
      <c r="B74" s="197" t="s">
        <v>68</v>
      </c>
      <c r="C74" s="16"/>
      <c r="D74" s="14"/>
      <c r="E74" s="18"/>
      <c r="F74" s="13"/>
      <c r="G74" s="13"/>
      <c r="H74" s="13" t="s">
        <v>122</v>
      </c>
      <c r="I74" s="13"/>
    </row>
    <row r="75" spans="1:21" ht="31.5" hidden="1" customHeight="1">
      <c r="A75" s="30"/>
      <c r="B75" s="14" t="s">
        <v>143</v>
      </c>
      <c r="C75" s="16" t="s">
        <v>98</v>
      </c>
      <c r="D75" s="14" t="s">
        <v>63</v>
      </c>
      <c r="E75" s="18">
        <v>2</v>
      </c>
      <c r="F75" s="92">
        <f t="shared" si="13"/>
        <v>2</v>
      </c>
      <c r="G75" s="13">
        <v>1543.4</v>
      </c>
      <c r="H75" s="13">
        <f t="shared" ref="H75:H77" si="14">SUM(F75*G75/1000)</f>
        <v>3.0868000000000002</v>
      </c>
      <c r="I75" s="13">
        <v>0</v>
      </c>
    </row>
    <row r="76" spans="1:21" ht="15.75" hidden="1" customHeight="1">
      <c r="A76" s="30"/>
      <c r="B76" s="14" t="s">
        <v>69</v>
      </c>
      <c r="C76" s="16" t="s">
        <v>70</v>
      </c>
      <c r="D76" s="14" t="s">
        <v>63</v>
      </c>
      <c r="E76" s="18">
        <v>2</v>
      </c>
      <c r="F76" s="13">
        <f>E76/10</f>
        <v>0.2</v>
      </c>
      <c r="G76" s="13">
        <v>657.87</v>
      </c>
      <c r="H76" s="13">
        <f t="shared" si="14"/>
        <v>0.13157400000000002</v>
      </c>
      <c r="I76" s="13">
        <v>0</v>
      </c>
    </row>
    <row r="77" spans="1:21" ht="15.75" hidden="1" customHeight="1">
      <c r="A77" s="30"/>
      <c r="B77" s="14" t="s">
        <v>144</v>
      </c>
      <c r="C77" s="16" t="s">
        <v>98</v>
      </c>
      <c r="D77" s="14" t="s">
        <v>63</v>
      </c>
      <c r="E77" s="18">
        <v>1</v>
      </c>
      <c r="F77" s="13">
        <f>SUM(E77)</f>
        <v>1</v>
      </c>
      <c r="G77" s="13">
        <v>1118.72</v>
      </c>
      <c r="H77" s="13">
        <f t="shared" si="14"/>
        <v>1.1187199999999999</v>
      </c>
      <c r="I77" s="13">
        <v>0</v>
      </c>
    </row>
    <row r="78" spans="1:21" ht="15.75" hidden="1" customHeight="1">
      <c r="A78" s="30"/>
      <c r="B78" s="46" t="s">
        <v>145</v>
      </c>
      <c r="C78" s="49" t="s">
        <v>98</v>
      </c>
      <c r="D78" s="14" t="s">
        <v>63</v>
      </c>
      <c r="E78" s="18">
        <v>1</v>
      </c>
      <c r="F78" s="13">
        <v>1</v>
      </c>
      <c r="G78" s="13">
        <v>1605.83</v>
      </c>
      <c r="H78" s="13">
        <f>SUM(F78*G78/1000)</f>
        <v>1.6058299999999999</v>
      </c>
      <c r="I78" s="13">
        <v>0</v>
      </c>
    </row>
    <row r="79" spans="1:21" ht="15.75" customHeight="1">
      <c r="A79" s="30">
        <v>16</v>
      </c>
      <c r="B79" s="47" t="s">
        <v>146</v>
      </c>
      <c r="C79" s="48" t="s">
        <v>98</v>
      </c>
      <c r="D79" s="35" t="s">
        <v>184</v>
      </c>
      <c r="E79" s="17">
        <v>1</v>
      </c>
      <c r="F79" s="34">
        <f>E79*12</f>
        <v>12</v>
      </c>
      <c r="G79" s="34">
        <v>55.55</v>
      </c>
      <c r="H79" s="13">
        <f t="shared" ref="H79" si="15">SUM(F79*G79/1000)</f>
        <v>0.66659999999999986</v>
      </c>
      <c r="I79" s="13">
        <f>F79/12*G79</f>
        <v>55.55</v>
      </c>
    </row>
    <row r="80" spans="1:21" ht="15.75" customHeight="1">
      <c r="A80" s="30"/>
      <c r="B80" s="100" t="s">
        <v>147</v>
      </c>
      <c r="C80" s="49"/>
      <c r="D80" s="14"/>
      <c r="E80" s="18"/>
      <c r="F80" s="13"/>
      <c r="G80" s="13"/>
      <c r="H80" s="61"/>
      <c r="I80" s="13"/>
    </row>
    <row r="81" spans="1:9" ht="15.75" customHeight="1">
      <c r="A81" s="30">
        <v>17</v>
      </c>
      <c r="B81" s="35" t="s">
        <v>148</v>
      </c>
      <c r="C81" s="157" t="s">
        <v>149</v>
      </c>
      <c r="D81" s="35"/>
      <c r="E81" s="17">
        <v>2409</v>
      </c>
      <c r="F81" s="34">
        <f>SUM(E81*12)</f>
        <v>28908</v>
      </c>
      <c r="G81" s="34">
        <v>2.37</v>
      </c>
      <c r="H81" s="61">
        <f t="shared" ref="H81" si="16">SUM(F81*G81/1000)</f>
        <v>68.511960000000002</v>
      </c>
      <c r="I81" s="13">
        <f>F81/12*G81</f>
        <v>5709.33</v>
      </c>
    </row>
    <row r="82" spans="1:9" ht="15.75" hidden="1" customHeight="1">
      <c r="A82" s="30"/>
      <c r="B82" s="79" t="s">
        <v>71</v>
      </c>
      <c r="C82" s="16"/>
      <c r="D82" s="14"/>
      <c r="E82" s="18"/>
      <c r="F82" s="13"/>
      <c r="G82" s="13" t="s">
        <v>122</v>
      </c>
      <c r="H82" s="13" t="s">
        <v>122</v>
      </c>
      <c r="I82" s="13"/>
    </row>
    <row r="83" spans="1:9" ht="15.75" hidden="1" customHeight="1">
      <c r="A83" s="30"/>
      <c r="B83" s="43" t="s">
        <v>111</v>
      </c>
      <c r="C83" s="16" t="s">
        <v>72</v>
      </c>
      <c r="D83" s="14"/>
      <c r="E83" s="18"/>
      <c r="F83" s="13">
        <v>0.1</v>
      </c>
      <c r="G83" s="13">
        <v>3619.09</v>
      </c>
      <c r="H83" s="13">
        <f t="shared" si="11"/>
        <v>0.36190900000000004</v>
      </c>
      <c r="I83" s="13">
        <v>0</v>
      </c>
    </row>
    <row r="84" spans="1:9" ht="15.75" hidden="1" customHeight="1">
      <c r="A84" s="30"/>
      <c r="B84" s="101" t="s">
        <v>86</v>
      </c>
      <c r="C84" s="94"/>
      <c r="D84" s="95"/>
      <c r="E84" s="96"/>
      <c r="F84" s="97"/>
      <c r="G84" s="97"/>
      <c r="H84" s="98">
        <f>SUM(H58:H83)</f>
        <v>150.12687614000001</v>
      </c>
      <c r="I84" s="68"/>
    </row>
    <row r="85" spans="1:9" ht="15.75" hidden="1" customHeight="1">
      <c r="A85" s="30"/>
      <c r="B85" s="62" t="s">
        <v>104</v>
      </c>
      <c r="C85" s="16"/>
      <c r="D85" s="14"/>
      <c r="E85" s="57"/>
      <c r="F85" s="13">
        <v>1</v>
      </c>
      <c r="G85" s="13">
        <v>8236.4</v>
      </c>
      <c r="H85" s="61">
        <f>G85*F85/1000</f>
        <v>8.2363999999999997</v>
      </c>
      <c r="I85" s="13">
        <v>0</v>
      </c>
    </row>
    <row r="86" spans="1:9" ht="15.75" customHeight="1">
      <c r="A86" s="225" t="s">
        <v>126</v>
      </c>
      <c r="B86" s="226"/>
      <c r="C86" s="226"/>
      <c r="D86" s="226"/>
      <c r="E86" s="226"/>
      <c r="F86" s="226"/>
      <c r="G86" s="226"/>
      <c r="H86" s="226"/>
      <c r="I86" s="227"/>
    </row>
    <row r="87" spans="1:9" ht="15.75" customHeight="1">
      <c r="A87" s="30">
        <v>18</v>
      </c>
      <c r="B87" s="155" t="s">
        <v>105</v>
      </c>
      <c r="C87" s="147" t="s">
        <v>52</v>
      </c>
      <c r="D87" s="188"/>
      <c r="E87" s="34">
        <v>2409</v>
      </c>
      <c r="F87" s="34">
        <f>SUM(E87*12)</f>
        <v>28908</v>
      </c>
      <c r="G87" s="34">
        <v>3.22</v>
      </c>
      <c r="H87" s="61">
        <f>SUM(F87*G87/1000)</f>
        <v>93.083760000000012</v>
      </c>
      <c r="I87" s="13">
        <f>F87/12*G87</f>
        <v>7756.9800000000005</v>
      </c>
    </row>
    <row r="88" spans="1:9" ht="31.5" customHeight="1">
      <c r="A88" s="30">
        <v>19</v>
      </c>
      <c r="B88" s="35" t="s">
        <v>73</v>
      </c>
      <c r="C88" s="147" t="s">
        <v>170</v>
      </c>
      <c r="D88" s="115"/>
      <c r="E88" s="128">
        <f>E87</f>
        <v>2409</v>
      </c>
      <c r="F88" s="34">
        <f>E88*12</f>
        <v>28908</v>
      </c>
      <c r="G88" s="34">
        <v>3.64</v>
      </c>
      <c r="H88" s="61">
        <f>F88*G88/1000</f>
        <v>105.22512</v>
      </c>
      <c r="I88" s="13">
        <f>F88/12*G88</f>
        <v>8768.76</v>
      </c>
    </row>
    <row r="89" spans="1:9" ht="15.75" customHeight="1">
      <c r="A89" s="30"/>
      <c r="B89" s="36" t="s">
        <v>75</v>
      </c>
      <c r="C89" s="79"/>
      <c r="D89" s="78"/>
      <c r="E89" s="68"/>
      <c r="F89" s="68"/>
      <c r="G89" s="68"/>
      <c r="H89" s="80">
        <f>H88</f>
        <v>105.22512</v>
      </c>
      <c r="I89" s="68">
        <f>I88+I87+I81+I79+I64+I58+I51+I45+I44+I43+I42+I41+I40+I38+I27+I18+I17+I16+I66</f>
        <v>40996.280170777769</v>
      </c>
    </row>
    <row r="90" spans="1:9" ht="15.75" customHeight="1">
      <c r="A90" s="230" t="s">
        <v>57</v>
      </c>
      <c r="B90" s="231"/>
      <c r="C90" s="231"/>
      <c r="D90" s="231"/>
      <c r="E90" s="231"/>
      <c r="F90" s="231"/>
      <c r="G90" s="231"/>
      <c r="H90" s="231"/>
      <c r="I90" s="232"/>
    </row>
    <row r="91" spans="1:9" ht="32.25" customHeight="1">
      <c r="A91" s="30">
        <v>20</v>
      </c>
      <c r="B91" s="47" t="s">
        <v>197</v>
      </c>
      <c r="C91" s="48" t="s">
        <v>129</v>
      </c>
      <c r="D91" s="37" t="s">
        <v>211</v>
      </c>
      <c r="E91" s="215"/>
      <c r="F91" s="215"/>
      <c r="G91" s="34">
        <v>1523.6</v>
      </c>
      <c r="H91" s="215"/>
      <c r="I91" s="216">
        <f>G91*20</f>
        <v>30472</v>
      </c>
    </row>
    <row r="92" spans="1:9" ht="30.75" customHeight="1">
      <c r="A92" s="30">
        <v>21</v>
      </c>
      <c r="B92" s="47" t="s">
        <v>207</v>
      </c>
      <c r="C92" s="48" t="s">
        <v>129</v>
      </c>
      <c r="D92" s="37" t="s">
        <v>209</v>
      </c>
      <c r="E92" s="215"/>
      <c r="F92" s="215"/>
      <c r="G92" s="34">
        <v>1550.64</v>
      </c>
      <c r="H92" s="215"/>
      <c r="I92" s="30">
        <f>G92*2</f>
        <v>3101.28</v>
      </c>
    </row>
    <row r="93" spans="1:9" ht="30" customHeight="1">
      <c r="A93" s="30">
        <v>22</v>
      </c>
      <c r="B93" s="47" t="s">
        <v>165</v>
      </c>
      <c r="C93" s="48" t="s">
        <v>166</v>
      </c>
      <c r="D93" s="30" t="s">
        <v>210</v>
      </c>
      <c r="E93" s="215"/>
      <c r="F93" s="215"/>
      <c r="G93" s="34">
        <v>61.58</v>
      </c>
      <c r="H93" s="215"/>
      <c r="I93" s="30">
        <f>G93*1</f>
        <v>61.58</v>
      </c>
    </row>
    <row r="94" spans="1:9" ht="15.75" customHeight="1">
      <c r="A94" s="30">
        <v>23</v>
      </c>
      <c r="B94" s="47" t="s">
        <v>208</v>
      </c>
      <c r="C94" s="48" t="s">
        <v>29</v>
      </c>
      <c r="D94" s="37" t="s">
        <v>178</v>
      </c>
      <c r="E94" s="215"/>
      <c r="F94" s="215"/>
      <c r="G94" s="34">
        <v>1266.5</v>
      </c>
      <c r="H94" s="215"/>
      <c r="I94" s="37">
        <v>0</v>
      </c>
    </row>
    <row r="95" spans="1:9" ht="15.75" customHeight="1">
      <c r="A95" s="30">
        <v>24</v>
      </c>
      <c r="B95" s="47" t="s">
        <v>153</v>
      </c>
      <c r="C95" s="48" t="s">
        <v>98</v>
      </c>
      <c r="D95" s="215"/>
      <c r="E95" s="215"/>
      <c r="F95" s="215"/>
      <c r="G95" s="34">
        <v>215.85</v>
      </c>
      <c r="H95" s="215"/>
      <c r="I95" s="37">
        <f>G95*1</f>
        <v>215.85</v>
      </c>
    </row>
    <row r="96" spans="1:9" ht="15.75" customHeight="1">
      <c r="A96" s="30">
        <v>25</v>
      </c>
      <c r="B96" s="47" t="s">
        <v>212</v>
      </c>
      <c r="C96" s="48" t="s">
        <v>189</v>
      </c>
      <c r="D96" s="115"/>
      <c r="E96" s="34"/>
      <c r="F96" s="34">
        <v>0.3125</v>
      </c>
      <c r="G96" s="34">
        <v>532.94000000000005</v>
      </c>
      <c r="H96" s="215"/>
      <c r="I96" s="217">
        <f>G96*0.3125</f>
        <v>166.54375000000002</v>
      </c>
    </row>
    <row r="97" spans="1:9" ht="15.75" customHeight="1">
      <c r="A97" s="30"/>
      <c r="B97" s="41" t="s">
        <v>49</v>
      </c>
      <c r="C97" s="37"/>
      <c r="D97" s="44"/>
      <c r="E97" s="37">
        <v>1</v>
      </c>
      <c r="F97" s="37"/>
      <c r="G97" s="37"/>
      <c r="H97" s="37"/>
      <c r="I97" s="32">
        <f>SUM(I91:I96)</f>
        <v>34017.253749999996</v>
      </c>
    </row>
    <row r="98" spans="1:9" ht="15.75" customHeight="1">
      <c r="A98" s="30"/>
      <c r="B98" s="43" t="s">
        <v>74</v>
      </c>
      <c r="C98" s="15"/>
      <c r="D98" s="15"/>
      <c r="E98" s="38"/>
      <c r="F98" s="38"/>
      <c r="G98" s="39"/>
      <c r="H98" s="39"/>
      <c r="I98" s="17">
        <v>0</v>
      </c>
    </row>
    <row r="99" spans="1:9" ht="15.75" customHeight="1">
      <c r="A99" s="45"/>
      <c r="B99" s="42" t="s">
        <v>133</v>
      </c>
      <c r="C99" s="33"/>
      <c r="D99" s="33"/>
      <c r="E99" s="33"/>
      <c r="F99" s="33"/>
      <c r="G99" s="33"/>
      <c r="H99" s="33"/>
      <c r="I99" s="40">
        <f>I89+I97</f>
        <v>75013.533920777758</v>
      </c>
    </row>
    <row r="100" spans="1:9" ht="15.75" customHeight="1">
      <c r="A100" s="235" t="s">
        <v>283</v>
      </c>
      <c r="B100" s="235"/>
      <c r="C100" s="235"/>
      <c r="D100" s="235"/>
      <c r="E100" s="235"/>
      <c r="F100" s="235"/>
      <c r="G100" s="235"/>
      <c r="H100" s="235"/>
      <c r="I100" s="235"/>
    </row>
    <row r="101" spans="1:9" ht="15.75" customHeight="1">
      <c r="A101" s="55"/>
      <c r="B101" s="236" t="s">
        <v>284</v>
      </c>
      <c r="C101" s="236"/>
      <c r="D101" s="236"/>
      <c r="E101" s="236"/>
      <c r="F101" s="236"/>
      <c r="G101" s="236"/>
      <c r="H101" s="60"/>
      <c r="I101" s="3"/>
    </row>
    <row r="102" spans="1:9">
      <c r="A102" s="85"/>
      <c r="B102" s="237" t="s">
        <v>6</v>
      </c>
      <c r="C102" s="237"/>
      <c r="D102" s="237"/>
      <c r="E102" s="237"/>
      <c r="F102" s="237"/>
      <c r="G102" s="237"/>
      <c r="H102" s="25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238" t="s">
        <v>7</v>
      </c>
      <c r="B104" s="238"/>
      <c r="C104" s="238"/>
      <c r="D104" s="238"/>
      <c r="E104" s="238"/>
      <c r="F104" s="238"/>
      <c r="G104" s="238"/>
      <c r="H104" s="238"/>
      <c r="I104" s="238"/>
    </row>
    <row r="105" spans="1:9" ht="15.75">
      <c r="A105" s="238" t="s">
        <v>8</v>
      </c>
      <c r="B105" s="238"/>
      <c r="C105" s="238"/>
      <c r="D105" s="238"/>
      <c r="E105" s="238"/>
      <c r="F105" s="238"/>
      <c r="G105" s="238"/>
      <c r="H105" s="238"/>
      <c r="I105" s="238"/>
    </row>
    <row r="106" spans="1:9" ht="15.75" customHeight="1">
      <c r="A106" s="239" t="s">
        <v>58</v>
      </c>
      <c r="B106" s="239"/>
      <c r="C106" s="239"/>
      <c r="D106" s="239"/>
      <c r="E106" s="239"/>
      <c r="F106" s="239"/>
      <c r="G106" s="239"/>
      <c r="H106" s="239"/>
      <c r="I106" s="239"/>
    </row>
    <row r="107" spans="1:9" ht="15.75" customHeight="1">
      <c r="A107" s="11"/>
    </row>
    <row r="108" spans="1:9" ht="15.75" customHeight="1">
      <c r="A108" s="240" t="s">
        <v>9</v>
      </c>
      <c r="B108" s="240"/>
      <c r="C108" s="240"/>
      <c r="D108" s="240"/>
      <c r="E108" s="240"/>
      <c r="F108" s="240"/>
      <c r="G108" s="240"/>
      <c r="H108" s="240"/>
      <c r="I108" s="240"/>
    </row>
    <row r="109" spans="1:9" ht="15.75" customHeight="1">
      <c r="A109" s="4"/>
    </row>
    <row r="110" spans="1:9" ht="15.75" customHeight="1">
      <c r="B110" s="87" t="s">
        <v>10</v>
      </c>
      <c r="C110" s="241" t="s">
        <v>127</v>
      </c>
      <c r="D110" s="241"/>
      <c r="E110" s="241"/>
      <c r="F110" s="58"/>
      <c r="I110" s="84"/>
    </row>
    <row r="111" spans="1:9" ht="15.75" customHeight="1">
      <c r="A111" s="85"/>
      <c r="C111" s="237" t="s">
        <v>11</v>
      </c>
      <c r="D111" s="237"/>
      <c r="E111" s="237"/>
      <c r="F111" s="25"/>
      <c r="I111" s="86" t="s">
        <v>12</v>
      </c>
    </row>
    <row r="112" spans="1:9" ht="15.75" customHeight="1">
      <c r="A112" s="26"/>
      <c r="C112" s="12"/>
      <c r="D112" s="12"/>
      <c r="G112" s="12"/>
      <c r="H112" s="12"/>
    </row>
    <row r="113" spans="1:9" ht="15.75">
      <c r="B113" s="87" t="s">
        <v>13</v>
      </c>
      <c r="C113" s="233"/>
      <c r="D113" s="233"/>
      <c r="E113" s="233"/>
      <c r="F113" s="59"/>
      <c r="I113" s="84"/>
    </row>
    <row r="114" spans="1:9" ht="15.75" customHeight="1">
      <c r="A114" s="85"/>
      <c r="C114" s="234" t="s">
        <v>11</v>
      </c>
      <c r="D114" s="234"/>
      <c r="E114" s="234"/>
      <c r="F114" s="85"/>
      <c r="I114" s="86" t="s">
        <v>12</v>
      </c>
    </row>
    <row r="115" spans="1:9" ht="15.75" customHeight="1">
      <c r="A115" s="4" t="s">
        <v>14</v>
      </c>
    </row>
    <row r="116" spans="1:9" ht="15.75" customHeight="1">
      <c r="A116" s="228" t="s">
        <v>15</v>
      </c>
      <c r="B116" s="228"/>
      <c r="C116" s="228"/>
      <c r="D116" s="228"/>
      <c r="E116" s="228"/>
      <c r="F116" s="228"/>
      <c r="G116" s="228"/>
      <c r="H116" s="228"/>
      <c r="I116" s="228"/>
    </row>
    <row r="117" spans="1:9" ht="45" customHeight="1">
      <c r="A117" s="229" t="s">
        <v>16</v>
      </c>
      <c r="B117" s="229"/>
      <c r="C117" s="229"/>
      <c r="D117" s="229"/>
      <c r="E117" s="229"/>
      <c r="F117" s="229"/>
      <c r="G117" s="229"/>
      <c r="H117" s="229"/>
      <c r="I117" s="229"/>
    </row>
    <row r="118" spans="1:9" ht="30" customHeight="1">
      <c r="A118" s="229" t="s">
        <v>17</v>
      </c>
      <c r="B118" s="229"/>
      <c r="C118" s="229"/>
      <c r="D118" s="229"/>
      <c r="E118" s="229"/>
      <c r="F118" s="229"/>
      <c r="G118" s="229"/>
      <c r="H118" s="229"/>
      <c r="I118" s="229"/>
    </row>
    <row r="119" spans="1:9" ht="30" customHeight="1">
      <c r="A119" s="229" t="s">
        <v>21</v>
      </c>
      <c r="B119" s="229"/>
      <c r="C119" s="229"/>
      <c r="D119" s="229"/>
      <c r="E119" s="229"/>
      <c r="F119" s="229"/>
      <c r="G119" s="229"/>
      <c r="H119" s="229"/>
      <c r="I119" s="229"/>
    </row>
    <row r="120" spans="1:9" ht="15" customHeight="1">
      <c r="A120" s="229" t="s">
        <v>20</v>
      </c>
      <c r="B120" s="229"/>
      <c r="C120" s="229"/>
      <c r="D120" s="229"/>
      <c r="E120" s="229"/>
      <c r="F120" s="229"/>
      <c r="G120" s="229"/>
      <c r="H120" s="229"/>
      <c r="I120" s="229"/>
    </row>
  </sheetData>
  <autoFilter ref="I12:I55"/>
  <mergeCells count="29">
    <mergeCell ref="A14:I14"/>
    <mergeCell ref="A15:I15"/>
    <mergeCell ref="A28:I28"/>
    <mergeCell ref="A46:I46"/>
    <mergeCell ref="A56:I56"/>
    <mergeCell ref="A3:I3"/>
    <mergeCell ref="A4:I4"/>
    <mergeCell ref="A5:I5"/>
    <mergeCell ref="A8:I8"/>
    <mergeCell ref="A10:I10"/>
    <mergeCell ref="R72:U72"/>
    <mergeCell ref="C114:E114"/>
    <mergeCell ref="A90:I90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6:I86"/>
    <mergeCell ref="A116:I116"/>
    <mergeCell ref="A117:I117"/>
    <mergeCell ref="A118:I118"/>
    <mergeCell ref="A119:I119"/>
    <mergeCell ref="A120:I120"/>
  </mergeCells>
  <pageMargins left="0.70866141732283472" right="0.70866141732283472" top="0.27559055118110237" bottom="0.27559055118110237" header="0.31496062992125984" footer="0.31496062992125984"/>
  <pageSetup paperSize="9" scale="59" orientation="portrait" r:id="rId1"/>
  <rowBreaks count="1" manualBreakCount="1">
    <brk id="114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4"/>
  <sheetViews>
    <sheetView topLeftCell="A62" workbookViewId="0">
      <selection activeCell="K95" sqref="K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0.42578125" customWidth="1"/>
    <col min="5" max="5" width="9.85546875" hidden="1" customWidth="1"/>
    <col min="6" max="6" width="13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43" t="s">
        <v>150</v>
      </c>
      <c r="B3" s="243"/>
      <c r="C3" s="243"/>
      <c r="D3" s="243"/>
      <c r="E3" s="243"/>
      <c r="F3" s="243"/>
      <c r="G3" s="243"/>
      <c r="H3" s="243"/>
      <c r="I3" s="243"/>
      <c r="J3" s="3"/>
      <c r="K3" s="3"/>
      <c r="L3" s="3"/>
    </row>
    <row r="4" spans="1:13" ht="31.5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13" ht="15.75">
      <c r="A5" s="243" t="s">
        <v>213</v>
      </c>
      <c r="B5" s="245"/>
      <c r="C5" s="245"/>
      <c r="D5" s="245"/>
      <c r="E5" s="245"/>
      <c r="F5" s="245"/>
      <c r="G5" s="245"/>
      <c r="H5" s="245"/>
      <c r="I5" s="245"/>
      <c r="J5" s="2"/>
      <c r="K5" s="2"/>
      <c r="L5" s="2"/>
      <c r="M5" s="2"/>
    </row>
    <row r="6" spans="1:13" ht="15.75">
      <c r="A6" s="2"/>
      <c r="B6" s="104"/>
      <c r="C6" s="104"/>
      <c r="D6" s="104"/>
      <c r="E6" s="104"/>
      <c r="F6" s="104"/>
      <c r="G6" s="104"/>
      <c r="H6" s="104"/>
      <c r="I6" s="31">
        <v>43921</v>
      </c>
      <c r="J6" s="2"/>
      <c r="K6" s="2"/>
      <c r="L6" s="2"/>
      <c r="M6" s="2"/>
    </row>
    <row r="7" spans="1:13" ht="15.75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46" t="s">
        <v>172</v>
      </c>
      <c r="B8" s="246"/>
      <c r="C8" s="246"/>
      <c r="D8" s="246"/>
      <c r="E8" s="246"/>
      <c r="F8" s="246"/>
      <c r="G8" s="246"/>
      <c r="H8" s="246"/>
      <c r="I8" s="2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  <c r="J14" s="8"/>
      <c r="K14" s="8"/>
      <c r="L14" s="8"/>
      <c r="M14" s="8"/>
    </row>
    <row r="15" spans="1:13" ht="15.75" customHeight="1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  <c r="J15" s="8"/>
      <c r="K15" s="8"/>
      <c r="L15" s="8"/>
      <c r="M15" s="8"/>
    </row>
    <row r="16" spans="1:13" ht="15.75" customHeight="1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25" si="0">SUM(F16*G16/1000)</f>
        <v>25.337020800000001</v>
      </c>
      <c r="I16" s="13">
        <f>F16/12*G16</f>
        <v>2111.4184000000005</v>
      </c>
      <c r="J16" s="22"/>
      <c r="K16" s="8"/>
      <c r="L16" s="8"/>
      <c r="M16" s="8"/>
    </row>
    <row r="17" spans="1:13" ht="15.75" customHeight="1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  <c r="J17" s="23"/>
      <c r="K17" s="8"/>
      <c r="L17" s="8"/>
      <c r="M17" s="8"/>
    </row>
    <row r="18" spans="1:13" ht="15.75" customHeight="1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21.1</v>
      </c>
      <c r="F19" s="65">
        <f>SUM(E19/10)</f>
        <v>2.1100000000000003</v>
      </c>
      <c r="G19" s="65">
        <v>223.17</v>
      </c>
      <c r="H19" s="66">
        <f t="shared" si="0"/>
        <v>0.47088870000000005</v>
      </c>
      <c r="I19" s="13">
        <f>F19*G19</f>
        <v>470.88870000000003</v>
      </c>
      <c r="J19" s="23"/>
      <c r="K19" s="8"/>
      <c r="L19" s="8"/>
      <c r="M19" s="8"/>
    </row>
    <row r="20" spans="1:13" ht="15.75" hidden="1" customHeight="1">
      <c r="A20" s="30">
        <v>4</v>
      </c>
      <c r="B20" s="155" t="s">
        <v>90</v>
      </c>
      <c r="C20" s="182" t="s">
        <v>80</v>
      </c>
      <c r="D20" s="155" t="s">
        <v>40</v>
      </c>
      <c r="E20" s="128">
        <v>7</v>
      </c>
      <c r="F20" s="129">
        <v>0.14000000000000001</v>
      </c>
      <c r="G20" s="129">
        <v>297.19</v>
      </c>
      <c r="H20" s="66">
        <f t="shared" si="0"/>
        <v>4.1606600000000001E-2</v>
      </c>
      <c r="I20" s="13">
        <f>F20/12*G20</f>
        <v>3.4672166666666668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40</v>
      </c>
      <c r="E21" s="64">
        <v>2.4</v>
      </c>
      <c r="F21" s="65">
        <f>SUM(E21*2/100)</f>
        <v>4.8000000000000001E-2</v>
      </c>
      <c r="G21" s="65">
        <v>283.44</v>
      </c>
      <c r="H21" s="66">
        <f t="shared" si="0"/>
        <v>1.360512E-2</v>
      </c>
      <c r="I21" s="13">
        <f>F21/2*G21</f>
        <v>6.8025599999999997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50</v>
      </c>
      <c r="D22" s="62" t="s">
        <v>89</v>
      </c>
      <c r="E22" s="64">
        <v>317</v>
      </c>
      <c r="F22" s="65">
        <f>SUM(E22/100)</f>
        <v>3.17</v>
      </c>
      <c r="G22" s="65">
        <v>353.14</v>
      </c>
      <c r="H22" s="66">
        <f t="shared" si="0"/>
        <v>1.1194538000000001</v>
      </c>
      <c r="I22" s="13">
        <f>F22*G22</f>
        <v>1119.4538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50</v>
      </c>
      <c r="D23" s="62" t="s">
        <v>89</v>
      </c>
      <c r="E23" s="67">
        <v>24.15</v>
      </c>
      <c r="F23" s="65">
        <f>SUM(E23/100)</f>
        <v>0.24149999999999999</v>
      </c>
      <c r="G23" s="65">
        <v>58.08</v>
      </c>
      <c r="H23" s="66">
        <f t="shared" si="0"/>
        <v>1.4026319999999998E-2</v>
      </c>
      <c r="I23" s="13">
        <f t="shared" ref="I23:I26" si="1">F23*G23</f>
        <v>14.026319999999998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50</v>
      </c>
      <c r="D24" s="62" t="s">
        <v>51</v>
      </c>
      <c r="E24" s="64">
        <v>10</v>
      </c>
      <c r="F24" s="65">
        <f>SUM(E24/100)</f>
        <v>0.1</v>
      </c>
      <c r="G24" s="65">
        <v>511.12</v>
      </c>
      <c r="H24" s="66">
        <f t="shared" si="0"/>
        <v>5.1112000000000005E-2</v>
      </c>
      <c r="I24" s="13">
        <f t="shared" si="1"/>
        <v>51.112000000000002</v>
      </c>
      <c r="J24" s="23"/>
      <c r="K24" s="8"/>
      <c r="L24" s="8"/>
      <c r="M24" s="8"/>
    </row>
    <row r="25" spans="1:13" ht="15.75" hidden="1" customHeight="1">
      <c r="A25" s="30"/>
      <c r="B25" s="62" t="s">
        <v>95</v>
      </c>
      <c r="C25" s="63" t="s">
        <v>50</v>
      </c>
      <c r="D25" s="62" t="s">
        <v>51</v>
      </c>
      <c r="E25" s="64">
        <v>4.25</v>
      </c>
      <c r="F25" s="65">
        <f>SUM(E25/100)</f>
        <v>4.2500000000000003E-2</v>
      </c>
      <c r="G25" s="65">
        <v>683.05</v>
      </c>
      <c r="H25" s="66">
        <f t="shared" si="0"/>
        <v>2.9029625E-2</v>
      </c>
      <c r="I25" s="13">
        <f t="shared" si="1"/>
        <v>29.029624999999999</v>
      </c>
      <c r="J25" s="23"/>
      <c r="K25" s="8"/>
      <c r="L25" s="8"/>
      <c r="M25" s="8"/>
    </row>
    <row r="26" spans="1:13" ht="15.75" hidden="1" customHeight="1">
      <c r="A26" s="30"/>
      <c r="B26" s="62" t="s">
        <v>110</v>
      </c>
      <c r="C26" s="63" t="s">
        <v>50</v>
      </c>
      <c r="D26" s="62" t="s">
        <v>51</v>
      </c>
      <c r="E26" s="64">
        <v>9.5</v>
      </c>
      <c r="F26" s="65">
        <v>9.5000000000000001E-2</v>
      </c>
      <c r="G26" s="65">
        <v>283.44</v>
      </c>
      <c r="H26" s="66">
        <f>G26*F26/1000</f>
        <v>2.6926800000000001E-2</v>
      </c>
      <c r="I26" s="13">
        <f t="shared" si="1"/>
        <v>26.9268</v>
      </c>
      <c r="J26" s="23"/>
      <c r="K26" s="8"/>
      <c r="L26" s="8"/>
      <c r="M26" s="8"/>
    </row>
    <row r="27" spans="1:13" ht="15.75" customHeight="1">
      <c r="A27" s="30">
        <v>4</v>
      </c>
      <c r="B27" s="155" t="s">
        <v>174</v>
      </c>
      <c r="C27" s="182" t="s">
        <v>25</v>
      </c>
      <c r="D27" s="155" t="s">
        <v>175</v>
      </c>
      <c r="E27" s="205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  <c r="J27" s="24"/>
    </row>
    <row r="28" spans="1:13" ht="15.75" customHeight="1">
      <c r="A28" s="242" t="s">
        <v>78</v>
      </c>
      <c r="B28" s="242"/>
      <c r="C28" s="242"/>
      <c r="D28" s="242"/>
      <c r="E28" s="242"/>
      <c r="F28" s="242"/>
      <c r="G28" s="242"/>
      <c r="H28" s="242"/>
      <c r="I28" s="242"/>
      <c r="J28" s="24"/>
    </row>
    <row r="29" spans="1:13" ht="15.75" hidden="1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hidden="1" customHeight="1">
      <c r="A30" s="30"/>
      <c r="B30" s="62" t="s">
        <v>97</v>
      </c>
      <c r="C30" s="63" t="s">
        <v>82</v>
      </c>
      <c r="D30" s="62" t="s">
        <v>134</v>
      </c>
      <c r="E30" s="65">
        <v>372.4</v>
      </c>
      <c r="F30" s="65">
        <f>SUM(E30*52/1000)</f>
        <v>19.364799999999999</v>
      </c>
      <c r="G30" s="65">
        <v>204.44</v>
      </c>
      <c r="H30" s="66">
        <f t="shared" ref="H30:H36" si="2">SUM(F30*G30/1000)</f>
        <v>3.9589397119999998</v>
      </c>
      <c r="I30" s="13">
        <f>F30/6*G30</f>
        <v>659.82328533333327</v>
      </c>
      <c r="J30" s="23"/>
      <c r="K30" s="8"/>
      <c r="L30" s="8"/>
      <c r="M30" s="8"/>
    </row>
    <row r="31" spans="1:13" ht="31.5" hidden="1" customHeight="1">
      <c r="A31" s="30"/>
      <c r="B31" s="62" t="s">
        <v>108</v>
      </c>
      <c r="C31" s="63" t="s">
        <v>82</v>
      </c>
      <c r="D31" s="62" t="s">
        <v>135</v>
      </c>
      <c r="E31" s="65">
        <v>195.5</v>
      </c>
      <c r="F31" s="65">
        <f>SUM(E31*78/1000)</f>
        <v>15.249000000000001</v>
      </c>
      <c r="G31" s="65">
        <v>339.21</v>
      </c>
      <c r="H31" s="66">
        <f t="shared" si="2"/>
        <v>5.1726132900000001</v>
      </c>
      <c r="I31" s="13">
        <f t="shared" ref="I31:I34" si="3">F31/6*G31</f>
        <v>862.102215</v>
      </c>
      <c r="J31" s="23"/>
      <c r="K31" s="8"/>
      <c r="L31" s="8"/>
      <c r="M31" s="8"/>
    </row>
    <row r="32" spans="1:13" ht="15.75" hidden="1" customHeight="1">
      <c r="A32" s="30"/>
      <c r="B32" s="62" t="s">
        <v>27</v>
      </c>
      <c r="C32" s="63" t="s">
        <v>82</v>
      </c>
      <c r="D32" s="62" t="s">
        <v>51</v>
      </c>
      <c r="E32" s="65">
        <v>372.4</v>
      </c>
      <c r="F32" s="65">
        <f>SUM(E32/1000)</f>
        <v>0.37239999999999995</v>
      </c>
      <c r="G32" s="65">
        <v>3961.23</v>
      </c>
      <c r="H32" s="66">
        <f t="shared" si="2"/>
        <v>1.4751620519999999</v>
      </c>
      <c r="I32" s="13">
        <f>F32*G32</f>
        <v>1475.1620519999999</v>
      </c>
      <c r="J32" s="23"/>
      <c r="K32" s="8"/>
      <c r="L32" s="8"/>
      <c r="M32" s="8"/>
    </row>
    <row r="33" spans="1:14" ht="15.75" hidden="1" customHeight="1">
      <c r="A33" s="30"/>
      <c r="B33" s="62" t="s">
        <v>136</v>
      </c>
      <c r="C33" s="63" t="s">
        <v>38</v>
      </c>
      <c r="D33" s="62" t="s">
        <v>60</v>
      </c>
      <c r="E33" s="65">
        <v>2</v>
      </c>
      <c r="F33" s="65">
        <f>E33*155/100</f>
        <v>3.1</v>
      </c>
      <c r="G33" s="65">
        <v>1707.63</v>
      </c>
      <c r="H33" s="66">
        <f t="shared" si="2"/>
        <v>5.2936529999999999</v>
      </c>
      <c r="I33" s="13">
        <f t="shared" si="3"/>
        <v>882.27550000000019</v>
      </c>
      <c r="J33" s="23"/>
      <c r="K33" s="8"/>
      <c r="L33" s="8"/>
      <c r="M33" s="8"/>
    </row>
    <row r="34" spans="1:14" ht="15.75" hidden="1" customHeight="1">
      <c r="A34" s="30"/>
      <c r="B34" s="62" t="s">
        <v>96</v>
      </c>
      <c r="C34" s="63" t="s">
        <v>30</v>
      </c>
      <c r="D34" s="62" t="s">
        <v>60</v>
      </c>
      <c r="E34" s="69">
        <f>1/3</f>
        <v>0.33333333333333331</v>
      </c>
      <c r="F34" s="65">
        <f>155/3</f>
        <v>51.666666666666664</v>
      </c>
      <c r="G34" s="65">
        <v>74.349999999999994</v>
      </c>
      <c r="H34" s="66">
        <f t="shared" si="2"/>
        <v>3.841416666666666</v>
      </c>
      <c r="I34" s="13">
        <f t="shared" si="3"/>
        <v>640.23611111111109</v>
      </c>
      <c r="J34" s="23"/>
      <c r="K34" s="8"/>
    </row>
    <row r="35" spans="1:14" ht="15.75" hidden="1" customHeight="1">
      <c r="A35" s="30"/>
      <c r="B35" s="62" t="s">
        <v>61</v>
      </c>
      <c r="C35" s="63" t="s">
        <v>32</v>
      </c>
      <c r="D35" s="62" t="s">
        <v>63</v>
      </c>
      <c r="E35" s="64"/>
      <c r="F35" s="65">
        <v>2</v>
      </c>
      <c r="G35" s="65">
        <v>250.92</v>
      </c>
      <c r="H35" s="66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62" t="s">
        <v>62</v>
      </c>
      <c r="C36" s="63" t="s">
        <v>31</v>
      </c>
      <c r="D36" s="62" t="s">
        <v>63</v>
      </c>
      <c r="E36" s="64"/>
      <c r="F36" s="65">
        <v>1</v>
      </c>
      <c r="G36" s="65">
        <v>1490.31</v>
      </c>
      <c r="H36" s="66">
        <f t="shared" si="2"/>
        <v>1.49031</v>
      </c>
      <c r="I36" s="13">
        <v>0</v>
      </c>
      <c r="J36" s="24"/>
    </row>
    <row r="37" spans="1:14" ht="15.75" customHeight="1">
      <c r="A37" s="30"/>
      <c r="B37" s="81" t="s">
        <v>5</v>
      </c>
      <c r="C37" s="63"/>
      <c r="D37" s="62"/>
      <c r="E37" s="64"/>
      <c r="F37" s="65"/>
      <c r="G37" s="65"/>
      <c r="H37" s="66" t="s">
        <v>122</v>
      </c>
      <c r="I37" s="13"/>
      <c r="J37" s="24"/>
      <c r="L37" s="19"/>
      <c r="M37" s="20"/>
      <c r="N37" s="21"/>
    </row>
    <row r="38" spans="1:14" ht="15.75" customHeight="1">
      <c r="A38" s="30">
        <v>5</v>
      </c>
      <c r="B38" s="181" t="s">
        <v>26</v>
      </c>
      <c r="C38" s="182" t="s">
        <v>31</v>
      </c>
      <c r="D38" s="155" t="s">
        <v>214</v>
      </c>
      <c r="E38" s="128"/>
      <c r="F38" s="129">
        <v>5</v>
      </c>
      <c r="G38" s="129">
        <v>2083</v>
      </c>
      <c r="H38" s="66">
        <f t="shared" ref="H38:H45" si="4">SUM(F38*G38/1000)</f>
        <v>10.414999999999999</v>
      </c>
      <c r="I38" s="13">
        <f>G38*1.1</f>
        <v>2291.3000000000002</v>
      </c>
      <c r="J38" s="24"/>
      <c r="L38" s="19"/>
      <c r="M38" s="20"/>
      <c r="N38" s="21"/>
    </row>
    <row r="39" spans="1:14" ht="15.75" hidden="1" customHeight="1">
      <c r="A39" s="30">
        <v>9</v>
      </c>
      <c r="B39" s="62" t="s">
        <v>113</v>
      </c>
      <c r="C39" s="63" t="s">
        <v>114</v>
      </c>
      <c r="D39" s="62" t="s">
        <v>63</v>
      </c>
      <c r="E39" s="64"/>
      <c r="F39" s="65">
        <v>26</v>
      </c>
      <c r="G39" s="65">
        <v>314</v>
      </c>
      <c r="H39" s="66">
        <f>G39*F39/1000</f>
        <v>8.1639999999999997</v>
      </c>
      <c r="I39" s="13">
        <v>0</v>
      </c>
      <c r="J39" s="24"/>
      <c r="L39" s="19"/>
      <c r="M39" s="20"/>
      <c r="N39" s="21"/>
    </row>
    <row r="40" spans="1:14" ht="15.75" customHeight="1">
      <c r="A40" s="30">
        <v>6</v>
      </c>
      <c r="B40" s="181" t="s">
        <v>137</v>
      </c>
      <c r="C40" s="183" t="s">
        <v>29</v>
      </c>
      <c r="D40" s="155" t="s">
        <v>179</v>
      </c>
      <c r="E40" s="128">
        <v>88</v>
      </c>
      <c r="F40" s="132">
        <f>E40*30/1000</f>
        <v>2.64</v>
      </c>
      <c r="G40" s="129">
        <v>2868.09</v>
      </c>
      <c r="H40" s="66">
        <f>G40*F40/1000</f>
        <v>7.5717576000000006</v>
      </c>
      <c r="I40" s="13">
        <f>F40/6*G40</f>
        <v>1261.9596000000001</v>
      </c>
      <c r="J40" s="24"/>
      <c r="L40" s="19"/>
      <c r="M40" s="20"/>
      <c r="N40" s="21"/>
    </row>
    <row r="41" spans="1:14" ht="15.75" customHeight="1">
      <c r="A41" s="30">
        <v>7</v>
      </c>
      <c r="B41" s="155" t="s">
        <v>64</v>
      </c>
      <c r="C41" s="182" t="s">
        <v>29</v>
      </c>
      <c r="D41" s="155" t="s">
        <v>180</v>
      </c>
      <c r="E41" s="129">
        <v>93.3</v>
      </c>
      <c r="F41" s="132">
        <f>SUM(E41*155/1000)</f>
        <v>14.461499999999999</v>
      </c>
      <c r="G41" s="129">
        <v>478.42</v>
      </c>
      <c r="H41" s="66">
        <f t="shared" si="4"/>
        <v>6.9186708299999999</v>
      </c>
      <c r="I41" s="13">
        <f>F41/6*G41</f>
        <v>1153.111805</v>
      </c>
      <c r="J41" s="24"/>
      <c r="L41" s="19"/>
      <c r="M41" s="20"/>
      <c r="N41" s="21"/>
    </row>
    <row r="42" spans="1:14" ht="47.25" customHeight="1">
      <c r="A42" s="30">
        <v>8</v>
      </c>
      <c r="B42" s="155" t="s">
        <v>76</v>
      </c>
      <c r="C42" s="182" t="s">
        <v>82</v>
      </c>
      <c r="D42" s="155" t="s">
        <v>181</v>
      </c>
      <c r="E42" s="129">
        <v>34</v>
      </c>
      <c r="F42" s="132">
        <f>SUM(E42*35/1000)</f>
        <v>1.19</v>
      </c>
      <c r="G42" s="129">
        <v>7915.6</v>
      </c>
      <c r="H42" s="66">
        <f t="shared" si="4"/>
        <v>9.4195640000000012</v>
      </c>
      <c r="I42" s="13">
        <f>F42/6*G42</f>
        <v>1569.9273333333333</v>
      </c>
      <c r="J42" s="24"/>
      <c r="L42" s="19"/>
      <c r="M42" s="20"/>
      <c r="N42" s="21"/>
    </row>
    <row r="43" spans="1:14" ht="15.75" customHeight="1">
      <c r="A43" s="30">
        <v>9</v>
      </c>
      <c r="B43" s="155" t="s">
        <v>83</v>
      </c>
      <c r="C43" s="182" t="s">
        <v>82</v>
      </c>
      <c r="D43" s="155" t="s">
        <v>215</v>
      </c>
      <c r="E43" s="129">
        <v>72</v>
      </c>
      <c r="F43" s="132">
        <v>0.36</v>
      </c>
      <c r="G43" s="129">
        <v>584.74</v>
      </c>
      <c r="H43" s="66">
        <f t="shared" si="4"/>
        <v>0.21050639999999998</v>
      </c>
      <c r="I43" s="13">
        <f>G43*F43/45</f>
        <v>4.6779199999999994</v>
      </c>
      <c r="J43" s="24"/>
      <c r="L43" s="19"/>
      <c r="M43" s="20"/>
      <c r="N43" s="21"/>
    </row>
    <row r="44" spans="1:14" ht="15.75" customHeight="1">
      <c r="A44" s="30">
        <v>10</v>
      </c>
      <c r="B44" s="181" t="s">
        <v>66</v>
      </c>
      <c r="C44" s="183" t="s">
        <v>32</v>
      </c>
      <c r="D44" s="181"/>
      <c r="E44" s="184"/>
      <c r="F44" s="132">
        <v>0.1</v>
      </c>
      <c r="G44" s="132">
        <v>800</v>
      </c>
      <c r="H44" s="66">
        <f t="shared" si="4"/>
        <v>0.08</v>
      </c>
      <c r="I44" s="13">
        <f>G44*F44/45</f>
        <v>1.7777777777777777</v>
      </c>
      <c r="J44" s="24"/>
      <c r="L44" s="19"/>
      <c r="M44" s="20"/>
      <c r="N44" s="21"/>
    </row>
    <row r="45" spans="1:14" ht="30" customHeight="1">
      <c r="A45" s="30">
        <v>11</v>
      </c>
      <c r="B45" s="47" t="s">
        <v>138</v>
      </c>
      <c r="C45" s="48" t="s">
        <v>29</v>
      </c>
      <c r="D45" s="181" t="s">
        <v>183</v>
      </c>
      <c r="E45" s="184">
        <v>1.8</v>
      </c>
      <c r="F45" s="132">
        <f>SUM(E45*12/1000)</f>
        <v>2.1600000000000001E-2</v>
      </c>
      <c r="G45" s="132">
        <v>270.61</v>
      </c>
      <c r="H45" s="66">
        <f t="shared" si="4"/>
        <v>5.8451760000000005E-3</v>
      </c>
      <c r="I45" s="13">
        <f t="shared" ref="I45" si="5">F45/6*G45</f>
        <v>0.97419600000000017</v>
      </c>
      <c r="J45" s="24"/>
      <c r="L45" s="19"/>
      <c r="M45" s="20"/>
      <c r="N45" s="21"/>
    </row>
    <row r="46" spans="1:14" ht="15.75" hidden="1" customHeight="1">
      <c r="A46" s="249" t="s">
        <v>124</v>
      </c>
      <c r="B46" s="250"/>
      <c r="C46" s="250"/>
      <c r="D46" s="250"/>
      <c r="E46" s="250"/>
      <c r="F46" s="250"/>
      <c r="G46" s="250"/>
      <c r="H46" s="250"/>
      <c r="I46" s="251"/>
      <c r="J46" s="24"/>
      <c r="L46" s="19"/>
      <c r="M46" s="20"/>
      <c r="N46" s="21"/>
    </row>
    <row r="47" spans="1:14" ht="15.75" hidden="1" customHeight="1">
      <c r="A47" s="30"/>
      <c r="B47" s="62" t="s">
        <v>117</v>
      </c>
      <c r="C47" s="63" t="s">
        <v>82</v>
      </c>
      <c r="D47" s="62" t="s">
        <v>40</v>
      </c>
      <c r="E47" s="64">
        <v>670.4</v>
      </c>
      <c r="F47" s="65">
        <f>SUM(E47*2/1000)</f>
        <v>1.3408</v>
      </c>
      <c r="G47" s="13">
        <v>1114.1300000000001</v>
      </c>
      <c r="H47" s="66">
        <f t="shared" ref="H47:H55" si="6">SUM(F47*G47/1000)</f>
        <v>1.4938255040000001</v>
      </c>
      <c r="I47" s="13">
        <f t="shared" ref="I47:I49" si="7">F47/2*G47</f>
        <v>746.91275200000007</v>
      </c>
      <c r="J47" s="24"/>
      <c r="L47" s="19"/>
      <c r="M47" s="20"/>
      <c r="N47" s="21"/>
    </row>
    <row r="48" spans="1:14" ht="15.75" hidden="1" customHeight="1">
      <c r="A48" s="30"/>
      <c r="B48" s="62" t="s">
        <v>33</v>
      </c>
      <c r="C48" s="63" t="s">
        <v>82</v>
      </c>
      <c r="D48" s="62" t="s">
        <v>40</v>
      </c>
      <c r="E48" s="64">
        <v>26</v>
      </c>
      <c r="F48" s="65">
        <f t="shared" ref="F48:F50" si="8">SUM(E48*2/1000)</f>
        <v>5.1999999999999998E-2</v>
      </c>
      <c r="G48" s="13">
        <v>4419.05</v>
      </c>
      <c r="H48" s="66">
        <f t="shared" si="6"/>
        <v>0.22979060000000001</v>
      </c>
      <c r="I48" s="13">
        <f t="shared" si="7"/>
        <v>114.89530000000001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34</v>
      </c>
      <c r="C49" s="63" t="s">
        <v>82</v>
      </c>
      <c r="D49" s="62" t="s">
        <v>40</v>
      </c>
      <c r="E49" s="64">
        <v>760.4</v>
      </c>
      <c r="F49" s="65">
        <f t="shared" si="8"/>
        <v>1.5207999999999999</v>
      </c>
      <c r="G49" s="13">
        <v>1803.69</v>
      </c>
      <c r="H49" s="66">
        <f t="shared" si="6"/>
        <v>2.743051752</v>
      </c>
      <c r="I49" s="13">
        <f t="shared" si="7"/>
        <v>1371.5258759999999</v>
      </c>
      <c r="J49" s="24"/>
      <c r="L49" s="19"/>
      <c r="M49" s="20"/>
      <c r="N49" s="21"/>
    </row>
    <row r="50" spans="1:22" ht="15.75" hidden="1" customHeight="1">
      <c r="A50" s="30"/>
      <c r="B50" s="62" t="s">
        <v>35</v>
      </c>
      <c r="C50" s="63" t="s">
        <v>82</v>
      </c>
      <c r="D50" s="62" t="s">
        <v>40</v>
      </c>
      <c r="E50" s="64">
        <v>1440</v>
      </c>
      <c r="F50" s="65">
        <f t="shared" si="8"/>
        <v>2.88</v>
      </c>
      <c r="G50" s="13">
        <v>1243.43</v>
      </c>
      <c r="H50" s="66">
        <f t="shared" si="6"/>
        <v>3.5810784</v>
      </c>
      <c r="I50" s="13">
        <f>F50/2*G50</f>
        <v>1790.5391999999999</v>
      </c>
      <c r="J50" s="24"/>
      <c r="L50" s="19"/>
      <c r="M50" s="20"/>
      <c r="N50" s="21"/>
    </row>
    <row r="51" spans="1:22" ht="15.75" hidden="1" customHeight="1">
      <c r="A51" s="30">
        <v>14</v>
      </c>
      <c r="B51" s="62" t="s">
        <v>53</v>
      </c>
      <c r="C51" s="63" t="s">
        <v>82</v>
      </c>
      <c r="D51" s="62" t="s">
        <v>130</v>
      </c>
      <c r="E51" s="64">
        <v>2409</v>
      </c>
      <c r="F51" s="65">
        <f>SUM(E51*5/1000)</f>
        <v>12.045</v>
      </c>
      <c r="G51" s="13">
        <v>1803.69</v>
      </c>
      <c r="H51" s="66">
        <f t="shared" si="6"/>
        <v>21.725446050000002</v>
      </c>
      <c r="I51" s="13">
        <f>F51/5*G51</f>
        <v>4345.0892100000001</v>
      </c>
      <c r="J51" s="24"/>
      <c r="L51" s="19"/>
      <c r="M51" s="20"/>
      <c r="N51" s="21"/>
    </row>
    <row r="52" spans="1:22" ht="32.25" hidden="1" customHeight="1">
      <c r="A52" s="30"/>
      <c r="B52" s="62" t="s">
        <v>84</v>
      </c>
      <c r="C52" s="63" t="s">
        <v>82</v>
      </c>
      <c r="D52" s="62" t="s">
        <v>40</v>
      </c>
      <c r="E52" s="64">
        <v>2409</v>
      </c>
      <c r="F52" s="65">
        <f>SUM(E52*2/1000)</f>
        <v>4.8179999999999996</v>
      </c>
      <c r="G52" s="13">
        <v>1591.6</v>
      </c>
      <c r="H52" s="66">
        <f t="shared" si="6"/>
        <v>7.6683287999999994</v>
      </c>
      <c r="I52" s="13">
        <f>F52/2*G52</f>
        <v>3834.1643999999997</v>
      </c>
      <c r="J52" s="24"/>
      <c r="L52" s="19"/>
      <c r="M52" s="20"/>
      <c r="N52" s="21"/>
    </row>
    <row r="53" spans="1:22" ht="32.25" hidden="1" customHeight="1">
      <c r="A53" s="30">
        <v>16</v>
      </c>
      <c r="B53" s="62" t="s">
        <v>85</v>
      </c>
      <c r="C53" s="63" t="s">
        <v>36</v>
      </c>
      <c r="D53" s="62" t="s">
        <v>40</v>
      </c>
      <c r="E53" s="64">
        <v>10</v>
      </c>
      <c r="F53" s="65">
        <f>SUM(E53*2/100)</f>
        <v>0.2</v>
      </c>
      <c r="G53" s="13">
        <v>4058.32</v>
      </c>
      <c r="H53" s="66">
        <f>SUM(F53*G53/1000)</f>
        <v>0.81166400000000005</v>
      </c>
      <c r="I53" s="13">
        <f t="shared" ref="I53:I54" si="9">F53/2*G53</f>
        <v>405.83200000000005</v>
      </c>
      <c r="J53" s="24"/>
      <c r="L53" s="19"/>
    </row>
    <row r="54" spans="1:22" ht="15.75" hidden="1" customHeight="1">
      <c r="A54" s="30"/>
      <c r="B54" s="62" t="s">
        <v>37</v>
      </c>
      <c r="C54" s="63" t="s">
        <v>38</v>
      </c>
      <c r="D54" s="62" t="s">
        <v>40</v>
      </c>
      <c r="E54" s="64">
        <v>1</v>
      </c>
      <c r="F54" s="65">
        <v>0.02</v>
      </c>
      <c r="G54" s="13">
        <v>7412.92</v>
      </c>
      <c r="H54" s="66">
        <f t="shared" si="6"/>
        <v>0.14825839999999998</v>
      </c>
      <c r="I54" s="13">
        <f t="shared" si="9"/>
        <v>74.129199999999997</v>
      </c>
    </row>
    <row r="55" spans="1:22" ht="15.75" hidden="1" customHeight="1">
      <c r="A55" s="30">
        <v>15</v>
      </c>
      <c r="B55" s="62" t="s">
        <v>39</v>
      </c>
      <c r="C55" s="63" t="s">
        <v>98</v>
      </c>
      <c r="D55" s="62" t="s">
        <v>67</v>
      </c>
      <c r="E55" s="64">
        <v>80</v>
      </c>
      <c r="F55" s="65">
        <f>SUM(E55)*3</f>
        <v>240</v>
      </c>
      <c r="G55" s="13">
        <v>86.15</v>
      </c>
      <c r="H55" s="66">
        <f t="shared" si="6"/>
        <v>20.675999999999998</v>
      </c>
      <c r="I55" s="13">
        <f>F55/3*G55</f>
        <v>6892</v>
      </c>
    </row>
    <row r="56" spans="1:22" ht="15.75" customHeight="1">
      <c r="A56" s="249" t="s">
        <v>151</v>
      </c>
      <c r="B56" s="250"/>
      <c r="C56" s="250"/>
      <c r="D56" s="250"/>
      <c r="E56" s="250"/>
      <c r="F56" s="250"/>
      <c r="G56" s="250"/>
      <c r="H56" s="250"/>
      <c r="I56" s="251"/>
    </row>
    <row r="57" spans="1:22" ht="15.75" hidden="1" customHeight="1">
      <c r="A57" s="30"/>
      <c r="B57" s="81" t="s">
        <v>41</v>
      </c>
      <c r="C57" s="63"/>
      <c r="D57" s="62"/>
      <c r="E57" s="64"/>
      <c r="F57" s="65"/>
      <c r="G57" s="65"/>
      <c r="H57" s="66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31.5" hidden="1" customHeight="1">
      <c r="A58" s="30">
        <v>14</v>
      </c>
      <c r="B58" s="62" t="s">
        <v>118</v>
      </c>
      <c r="C58" s="63" t="s">
        <v>80</v>
      </c>
      <c r="D58" s="62" t="s">
        <v>99</v>
      </c>
      <c r="E58" s="64">
        <v>79</v>
      </c>
      <c r="F58" s="65">
        <f>SUM(E58*6/100)</f>
        <v>4.74</v>
      </c>
      <c r="G58" s="13">
        <v>2029.3</v>
      </c>
      <c r="H58" s="66">
        <f>SUM(F58*G58/1000)</f>
        <v>9.6188819999999993</v>
      </c>
      <c r="I58" s="13">
        <f>F58/6*G58</f>
        <v>1603.1469999999999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>
        <v>14</v>
      </c>
      <c r="B59" s="71" t="s">
        <v>120</v>
      </c>
      <c r="C59" s="72" t="s">
        <v>121</v>
      </c>
      <c r="D59" s="71" t="s">
        <v>40</v>
      </c>
      <c r="E59" s="73">
        <v>2</v>
      </c>
      <c r="F59" s="74">
        <v>4</v>
      </c>
      <c r="G59" s="13">
        <v>237.1</v>
      </c>
      <c r="H59" s="66">
        <f t="shared" ref="H59" si="10">SUM(F59*G59/1000)</f>
        <v>0.94840000000000002</v>
      </c>
      <c r="I59" s="13">
        <f>F59/2*G59</f>
        <v>474.2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>
        <v>12</v>
      </c>
      <c r="B60" s="155" t="s">
        <v>119</v>
      </c>
      <c r="C60" s="182" t="s">
        <v>80</v>
      </c>
      <c r="D60" s="155" t="s">
        <v>178</v>
      </c>
      <c r="E60" s="128">
        <v>3.8</v>
      </c>
      <c r="F60" s="129">
        <f>SUM(E60*6/100)</f>
        <v>0.22799999999999998</v>
      </c>
      <c r="G60" s="34">
        <v>2110.4699999999998</v>
      </c>
      <c r="H60" s="66">
        <f>SUM(F60*G60/1000)</f>
        <v>0.48118715999999989</v>
      </c>
      <c r="I60" s="13">
        <f>F60/6*G60</f>
        <v>80.197859999999991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140</v>
      </c>
      <c r="C61" s="63" t="s">
        <v>141</v>
      </c>
      <c r="D61" s="62" t="s">
        <v>63</v>
      </c>
      <c r="E61" s="64"/>
      <c r="F61" s="65">
        <v>3</v>
      </c>
      <c r="G61" s="13">
        <v>1582.05</v>
      </c>
      <c r="H61" s="66">
        <f>SUM(F61*G61/1000)</f>
        <v>4.7461499999999992</v>
      </c>
      <c r="I61" s="13">
        <v>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customHeight="1">
      <c r="A62" s="30"/>
      <c r="B62" s="82" t="s">
        <v>42</v>
      </c>
      <c r="C62" s="72"/>
      <c r="D62" s="71"/>
      <c r="E62" s="73"/>
      <c r="F62" s="74"/>
      <c r="G62" s="13"/>
      <c r="H62" s="75"/>
      <c r="I62" s="13"/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71" t="s">
        <v>142</v>
      </c>
      <c r="C63" s="72" t="s">
        <v>50</v>
      </c>
      <c r="D63" s="71" t="s">
        <v>51</v>
      </c>
      <c r="E63" s="73">
        <v>110</v>
      </c>
      <c r="F63" s="74">
        <f>E63/100</f>
        <v>1.1000000000000001</v>
      </c>
      <c r="G63" s="13">
        <v>1040.8399999999999</v>
      </c>
      <c r="H63" s="75">
        <f>F63*G63/1000</f>
        <v>1.1449240000000001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0">
        <v>12</v>
      </c>
      <c r="B64" s="71" t="s">
        <v>109</v>
      </c>
      <c r="C64" s="72" t="s">
        <v>25</v>
      </c>
      <c r="D64" s="71" t="s">
        <v>184</v>
      </c>
      <c r="E64" s="73">
        <v>100</v>
      </c>
      <c r="F64" s="76">
        <f>E64*12</f>
        <v>1200</v>
      </c>
      <c r="G64" s="56">
        <v>1.4</v>
      </c>
      <c r="H64" s="74">
        <f>F64*G64/1000</f>
        <v>1.68</v>
      </c>
      <c r="I64" s="13">
        <f>F64/12*G64</f>
        <v>140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0"/>
      <c r="B65" s="82" t="s">
        <v>43</v>
      </c>
      <c r="C65" s="72"/>
      <c r="D65" s="71"/>
      <c r="E65" s="73"/>
      <c r="F65" s="76"/>
      <c r="G65" s="76"/>
      <c r="H65" s="74" t="s">
        <v>122</v>
      </c>
      <c r="I65" s="13"/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>
        <v>17</v>
      </c>
      <c r="B66" s="14" t="s">
        <v>44</v>
      </c>
      <c r="C66" s="16" t="s">
        <v>98</v>
      </c>
      <c r="D66" s="14" t="s">
        <v>63</v>
      </c>
      <c r="E66" s="18">
        <v>8</v>
      </c>
      <c r="F66" s="65">
        <f>SUM(E66)</f>
        <v>8</v>
      </c>
      <c r="G66" s="13">
        <v>291.68</v>
      </c>
      <c r="H66" s="61">
        <f t="shared" ref="H66:H83" si="11">SUM(F66*G66/1000)</f>
        <v>2.33344</v>
      </c>
      <c r="I66" s="13">
        <f>G66</f>
        <v>291.68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hidden="1" customHeight="1">
      <c r="A67" s="30"/>
      <c r="B67" s="14" t="s">
        <v>45</v>
      </c>
      <c r="C67" s="16" t="s">
        <v>98</v>
      </c>
      <c r="D67" s="14" t="s">
        <v>63</v>
      </c>
      <c r="E67" s="18">
        <v>4</v>
      </c>
      <c r="F67" s="65">
        <f>SUM(E67)</f>
        <v>4</v>
      </c>
      <c r="G67" s="13">
        <v>100.01</v>
      </c>
      <c r="H67" s="61">
        <f t="shared" si="11"/>
        <v>0.40004000000000001</v>
      </c>
      <c r="I67" s="13">
        <v>0</v>
      </c>
      <c r="J67" s="26"/>
      <c r="K67" s="26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hidden="1" customHeight="1">
      <c r="A68" s="30"/>
      <c r="B68" s="14" t="s">
        <v>46</v>
      </c>
      <c r="C68" s="16" t="s">
        <v>100</v>
      </c>
      <c r="D68" s="14" t="s">
        <v>51</v>
      </c>
      <c r="E68" s="64">
        <v>9962</v>
      </c>
      <c r="F68" s="13">
        <f>SUM(E68/100)</f>
        <v>99.62</v>
      </c>
      <c r="G68" s="13">
        <v>278.24</v>
      </c>
      <c r="H68" s="61">
        <f t="shared" si="11"/>
        <v>27.718268800000001</v>
      </c>
      <c r="I68" s="13">
        <f>F68*G68</f>
        <v>27718.268800000002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hidden="1" customHeight="1">
      <c r="A69" s="30"/>
      <c r="B69" s="14" t="s">
        <v>47</v>
      </c>
      <c r="C69" s="16" t="s">
        <v>101</v>
      </c>
      <c r="D69" s="14"/>
      <c r="E69" s="64">
        <v>9962</v>
      </c>
      <c r="F69" s="13">
        <f>SUM(E69/1000)</f>
        <v>9.9619999999999997</v>
      </c>
      <c r="G69" s="13">
        <v>216.68</v>
      </c>
      <c r="H69" s="61">
        <f t="shared" si="11"/>
        <v>2.1585661599999999</v>
      </c>
      <c r="I69" s="13">
        <f t="shared" ref="I69:I73" si="12">F69*G69</f>
        <v>2158.5661599999999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30"/>
      <c r="B70" s="14" t="s">
        <v>48</v>
      </c>
      <c r="C70" s="16" t="s">
        <v>72</v>
      </c>
      <c r="D70" s="14" t="s">
        <v>51</v>
      </c>
      <c r="E70" s="64">
        <v>806.3</v>
      </c>
      <c r="F70" s="13">
        <f>SUM(E70/100)</f>
        <v>8.0629999999999988</v>
      </c>
      <c r="G70" s="13">
        <v>2720.94</v>
      </c>
      <c r="H70" s="61">
        <f t="shared" si="11"/>
        <v>21.938939219999998</v>
      </c>
      <c r="I70" s="13">
        <f t="shared" si="12"/>
        <v>21938.939219999997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hidden="1" customHeight="1">
      <c r="A71" s="30">
        <v>18</v>
      </c>
      <c r="B71" s="89" t="s">
        <v>102</v>
      </c>
      <c r="C71" s="90" t="s">
        <v>32</v>
      </c>
      <c r="D71" s="91"/>
      <c r="E71" s="73">
        <v>9.4</v>
      </c>
      <c r="F71" s="92">
        <f>SUM(E71)</f>
        <v>9.4</v>
      </c>
      <c r="G71" s="92">
        <v>44.31</v>
      </c>
      <c r="H71" s="93">
        <f t="shared" si="11"/>
        <v>0.416514</v>
      </c>
      <c r="I71" s="13">
        <f t="shared" si="12"/>
        <v>416.51400000000001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1" ht="15.75" hidden="1" customHeight="1">
      <c r="A72" s="30"/>
      <c r="B72" s="77" t="s">
        <v>103</v>
      </c>
      <c r="C72" s="16" t="s">
        <v>32</v>
      </c>
      <c r="D72" s="14"/>
      <c r="E72" s="18">
        <v>9.4</v>
      </c>
      <c r="F72" s="92">
        <f t="shared" ref="F72:F75" si="13">SUM(E72)</f>
        <v>9.4</v>
      </c>
      <c r="G72" s="13">
        <v>47.79</v>
      </c>
      <c r="H72" s="13">
        <f t="shared" si="11"/>
        <v>0.44922600000000001</v>
      </c>
      <c r="I72" s="13">
        <f t="shared" si="12"/>
        <v>449.226</v>
      </c>
      <c r="J72" s="5"/>
      <c r="K72" s="5"/>
      <c r="L72" s="5"/>
      <c r="M72" s="5"/>
      <c r="N72" s="5"/>
      <c r="O72" s="5"/>
      <c r="P72" s="5"/>
      <c r="Q72" s="5"/>
      <c r="R72" s="234"/>
      <c r="S72" s="234"/>
      <c r="T72" s="234"/>
      <c r="U72" s="234"/>
    </row>
    <row r="73" spans="1:21" ht="15.75" hidden="1" customHeight="1">
      <c r="A73" s="30"/>
      <c r="B73" s="14" t="s">
        <v>54</v>
      </c>
      <c r="C73" s="16" t="s">
        <v>55</v>
      </c>
      <c r="D73" s="14" t="s">
        <v>51</v>
      </c>
      <c r="E73" s="18">
        <v>2</v>
      </c>
      <c r="F73" s="92">
        <f t="shared" si="13"/>
        <v>2</v>
      </c>
      <c r="G73" s="13">
        <v>65.42</v>
      </c>
      <c r="H73" s="13">
        <f t="shared" si="11"/>
        <v>0.13084000000000001</v>
      </c>
      <c r="I73" s="13">
        <f t="shared" si="12"/>
        <v>130.84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>
      <c r="A74" s="30"/>
      <c r="B74" s="105" t="s">
        <v>68</v>
      </c>
      <c r="C74" s="16"/>
      <c r="D74" s="14"/>
      <c r="E74" s="18"/>
      <c r="F74" s="13"/>
      <c r="G74" s="13"/>
      <c r="H74" s="13" t="s">
        <v>122</v>
      </c>
      <c r="I74" s="13"/>
    </row>
    <row r="75" spans="1:21" ht="31.5" hidden="1" customHeight="1">
      <c r="A75" s="30"/>
      <c r="B75" s="14" t="s">
        <v>143</v>
      </c>
      <c r="C75" s="16" t="s">
        <v>98</v>
      </c>
      <c r="D75" s="14" t="s">
        <v>63</v>
      </c>
      <c r="E75" s="18">
        <v>2</v>
      </c>
      <c r="F75" s="92">
        <f t="shared" si="13"/>
        <v>2</v>
      </c>
      <c r="G75" s="13">
        <v>1543.4</v>
      </c>
      <c r="H75" s="13">
        <f t="shared" ref="H75:H77" si="14">SUM(F75*G75/1000)</f>
        <v>3.0868000000000002</v>
      </c>
      <c r="I75" s="13">
        <v>0</v>
      </c>
    </row>
    <row r="76" spans="1:21" ht="15.75" hidden="1" customHeight="1">
      <c r="A76" s="30"/>
      <c r="B76" s="14" t="s">
        <v>69</v>
      </c>
      <c r="C76" s="16" t="s">
        <v>70</v>
      </c>
      <c r="D76" s="14" t="s">
        <v>63</v>
      </c>
      <c r="E76" s="18">
        <v>2</v>
      </c>
      <c r="F76" s="13">
        <f>E76/10</f>
        <v>0.2</v>
      </c>
      <c r="G76" s="13">
        <v>657.87</v>
      </c>
      <c r="H76" s="13">
        <f t="shared" si="14"/>
        <v>0.13157400000000002</v>
      </c>
      <c r="I76" s="13">
        <v>0</v>
      </c>
    </row>
    <row r="77" spans="1:21" ht="15.75" hidden="1" customHeight="1">
      <c r="A77" s="30"/>
      <c r="B77" s="14" t="s">
        <v>144</v>
      </c>
      <c r="C77" s="16" t="s">
        <v>98</v>
      </c>
      <c r="D77" s="14" t="s">
        <v>63</v>
      </c>
      <c r="E77" s="18">
        <v>1</v>
      </c>
      <c r="F77" s="13">
        <f>SUM(E77)</f>
        <v>1</v>
      </c>
      <c r="G77" s="13">
        <v>1118.72</v>
      </c>
      <c r="H77" s="13">
        <f t="shared" si="14"/>
        <v>1.1187199999999999</v>
      </c>
      <c r="I77" s="13">
        <v>0</v>
      </c>
    </row>
    <row r="78" spans="1:21" ht="15.75" hidden="1" customHeight="1">
      <c r="A78" s="30"/>
      <c r="B78" s="46" t="s">
        <v>145</v>
      </c>
      <c r="C78" s="49" t="s">
        <v>98</v>
      </c>
      <c r="D78" s="14" t="s">
        <v>63</v>
      </c>
      <c r="E78" s="18">
        <v>1</v>
      </c>
      <c r="F78" s="13">
        <v>1</v>
      </c>
      <c r="G78" s="13">
        <v>1605.83</v>
      </c>
      <c r="H78" s="13">
        <f>SUM(F78*G78/1000)</f>
        <v>1.6058299999999999</v>
      </c>
      <c r="I78" s="13">
        <v>0</v>
      </c>
    </row>
    <row r="79" spans="1:21" ht="15.75" customHeight="1">
      <c r="A79" s="30">
        <v>13</v>
      </c>
      <c r="B79" s="47" t="s">
        <v>146</v>
      </c>
      <c r="C79" s="48" t="s">
        <v>98</v>
      </c>
      <c r="D79" s="35" t="s">
        <v>178</v>
      </c>
      <c r="E79" s="17">
        <v>1</v>
      </c>
      <c r="F79" s="34">
        <f>E79*12</f>
        <v>12</v>
      </c>
      <c r="G79" s="34">
        <v>55.55</v>
      </c>
      <c r="H79" s="13">
        <f t="shared" ref="H79" si="15">SUM(F79*G79/1000)</f>
        <v>0.66659999999999986</v>
      </c>
      <c r="I79" s="13">
        <f>F79/12*G79</f>
        <v>55.55</v>
      </c>
    </row>
    <row r="80" spans="1:21" ht="15.75" customHeight="1">
      <c r="A80" s="30"/>
      <c r="B80" s="100" t="s">
        <v>147</v>
      </c>
      <c r="C80" s="49"/>
      <c r="D80" s="14"/>
      <c r="E80" s="18"/>
      <c r="F80" s="13"/>
      <c r="G80" s="13"/>
      <c r="H80" s="61"/>
      <c r="I80" s="13"/>
    </row>
    <row r="81" spans="1:9" ht="15.75" customHeight="1">
      <c r="A81" s="30">
        <v>14</v>
      </c>
      <c r="B81" s="35" t="s">
        <v>148</v>
      </c>
      <c r="C81" s="157" t="s">
        <v>149</v>
      </c>
      <c r="D81" s="35"/>
      <c r="E81" s="17">
        <v>2409</v>
      </c>
      <c r="F81" s="34">
        <f>SUM(E81*12)</f>
        <v>28908</v>
      </c>
      <c r="G81" s="34">
        <v>2.37</v>
      </c>
      <c r="H81" s="61">
        <f t="shared" ref="H81" si="16">SUM(F81*G81/1000)</f>
        <v>68.511960000000002</v>
      </c>
      <c r="I81" s="13">
        <f>F81/12*G81</f>
        <v>5709.33</v>
      </c>
    </row>
    <row r="82" spans="1:9" ht="15.75" hidden="1" customHeight="1">
      <c r="A82" s="30"/>
      <c r="B82" s="79" t="s">
        <v>71</v>
      </c>
      <c r="C82" s="16"/>
      <c r="D82" s="14"/>
      <c r="E82" s="18"/>
      <c r="F82" s="13"/>
      <c r="G82" s="13" t="s">
        <v>122</v>
      </c>
      <c r="H82" s="13" t="s">
        <v>122</v>
      </c>
      <c r="I82" s="13"/>
    </row>
    <row r="83" spans="1:9" ht="15.75" hidden="1" customHeight="1">
      <c r="A83" s="30"/>
      <c r="B83" s="43" t="s">
        <v>111</v>
      </c>
      <c r="C83" s="16" t="s">
        <v>72</v>
      </c>
      <c r="D83" s="14"/>
      <c r="E83" s="18"/>
      <c r="F83" s="13">
        <v>0.1</v>
      </c>
      <c r="G83" s="13">
        <v>3619.09</v>
      </c>
      <c r="H83" s="13">
        <f t="shared" si="11"/>
        <v>0.36190900000000004</v>
      </c>
      <c r="I83" s="13">
        <v>0</v>
      </c>
    </row>
    <row r="84" spans="1:9" ht="15.75" hidden="1" customHeight="1">
      <c r="A84" s="30"/>
      <c r="B84" s="101" t="s">
        <v>86</v>
      </c>
      <c r="C84" s="94"/>
      <c r="D84" s="95"/>
      <c r="E84" s="96"/>
      <c r="F84" s="97"/>
      <c r="G84" s="97"/>
      <c r="H84" s="98">
        <f>SUM(H58:H83)</f>
        <v>149.64877034</v>
      </c>
      <c r="I84" s="68"/>
    </row>
    <row r="85" spans="1:9" ht="15.75" hidden="1" customHeight="1">
      <c r="A85" s="30"/>
      <c r="B85" s="62" t="s">
        <v>104</v>
      </c>
      <c r="C85" s="16"/>
      <c r="D85" s="14"/>
      <c r="E85" s="57"/>
      <c r="F85" s="13">
        <v>1</v>
      </c>
      <c r="G85" s="13">
        <v>8236.4</v>
      </c>
      <c r="H85" s="61">
        <f>G85*F85/1000</f>
        <v>8.2363999999999997</v>
      </c>
      <c r="I85" s="13">
        <v>0</v>
      </c>
    </row>
    <row r="86" spans="1:9" ht="15.75" customHeight="1">
      <c r="A86" s="225" t="s">
        <v>152</v>
      </c>
      <c r="B86" s="226"/>
      <c r="C86" s="226"/>
      <c r="D86" s="226"/>
      <c r="E86" s="226"/>
      <c r="F86" s="226"/>
      <c r="G86" s="226"/>
      <c r="H86" s="226"/>
      <c r="I86" s="227"/>
    </row>
    <row r="87" spans="1:9" ht="15.75" customHeight="1">
      <c r="A87" s="30">
        <v>15</v>
      </c>
      <c r="B87" s="155" t="s">
        <v>105</v>
      </c>
      <c r="C87" s="147" t="s">
        <v>52</v>
      </c>
      <c r="D87" s="188"/>
      <c r="E87" s="34">
        <v>2409</v>
      </c>
      <c r="F87" s="34">
        <f>SUM(E87*12)</f>
        <v>28908</v>
      </c>
      <c r="G87" s="34">
        <v>3.22</v>
      </c>
      <c r="H87" s="61">
        <f>SUM(F87*G87/1000)</f>
        <v>93.083760000000012</v>
      </c>
      <c r="I87" s="13">
        <f>F87/12*G87</f>
        <v>7756.9800000000005</v>
      </c>
    </row>
    <row r="88" spans="1:9" ht="31.5" customHeight="1">
      <c r="A88" s="30">
        <v>16</v>
      </c>
      <c r="B88" s="35" t="s">
        <v>73</v>
      </c>
      <c r="C88" s="147" t="s">
        <v>170</v>
      </c>
      <c r="D88" s="115"/>
      <c r="E88" s="128">
        <f>E87</f>
        <v>2409</v>
      </c>
      <c r="F88" s="34">
        <f>E88*12</f>
        <v>28908</v>
      </c>
      <c r="G88" s="34">
        <v>3.64</v>
      </c>
      <c r="H88" s="61">
        <f>F88*G88/1000</f>
        <v>105.22512</v>
      </c>
      <c r="I88" s="13">
        <f>F88/12*G88</f>
        <v>8768.76</v>
      </c>
    </row>
    <row r="89" spans="1:9" ht="15.75" customHeight="1">
      <c r="A89" s="30"/>
      <c r="B89" s="36" t="s">
        <v>75</v>
      </c>
      <c r="C89" s="79"/>
      <c r="D89" s="78"/>
      <c r="E89" s="68"/>
      <c r="F89" s="68"/>
      <c r="G89" s="68"/>
      <c r="H89" s="80">
        <f>H88</f>
        <v>105.22512</v>
      </c>
      <c r="I89" s="68">
        <f>I88+I87+I81+I79+I64+I45+I42+I41+I40+I38+I27+I18+I17+I16+I44+I43</f>
        <v>39292.833798777785</v>
      </c>
    </row>
    <row r="90" spans="1:9" ht="15.75" customHeight="1">
      <c r="A90" s="230" t="s">
        <v>57</v>
      </c>
      <c r="B90" s="231"/>
      <c r="C90" s="231"/>
      <c r="D90" s="231"/>
      <c r="E90" s="231"/>
      <c r="F90" s="231"/>
      <c r="G90" s="231"/>
      <c r="H90" s="231"/>
      <c r="I90" s="232"/>
    </row>
    <row r="91" spans="1:9" ht="15.75" customHeight="1">
      <c r="A91" s="30"/>
      <c r="B91" s="41" t="s">
        <v>49</v>
      </c>
      <c r="C91" s="37"/>
      <c r="D91" s="44"/>
      <c r="E91" s="37">
        <v>1</v>
      </c>
      <c r="F91" s="37"/>
      <c r="G91" s="37"/>
      <c r="H91" s="37"/>
      <c r="I91" s="32">
        <v>0</v>
      </c>
    </row>
    <row r="92" spans="1:9" ht="15.75" customHeight="1">
      <c r="A92" s="30"/>
      <c r="B92" s="43" t="s">
        <v>74</v>
      </c>
      <c r="C92" s="15"/>
      <c r="D92" s="15"/>
      <c r="E92" s="38"/>
      <c r="F92" s="38"/>
      <c r="G92" s="39"/>
      <c r="H92" s="39"/>
      <c r="I92" s="17">
        <v>0</v>
      </c>
    </row>
    <row r="93" spans="1:9" ht="15.75" customHeight="1">
      <c r="A93" s="45"/>
      <c r="B93" s="42" t="s">
        <v>133</v>
      </c>
      <c r="C93" s="33"/>
      <c r="D93" s="33"/>
      <c r="E93" s="33"/>
      <c r="F93" s="33"/>
      <c r="G93" s="33"/>
      <c r="H93" s="33"/>
      <c r="I93" s="40">
        <f>I89+I91</f>
        <v>39292.833798777785</v>
      </c>
    </row>
    <row r="94" spans="1:9" ht="15.75" customHeight="1">
      <c r="A94" s="235" t="s">
        <v>216</v>
      </c>
      <c r="B94" s="235"/>
      <c r="C94" s="235"/>
      <c r="D94" s="235"/>
      <c r="E94" s="235"/>
      <c r="F94" s="235"/>
      <c r="G94" s="235"/>
      <c r="H94" s="235"/>
      <c r="I94" s="235"/>
    </row>
    <row r="95" spans="1:9" ht="15.75" customHeight="1">
      <c r="A95" s="55"/>
      <c r="B95" s="236" t="s">
        <v>217</v>
      </c>
      <c r="C95" s="236"/>
      <c r="D95" s="236"/>
      <c r="E95" s="236"/>
      <c r="F95" s="236"/>
      <c r="G95" s="236"/>
      <c r="H95" s="60"/>
      <c r="I95" s="3"/>
    </row>
    <row r="96" spans="1:9">
      <c r="A96" s="103"/>
      <c r="B96" s="237" t="s">
        <v>6</v>
      </c>
      <c r="C96" s="237"/>
      <c r="D96" s="237"/>
      <c r="E96" s="237"/>
      <c r="F96" s="237"/>
      <c r="G96" s="237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238" t="s">
        <v>7</v>
      </c>
      <c r="B98" s="238"/>
      <c r="C98" s="238"/>
      <c r="D98" s="238"/>
      <c r="E98" s="238"/>
      <c r="F98" s="238"/>
      <c r="G98" s="238"/>
      <c r="H98" s="238"/>
      <c r="I98" s="238"/>
    </row>
    <row r="99" spans="1:9" ht="15.75">
      <c r="A99" s="238" t="s">
        <v>8</v>
      </c>
      <c r="B99" s="238"/>
      <c r="C99" s="238"/>
      <c r="D99" s="238"/>
      <c r="E99" s="238"/>
      <c r="F99" s="238"/>
      <c r="G99" s="238"/>
      <c r="H99" s="238"/>
      <c r="I99" s="238"/>
    </row>
    <row r="100" spans="1:9" ht="15.75" customHeight="1">
      <c r="A100" s="239" t="s">
        <v>58</v>
      </c>
      <c r="B100" s="239"/>
      <c r="C100" s="239"/>
      <c r="D100" s="239"/>
      <c r="E100" s="239"/>
      <c r="F100" s="239"/>
      <c r="G100" s="239"/>
      <c r="H100" s="239"/>
      <c r="I100" s="239"/>
    </row>
    <row r="101" spans="1:9" ht="15.75" customHeight="1">
      <c r="A101" s="11"/>
    </row>
    <row r="102" spans="1:9" ht="15.75" customHeight="1">
      <c r="A102" s="240" t="s">
        <v>9</v>
      </c>
      <c r="B102" s="240"/>
      <c r="C102" s="240"/>
      <c r="D102" s="240"/>
      <c r="E102" s="240"/>
      <c r="F102" s="240"/>
      <c r="G102" s="240"/>
      <c r="H102" s="240"/>
      <c r="I102" s="240"/>
    </row>
    <row r="103" spans="1:9" ht="15.75" customHeight="1">
      <c r="A103" s="4"/>
    </row>
    <row r="104" spans="1:9" ht="15.75" customHeight="1">
      <c r="B104" s="108" t="s">
        <v>10</v>
      </c>
      <c r="C104" s="241" t="s">
        <v>127</v>
      </c>
      <c r="D104" s="241"/>
      <c r="E104" s="241"/>
      <c r="F104" s="58"/>
      <c r="I104" s="106"/>
    </row>
    <row r="105" spans="1:9" ht="15.75" customHeight="1">
      <c r="A105" s="103"/>
      <c r="C105" s="237" t="s">
        <v>11</v>
      </c>
      <c r="D105" s="237"/>
      <c r="E105" s="237"/>
      <c r="F105" s="25"/>
      <c r="I105" s="107" t="s">
        <v>12</v>
      </c>
    </row>
    <row r="106" spans="1:9" ht="15.75" customHeight="1">
      <c r="A106" s="26"/>
      <c r="C106" s="12"/>
      <c r="D106" s="12"/>
      <c r="G106" s="12"/>
      <c r="H106" s="12"/>
    </row>
    <row r="107" spans="1:9" ht="15.75">
      <c r="B107" s="108" t="s">
        <v>13</v>
      </c>
      <c r="C107" s="233"/>
      <c r="D107" s="233"/>
      <c r="E107" s="233"/>
      <c r="F107" s="59"/>
      <c r="I107" s="106"/>
    </row>
    <row r="108" spans="1:9" ht="15.75" customHeight="1">
      <c r="A108" s="103"/>
      <c r="C108" s="234" t="s">
        <v>11</v>
      </c>
      <c r="D108" s="234"/>
      <c r="E108" s="234"/>
      <c r="F108" s="103"/>
      <c r="I108" s="107" t="s">
        <v>12</v>
      </c>
    </row>
    <row r="109" spans="1:9" ht="15.75" customHeight="1">
      <c r="A109" s="4" t="s">
        <v>14</v>
      </c>
    </row>
    <row r="110" spans="1:9" ht="15.75" customHeight="1">
      <c r="A110" s="228" t="s">
        <v>15</v>
      </c>
      <c r="B110" s="228"/>
      <c r="C110" s="228"/>
      <c r="D110" s="228"/>
      <c r="E110" s="228"/>
      <c r="F110" s="228"/>
      <c r="G110" s="228"/>
      <c r="H110" s="228"/>
      <c r="I110" s="228"/>
    </row>
    <row r="111" spans="1:9" ht="45" customHeight="1">
      <c r="A111" s="229" t="s">
        <v>16</v>
      </c>
      <c r="B111" s="229"/>
      <c r="C111" s="229"/>
      <c r="D111" s="229"/>
      <c r="E111" s="229"/>
      <c r="F111" s="229"/>
      <c r="G111" s="229"/>
      <c r="H111" s="229"/>
      <c r="I111" s="229"/>
    </row>
    <row r="112" spans="1:9" ht="30" customHeight="1">
      <c r="A112" s="229" t="s">
        <v>17</v>
      </c>
      <c r="B112" s="229"/>
      <c r="C112" s="229"/>
      <c r="D112" s="229"/>
      <c r="E112" s="229"/>
      <c r="F112" s="229"/>
      <c r="G112" s="229"/>
      <c r="H112" s="229"/>
      <c r="I112" s="229"/>
    </row>
    <row r="113" spans="1:9" ht="30" customHeight="1">
      <c r="A113" s="229" t="s">
        <v>21</v>
      </c>
      <c r="B113" s="229"/>
      <c r="C113" s="229"/>
      <c r="D113" s="229"/>
      <c r="E113" s="229"/>
      <c r="F113" s="229"/>
      <c r="G113" s="229"/>
      <c r="H113" s="229"/>
      <c r="I113" s="229"/>
    </row>
    <row r="114" spans="1:9" ht="15" customHeight="1">
      <c r="A114" s="229" t="s">
        <v>20</v>
      </c>
      <c r="B114" s="229"/>
      <c r="C114" s="229"/>
      <c r="D114" s="229"/>
      <c r="E114" s="229"/>
      <c r="F114" s="229"/>
      <c r="G114" s="229"/>
      <c r="H114" s="229"/>
      <c r="I114" s="229"/>
    </row>
  </sheetData>
  <autoFilter ref="I12:I55"/>
  <mergeCells count="29">
    <mergeCell ref="A110:I110"/>
    <mergeCell ref="A111:I111"/>
    <mergeCell ref="A112:I112"/>
    <mergeCell ref="A113:I113"/>
    <mergeCell ref="A114:I114"/>
    <mergeCell ref="R72:U72"/>
    <mergeCell ref="C108:E108"/>
    <mergeCell ref="A90:I90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6:I86"/>
    <mergeCell ref="A3:I3"/>
    <mergeCell ref="A4:I4"/>
    <mergeCell ref="A5:I5"/>
    <mergeCell ref="A8:I8"/>
    <mergeCell ref="A10:I10"/>
    <mergeCell ref="A14:I14"/>
    <mergeCell ref="A15:I15"/>
    <mergeCell ref="A28:I28"/>
    <mergeCell ref="A46:I46"/>
    <mergeCell ref="A56:I5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7"/>
  <sheetViews>
    <sheetView view="pageBreakPreview" topLeftCell="A100" zoomScale="60" workbookViewId="0">
      <selection activeCell="A113" sqref="A113:I113"/>
    </sheetView>
  </sheetViews>
  <sheetFormatPr defaultRowHeight="15"/>
  <cols>
    <col min="2" max="2" width="52.42578125" customWidth="1"/>
    <col min="3" max="3" width="20.85546875" customWidth="1"/>
    <col min="4" max="4" width="26" customWidth="1"/>
    <col min="5" max="6" width="0" hidden="1" customWidth="1"/>
    <col min="7" max="7" width="19.7109375" customWidth="1"/>
    <col min="8" max="8" width="0" hidden="1" customWidth="1"/>
    <col min="9" max="9" width="21" customWidth="1"/>
  </cols>
  <sheetData>
    <row r="1" spans="1:9" ht="15.75">
      <c r="A1" s="28" t="s">
        <v>157</v>
      </c>
      <c r="I1" s="27"/>
    </row>
    <row r="2" spans="1:9" ht="15.75">
      <c r="A2" s="29" t="s">
        <v>59</v>
      </c>
    </row>
    <row r="3" spans="1:9" ht="15.75">
      <c r="A3" s="243" t="s">
        <v>161</v>
      </c>
      <c r="B3" s="243"/>
      <c r="C3" s="243"/>
      <c r="D3" s="243"/>
      <c r="E3" s="243"/>
      <c r="F3" s="243"/>
      <c r="G3" s="243"/>
      <c r="H3" s="243"/>
      <c r="I3" s="243"/>
    </row>
    <row r="4" spans="1:9" ht="31.5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9" ht="15.75">
      <c r="A5" s="243" t="s">
        <v>218</v>
      </c>
      <c r="B5" s="245"/>
      <c r="C5" s="245"/>
      <c r="D5" s="245"/>
      <c r="E5" s="245"/>
      <c r="F5" s="245"/>
      <c r="G5" s="245"/>
      <c r="H5" s="245"/>
      <c r="I5" s="245"/>
    </row>
    <row r="6" spans="1:9" ht="15.75">
      <c r="A6" s="2"/>
      <c r="B6" s="113"/>
      <c r="C6" s="113"/>
      <c r="D6" s="113"/>
      <c r="E6" s="113"/>
      <c r="F6" s="113"/>
      <c r="G6" s="113"/>
      <c r="H6" s="113"/>
      <c r="I6" s="31">
        <v>43951</v>
      </c>
    </row>
    <row r="7" spans="1:9" ht="15.75">
      <c r="B7" s="112"/>
      <c r="C7" s="112"/>
      <c r="D7" s="112"/>
      <c r="E7" s="3"/>
      <c r="F7" s="3"/>
      <c r="G7" s="3"/>
      <c r="H7" s="3"/>
    </row>
    <row r="8" spans="1:9" ht="80.25" customHeight="1">
      <c r="A8" s="246" t="s">
        <v>172</v>
      </c>
      <c r="B8" s="246"/>
      <c r="C8" s="246"/>
      <c r="D8" s="246"/>
      <c r="E8" s="246"/>
      <c r="F8" s="246"/>
      <c r="G8" s="246"/>
      <c r="H8" s="246"/>
      <c r="I8" s="246"/>
    </row>
    <row r="9" spans="1:9" ht="15.75">
      <c r="A9" s="4"/>
    </row>
    <row r="10" spans="1:9" ht="50.25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</row>
    <row r="11" spans="1:9" ht="15.75">
      <c r="A11" s="4"/>
    </row>
    <row r="12" spans="1:9" ht="51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25" si="0">SUM(F16*G16/1000)</f>
        <v>25.337020800000001</v>
      </c>
      <c r="I16" s="13">
        <f>F16/12*G16</f>
        <v>2111.4184000000005</v>
      </c>
    </row>
    <row r="17" spans="1:9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/>
      <c r="B19" s="62" t="s">
        <v>87</v>
      </c>
      <c r="C19" s="63" t="s">
        <v>88</v>
      </c>
      <c r="D19" s="62" t="s">
        <v>89</v>
      </c>
      <c r="E19" s="64">
        <v>21.1</v>
      </c>
      <c r="F19" s="65">
        <f>SUM(E19/10)</f>
        <v>2.1100000000000003</v>
      </c>
      <c r="G19" s="65">
        <v>223.17</v>
      </c>
      <c r="H19" s="66">
        <f t="shared" si="0"/>
        <v>0.47088870000000005</v>
      </c>
      <c r="I19" s="13">
        <f>F19*G19</f>
        <v>470.88870000000003</v>
      </c>
    </row>
    <row r="20" spans="1:9" hidden="1">
      <c r="A20" s="30">
        <v>4</v>
      </c>
      <c r="B20" s="155" t="s">
        <v>90</v>
      </c>
      <c r="C20" s="182" t="s">
        <v>80</v>
      </c>
      <c r="D20" s="155" t="s">
        <v>40</v>
      </c>
      <c r="E20" s="128">
        <v>7</v>
      </c>
      <c r="F20" s="129">
        <v>0.14000000000000001</v>
      </c>
      <c r="G20" s="129">
        <v>297.19</v>
      </c>
      <c r="H20" s="66">
        <f t="shared" si="0"/>
        <v>4.1606600000000001E-2</v>
      </c>
      <c r="I20" s="13">
        <f>F20/12*G20</f>
        <v>3.4672166666666668</v>
      </c>
    </row>
    <row r="21" spans="1:9" hidden="1">
      <c r="A21" s="30">
        <v>5</v>
      </c>
      <c r="B21" s="62" t="s">
        <v>91</v>
      </c>
      <c r="C21" s="63" t="s">
        <v>80</v>
      </c>
      <c r="D21" s="62" t="s">
        <v>40</v>
      </c>
      <c r="E21" s="64">
        <v>2.4</v>
      </c>
      <c r="F21" s="65">
        <f>SUM(E21*2/100)</f>
        <v>4.8000000000000001E-2</v>
      </c>
      <c r="G21" s="65">
        <v>283.44</v>
      </c>
      <c r="H21" s="66">
        <f t="shared" si="0"/>
        <v>1.360512E-2</v>
      </c>
      <c r="I21" s="13">
        <f>F21/2*G21</f>
        <v>6.8025599999999997</v>
      </c>
    </row>
    <row r="22" spans="1:9" hidden="1">
      <c r="A22" s="30"/>
      <c r="B22" s="62" t="s">
        <v>92</v>
      </c>
      <c r="C22" s="63" t="s">
        <v>50</v>
      </c>
      <c r="D22" s="62" t="s">
        <v>89</v>
      </c>
      <c r="E22" s="64">
        <v>317</v>
      </c>
      <c r="F22" s="65">
        <f>SUM(E22/100)</f>
        <v>3.17</v>
      </c>
      <c r="G22" s="65">
        <v>353.14</v>
      </c>
      <c r="H22" s="66">
        <f t="shared" si="0"/>
        <v>1.1194538000000001</v>
      </c>
      <c r="I22" s="13">
        <f>F22*G22</f>
        <v>1119.4538</v>
      </c>
    </row>
    <row r="23" spans="1:9" hidden="1">
      <c r="A23" s="30"/>
      <c r="B23" s="62" t="s">
        <v>93</v>
      </c>
      <c r="C23" s="63" t="s">
        <v>50</v>
      </c>
      <c r="D23" s="62" t="s">
        <v>89</v>
      </c>
      <c r="E23" s="67">
        <v>24.15</v>
      </c>
      <c r="F23" s="65">
        <f>SUM(E23/100)</f>
        <v>0.24149999999999999</v>
      </c>
      <c r="G23" s="65">
        <v>58.08</v>
      </c>
      <c r="H23" s="66">
        <f t="shared" si="0"/>
        <v>1.4026319999999998E-2</v>
      </c>
      <c r="I23" s="13">
        <f t="shared" ref="I23:I26" si="1">F23*G23</f>
        <v>14.026319999999998</v>
      </c>
    </row>
    <row r="24" spans="1:9" hidden="1">
      <c r="A24" s="30"/>
      <c r="B24" s="62" t="s">
        <v>94</v>
      </c>
      <c r="C24" s="63" t="s">
        <v>50</v>
      </c>
      <c r="D24" s="62" t="s">
        <v>51</v>
      </c>
      <c r="E24" s="64">
        <v>10</v>
      </c>
      <c r="F24" s="65">
        <f>SUM(E24/100)</f>
        <v>0.1</v>
      </c>
      <c r="G24" s="65">
        <v>511.12</v>
      </c>
      <c r="H24" s="66">
        <f t="shared" si="0"/>
        <v>5.1112000000000005E-2</v>
      </c>
      <c r="I24" s="13">
        <f t="shared" si="1"/>
        <v>51.112000000000002</v>
      </c>
    </row>
    <row r="25" spans="1:9" hidden="1">
      <c r="A25" s="30"/>
      <c r="B25" s="62" t="s">
        <v>95</v>
      </c>
      <c r="C25" s="63" t="s">
        <v>50</v>
      </c>
      <c r="D25" s="62" t="s">
        <v>51</v>
      </c>
      <c r="E25" s="64">
        <v>4.25</v>
      </c>
      <c r="F25" s="65">
        <f>SUM(E25/100)</f>
        <v>4.2500000000000003E-2</v>
      </c>
      <c r="G25" s="65">
        <v>683.05</v>
      </c>
      <c r="H25" s="66">
        <f t="shared" si="0"/>
        <v>2.9029625E-2</v>
      </c>
      <c r="I25" s="13">
        <f t="shared" si="1"/>
        <v>29.029624999999999</v>
      </c>
    </row>
    <row r="26" spans="1:9" hidden="1">
      <c r="A26" s="30"/>
      <c r="B26" s="62" t="s">
        <v>110</v>
      </c>
      <c r="C26" s="63" t="s">
        <v>50</v>
      </c>
      <c r="D26" s="62" t="s">
        <v>51</v>
      </c>
      <c r="E26" s="64">
        <v>9.5</v>
      </c>
      <c r="F26" s="65">
        <v>9.5000000000000001E-2</v>
      </c>
      <c r="G26" s="65">
        <v>283.44</v>
      </c>
      <c r="H26" s="66">
        <f>G26*F26/1000</f>
        <v>2.6926800000000001E-2</v>
      </c>
      <c r="I26" s="13">
        <f t="shared" si="1"/>
        <v>26.9268</v>
      </c>
    </row>
    <row r="27" spans="1:9">
      <c r="A27" s="30">
        <v>4</v>
      </c>
      <c r="B27" s="155" t="s">
        <v>174</v>
      </c>
      <c r="C27" s="182" t="s">
        <v>25</v>
      </c>
      <c r="D27" s="155" t="s">
        <v>175</v>
      </c>
      <c r="E27" s="205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 ht="14.25" customHeight="1">
      <c r="A28" s="242" t="s">
        <v>78</v>
      </c>
      <c r="B28" s="242"/>
      <c r="C28" s="242"/>
      <c r="D28" s="242"/>
      <c r="E28" s="242"/>
      <c r="F28" s="242"/>
      <c r="G28" s="242"/>
      <c r="H28" s="242"/>
      <c r="I28" s="242"/>
    </row>
    <row r="29" spans="1:9" ht="13.5" hidden="1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</row>
    <row r="30" spans="1:9" ht="19.5" hidden="1" customHeight="1">
      <c r="A30" s="30"/>
      <c r="B30" s="62" t="s">
        <v>97</v>
      </c>
      <c r="C30" s="63" t="s">
        <v>82</v>
      </c>
      <c r="D30" s="62" t="s">
        <v>134</v>
      </c>
      <c r="E30" s="65">
        <v>372.4</v>
      </c>
      <c r="F30" s="65">
        <f>SUM(E30*52/1000)</f>
        <v>19.364799999999999</v>
      </c>
      <c r="G30" s="65">
        <v>204.44</v>
      </c>
      <c r="H30" s="66">
        <f t="shared" ref="H30:H36" si="2">SUM(F30*G30/1000)</f>
        <v>3.9589397119999998</v>
      </c>
      <c r="I30" s="13">
        <f>F30/6*G30</f>
        <v>659.82328533333327</v>
      </c>
    </row>
    <row r="31" spans="1:9" ht="12.75" hidden="1" customHeight="1">
      <c r="A31" s="30"/>
      <c r="B31" s="62" t="s">
        <v>108</v>
      </c>
      <c r="C31" s="63" t="s">
        <v>82</v>
      </c>
      <c r="D31" s="62" t="s">
        <v>135</v>
      </c>
      <c r="E31" s="65">
        <v>195.5</v>
      </c>
      <c r="F31" s="65">
        <f>SUM(E31*78/1000)</f>
        <v>15.249000000000001</v>
      </c>
      <c r="G31" s="65">
        <v>339.21</v>
      </c>
      <c r="H31" s="66">
        <f t="shared" si="2"/>
        <v>5.1726132900000001</v>
      </c>
      <c r="I31" s="13">
        <f t="shared" ref="I31:I34" si="3">F31/6*G31</f>
        <v>862.102215</v>
      </c>
    </row>
    <row r="32" spans="1:9" ht="16.5" hidden="1" customHeight="1">
      <c r="A32" s="30"/>
      <c r="B32" s="62" t="s">
        <v>27</v>
      </c>
      <c r="C32" s="63" t="s">
        <v>82</v>
      </c>
      <c r="D32" s="62" t="s">
        <v>51</v>
      </c>
      <c r="E32" s="65">
        <v>372.4</v>
      </c>
      <c r="F32" s="65">
        <f>SUM(E32/1000)</f>
        <v>0.37239999999999995</v>
      </c>
      <c r="G32" s="65">
        <v>3961.23</v>
      </c>
      <c r="H32" s="66">
        <f t="shared" si="2"/>
        <v>1.4751620519999999</v>
      </c>
      <c r="I32" s="13">
        <f>F32*G32</f>
        <v>1475.1620519999999</v>
      </c>
    </row>
    <row r="33" spans="1:9" ht="16.5" hidden="1" customHeight="1">
      <c r="A33" s="30"/>
      <c r="B33" s="62" t="s">
        <v>136</v>
      </c>
      <c r="C33" s="63" t="s">
        <v>38</v>
      </c>
      <c r="D33" s="62" t="s">
        <v>60</v>
      </c>
      <c r="E33" s="65">
        <v>2</v>
      </c>
      <c r="F33" s="65">
        <f>E33*155/100</f>
        <v>3.1</v>
      </c>
      <c r="G33" s="65">
        <v>1707.63</v>
      </c>
      <c r="H33" s="66">
        <f t="shared" si="2"/>
        <v>5.2936529999999999</v>
      </c>
      <c r="I33" s="13">
        <f t="shared" si="3"/>
        <v>882.27550000000019</v>
      </c>
    </row>
    <row r="34" spans="1:9" ht="18.75" hidden="1" customHeight="1">
      <c r="A34" s="30"/>
      <c r="B34" s="62" t="s">
        <v>96</v>
      </c>
      <c r="C34" s="63" t="s">
        <v>30</v>
      </c>
      <c r="D34" s="62" t="s">
        <v>60</v>
      </c>
      <c r="E34" s="69">
        <f>1/3</f>
        <v>0.33333333333333331</v>
      </c>
      <c r="F34" s="65">
        <f>155/3</f>
        <v>51.666666666666664</v>
      </c>
      <c r="G34" s="65">
        <v>74.349999999999994</v>
      </c>
      <c r="H34" s="66">
        <f t="shared" si="2"/>
        <v>3.841416666666666</v>
      </c>
      <c r="I34" s="13">
        <f t="shared" si="3"/>
        <v>640.23611111111109</v>
      </c>
    </row>
    <row r="35" spans="1:9" ht="20.25" hidden="1" customHeight="1">
      <c r="A35" s="30"/>
      <c r="B35" s="62" t="s">
        <v>61</v>
      </c>
      <c r="C35" s="63" t="s">
        <v>32</v>
      </c>
      <c r="D35" s="62" t="s">
        <v>63</v>
      </c>
      <c r="E35" s="64"/>
      <c r="F35" s="65">
        <v>2</v>
      </c>
      <c r="G35" s="65">
        <v>250.92</v>
      </c>
      <c r="H35" s="66">
        <f t="shared" si="2"/>
        <v>0.50183999999999995</v>
      </c>
      <c r="I35" s="13">
        <v>0</v>
      </c>
    </row>
    <row r="36" spans="1:9" ht="15.75" hidden="1" customHeight="1">
      <c r="A36" s="30"/>
      <c r="B36" s="62" t="s">
        <v>62</v>
      </c>
      <c r="C36" s="63" t="s">
        <v>31</v>
      </c>
      <c r="D36" s="62" t="s">
        <v>63</v>
      </c>
      <c r="E36" s="64"/>
      <c r="F36" s="65">
        <v>1</v>
      </c>
      <c r="G36" s="65">
        <v>1490.31</v>
      </c>
      <c r="H36" s="66">
        <f t="shared" si="2"/>
        <v>1.49031</v>
      </c>
      <c r="I36" s="13">
        <v>0</v>
      </c>
    </row>
    <row r="37" spans="1:9">
      <c r="A37" s="30"/>
      <c r="B37" s="81" t="s">
        <v>5</v>
      </c>
      <c r="C37" s="63"/>
      <c r="D37" s="62"/>
      <c r="E37" s="64"/>
      <c r="F37" s="65"/>
      <c r="G37" s="65"/>
      <c r="H37" s="66" t="s">
        <v>122</v>
      </c>
      <c r="I37" s="13"/>
    </row>
    <row r="38" spans="1:9" ht="13.5" customHeight="1">
      <c r="A38" s="30">
        <v>5</v>
      </c>
      <c r="B38" s="181" t="s">
        <v>26</v>
      </c>
      <c r="C38" s="182" t="s">
        <v>31</v>
      </c>
      <c r="D38" s="155" t="s">
        <v>236</v>
      </c>
      <c r="E38" s="128"/>
      <c r="F38" s="129">
        <v>5</v>
      </c>
      <c r="G38" s="129">
        <v>2083</v>
      </c>
      <c r="H38" s="66">
        <f t="shared" ref="H38:H45" si="4">SUM(F38*G38/1000)</f>
        <v>10.414999999999999</v>
      </c>
      <c r="I38" s="13">
        <f>G38*0.6</f>
        <v>1249.8</v>
      </c>
    </row>
    <row r="39" spans="1:9" ht="15.75" hidden="1" customHeight="1">
      <c r="A39" s="30">
        <v>9</v>
      </c>
      <c r="B39" s="62" t="s">
        <v>113</v>
      </c>
      <c r="C39" s="63" t="s">
        <v>114</v>
      </c>
      <c r="D39" s="62" t="s">
        <v>63</v>
      </c>
      <c r="E39" s="64"/>
      <c r="F39" s="65">
        <v>26</v>
      </c>
      <c r="G39" s="65">
        <v>314</v>
      </c>
      <c r="H39" s="66">
        <f>G39*F39/1000</f>
        <v>8.1639999999999997</v>
      </c>
      <c r="I39" s="13"/>
    </row>
    <row r="40" spans="1:9">
      <c r="A40" s="30">
        <v>6</v>
      </c>
      <c r="B40" s="181" t="s">
        <v>137</v>
      </c>
      <c r="C40" s="183" t="s">
        <v>29</v>
      </c>
      <c r="D40" s="155" t="s">
        <v>179</v>
      </c>
      <c r="E40" s="128">
        <v>88</v>
      </c>
      <c r="F40" s="132">
        <f>E40*30/1000</f>
        <v>2.64</v>
      </c>
      <c r="G40" s="129">
        <v>2868.09</v>
      </c>
      <c r="H40" s="66">
        <f>G40*F40/1000</f>
        <v>7.5717576000000006</v>
      </c>
      <c r="I40" s="13">
        <f>F40/6*G40</f>
        <v>1261.9596000000001</v>
      </c>
    </row>
    <row r="41" spans="1:9" ht="17.25" customHeight="1">
      <c r="A41" s="30">
        <v>7</v>
      </c>
      <c r="B41" s="155" t="s">
        <v>64</v>
      </c>
      <c r="C41" s="182" t="s">
        <v>29</v>
      </c>
      <c r="D41" s="155" t="s">
        <v>180</v>
      </c>
      <c r="E41" s="129">
        <v>93.3</v>
      </c>
      <c r="F41" s="132">
        <f>SUM(E41*155/1000)</f>
        <v>14.461499999999999</v>
      </c>
      <c r="G41" s="129">
        <v>478.42</v>
      </c>
      <c r="H41" s="66">
        <f t="shared" ref="H41:H42" si="5">SUM(F41*G41/1000)</f>
        <v>6.9186708299999999</v>
      </c>
      <c r="I41" s="13">
        <f>F41/6*G41</f>
        <v>1153.111805</v>
      </c>
    </row>
    <row r="42" spans="1:9" ht="45">
      <c r="A42" s="30">
        <v>8</v>
      </c>
      <c r="B42" s="155" t="s">
        <v>76</v>
      </c>
      <c r="C42" s="182" t="s">
        <v>82</v>
      </c>
      <c r="D42" s="155" t="s">
        <v>181</v>
      </c>
      <c r="E42" s="129">
        <v>34</v>
      </c>
      <c r="F42" s="132">
        <f>SUM(E42*35/1000)</f>
        <v>1.19</v>
      </c>
      <c r="G42" s="129">
        <v>7915.6</v>
      </c>
      <c r="H42" s="66">
        <f t="shared" si="5"/>
        <v>9.4195640000000012</v>
      </c>
      <c r="I42" s="13">
        <f>F42/6*G42</f>
        <v>1569.9273333333333</v>
      </c>
    </row>
    <row r="43" spans="1:9" hidden="1">
      <c r="A43" s="30">
        <v>9</v>
      </c>
      <c r="B43" s="155" t="s">
        <v>83</v>
      </c>
      <c r="C43" s="182" t="s">
        <v>82</v>
      </c>
      <c r="D43" s="155" t="s">
        <v>182</v>
      </c>
      <c r="E43" s="129">
        <v>72</v>
      </c>
      <c r="F43" s="132">
        <v>0.36</v>
      </c>
      <c r="G43" s="129">
        <v>584.74</v>
      </c>
      <c r="H43" s="66">
        <f t="shared" si="4"/>
        <v>0.21050639999999998</v>
      </c>
      <c r="I43" s="13">
        <f>(F43/7.5*1.5)*G43</f>
        <v>42.101280000000003</v>
      </c>
    </row>
    <row r="44" spans="1:9" hidden="1">
      <c r="A44" s="30">
        <v>10</v>
      </c>
      <c r="B44" s="181" t="s">
        <v>66</v>
      </c>
      <c r="C44" s="183" t="s">
        <v>32</v>
      </c>
      <c r="D44" s="181"/>
      <c r="E44" s="184"/>
      <c r="F44" s="132">
        <v>0.1</v>
      </c>
      <c r="G44" s="132">
        <v>800</v>
      </c>
      <c r="H44" s="66">
        <f t="shared" si="4"/>
        <v>0.08</v>
      </c>
      <c r="I44" s="13">
        <f>(F44/7.5*1.5)*G44</f>
        <v>16</v>
      </c>
    </row>
    <row r="45" spans="1:9" ht="30">
      <c r="A45" s="30">
        <v>9</v>
      </c>
      <c r="B45" s="47" t="s">
        <v>138</v>
      </c>
      <c r="C45" s="48" t="s">
        <v>29</v>
      </c>
      <c r="D45" s="181" t="s">
        <v>183</v>
      </c>
      <c r="E45" s="184">
        <v>1.8</v>
      </c>
      <c r="F45" s="132">
        <f>SUM(E45*12/1000)</f>
        <v>2.1600000000000001E-2</v>
      </c>
      <c r="G45" s="132">
        <v>270.61</v>
      </c>
      <c r="H45" s="66">
        <f t="shared" si="4"/>
        <v>5.8451760000000005E-3</v>
      </c>
      <c r="I45" s="13">
        <f t="shared" ref="I45" si="6">F45/6*G45</f>
        <v>0.97419600000000017</v>
      </c>
    </row>
    <row r="46" spans="1:9" hidden="1">
      <c r="A46" s="249" t="s">
        <v>124</v>
      </c>
      <c r="B46" s="250"/>
      <c r="C46" s="250"/>
      <c r="D46" s="250"/>
      <c r="E46" s="250"/>
      <c r="F46" s="250"/>
      <c r="G46" s="250"/>
      <c r="H46" s="250"/>
      <c r="I46" s="251"/>
    </row>
    <row r="47" spans="1:9" hidden="1">
      <c r="A47" s="30"/>
      <c r="B47" s="62" t="s">
        <v>117</v>
      </c>
      <c r="C47" s="63" t="s">
        <v>82</v>
      </c>
      <c r="D47" s="62" t="s">
        <v>40</v>
      </c>
      <c r="E47" s="64">
        <v>670.4</v>
      </c>
      <c r="F47" s="65">
        <f>SUM(E47*2/1000)</f>
        <v>1.3408</v>
      </c>
      <c r="G47" s="13">
        <v>1114.1300000000001</v>
      </c>
      <c r="H47" s="66">
        <f t="shared" ref="H47:H55" si="7">SUM(F47*G47/1000)</f>
        <v>1.4938255040000001</v>
      </c>
      <c r="I47" s="13">
        <f t="shared" ref="I47:I49" si="8">F47/2*G47</f>
        <v>746.91275200000007</v>
      </c>
    </row>
    <row r="48" spans="1:9" hidden="1">
      <c r="A48" s="30"/>
      <c r="B48" s="62" t="s">
        <v>33</v>
      </c>
      <c r="C48" s="63" t="s">
        <v>82</v>
      </c>
      <c r="D48" s="62" t="s">
        <v>40</v>
      </c>
      <c r="E48" s="64">
        <v>26</v>
      </c>
      <c r="F48" s="65">
        <f t="shared" ref="F48:F50" si="9">SUM(E48*2/1000)</f>
        <v>5.1999999999999998E-2</v>
      </c>
      <c r="G48" s="13">
        <v>4419.05</v>
      </c>
      <c r="H48" s="66">
        <f t="shared" si="7"/>
        <v>0.22979060000000001</v>
      </c>
      <c r="I48" s="13">
        <f t="shared" si="8"/>
        <v>114.89530000000001</v>
      </c>
    </row>
    <row r="49" spans="1:9" hidden="1">
      <c r="A49" s="30">
        <v>15</v>
      </c>
      <c r="B49" s="62" t="s">
        <v>34</v>
      </c>
      <c r="C49" s="63" t="s">
        <v>82</v>
      </c>
      <c r="D49" s="62" t="s">
        <v>40</v>
      </c>
      <c r="E49" s="64">
        <v>760.4</v>
      </c>
      <c r="F49" s="65">
        <f t="shared" si="9"/>
        <v>1.5207999999999999</v>
      </c>
      <c r="G49" s="13">
        <v>1803.69</v>
      </c>
      <c r="H49" s="66">
        <f t="shared" si="7"/>
        <v>2.743051752</v>
      </c>
      <c r="I49" s="13">
        <f t="shared" si="8"/>
        <v>1371.5258759999999</v>
      </c>
    </row>
    <row r="50" spans="1:9" hidden="1">
      <c r="A50" s="30"/>
      <c r="B50" s="62" t="s">
        <v>35</v>
      </c>
      <c r="C50" s="63" t="s">
        <v>82</v>
      </c>
      <c r="D50" s="62" t="s">
        <v>40</v>
      </c>
      <c r="E50" s="64">
        <v>1440</v>
      </c>
      <c r="F50" s="65">
        <f t="shared" si="9"/>
        <v>2.88</v>
      </c>
      <c r="G50" s="13">
        <v>1243.43</v>
      </c>
      <c r="H50" s="66">
        <f t="shared" si="7"/>
        <v>3.5810784</v>
      </c>
      <c r="I50" s="13">
        <f>F50/2*G50</f>
        <v>1790.5391999999999</v>
      </c>
    </row>
    <row r="51" spans="1:9" hidden="1">
      <c r="A51" s="30">
        <v>14</v>
      </c>
      <c r="B51" s="62" t="s">
        <v>53</v>
      </c>
      <c r="C51" s="63" t="s">
        <v>82</v>
      </c>
      <c r="D51" s="62" t="s">
        <v>130</v>
      </c>
      <c r="E51" s="64">
        <v>2409</v>
      </c>
      <c r="F51" s="65">
        <f>SUM(E51*5/1000)</f>
        <v>12.045</v>
      </c>
      <c r="G51" s="13">
        <v>1803.69</v>
      </c>
      <c r="H51" s="66">
        <f t="shared" si="7"/>
        <v>21.725446050000002</v>
      </c>
      <c r="I51" s="13">
        <f>F51/5*G51</f>
        <v>4345.0892100000001</v>
      </c>
    </row>
    <row r="52" spans="1:9" ht="45" hidden="1">
      <c r="A52" s="30"/>
      <c r="B52" s="62" t="s">
        <v>84</v>
      </c>
      <c r="C52" s="63" t="s">
        <v>82</v>
      </c>
      <c r="D52" s="62" t="s">
        <v>40</v>
      </c>
      <c r="E52" s="64">
        <v>2409</v>
      </c>
      <c r="F52" s="65">
        <f>SUM(E52*2/1000)</f>
        <v>4.8179999999999996</v>
      </c>
      <c r="G52" s="13">
        <v>1591.6</v>
      </c>
      <c r="H52" s="66">
        <f t="shared" si="7"/>
        <v>7.6683287999999994</v>
      </c>
      <c r="I52" s="13">
        <f>F52/2*G52</f>
        <v>3834.1643999999997</v>
      </c>
    </row>
    <row r="53" spans="1:9" ht="30" hidden="1">
      <c r="A53" s="30">
        <v>16</v>
      </c>
      <c r="B53" s="62" t="s">
        <v>85</v>
      </c>
      <c r="C53" s="63" t="s">
        <v>36</v>
      </c>
      <c r="D53" s="62" t="s">
        <v>40</v>
      </c>
      <c r="E53" s="64">
        <v>10</v>
      </c>
      <c r="F53" s="65">
        <f>SUM(E53*2/100)</f>
        <v>0.2</v>
      </c>
      <c r="G53" s="13">
        <v>4058.32</v>
      </c>
      <c r="H53" s="66">
        <f>SUM(F53*G53/1000)</f>
        <v>0.81166400000000005</v>
      </c>
      <c r="I53" s="13">
        <f t="shared" ref="I53:I54" si="10">F53/2*G53</f>
        <v>405.83200000000005</v>
      </c>
    </row>
    <row r="54" spans="1:9" hidden="1">
      <c r="A54" s="30"/>
      <c r="B54" s="62" t="s">
        <v>37</v>
      </c>
      <c r="C54" s="63" t="s">
        <v>38</v>
      </c>
      <c r="D54" s="62" t="s">
        <v>40</v>
      </c>
      <c r="E54" s="64">
        <v>1</v>
      </c>
      <c r="F54" s="65">
        <v>0.02</v>
      </c>
      <c r="G54" s="13">
        <v>7412.92</v>
      </c>
      <c r="H54" s="66">
        <f t="shared" si="7"/>
        <v>0.14825839999999998</v>
      </c>
      <c r="I54" s="13">
        <f t="shared" si="10"/>
        <v>74.129199999999997</v>
      </c>
    </row>
    <row r="55" spans="1:9" hidden="1">
      <c r="A55" s="30">
        <v>14</v>
      </c>
      <c r="B55" s="62" t="s">
        <v>39</v>
      </c>
      <c r="C55" s="63" t="s">
        <v>98</v>
      </c>
      <c r="D55" s="62" t="s">
        <v>67</v>
      </c>
      <c r="E55" s="64">
        <v>80</v>
      </c>
      <c r="F55" s="65">
        <f>SUM(E55)*3</f>
        <v>240</v>
      </c>
      <c r="G55" s="13">
        <v>86.15</v>
      </c>
      <c r="H55" s="66">
        <f t="shared" si="7"/>
        <v>20.675999999999998</v>
      </c>
      <c r="I55" s="13">
        <f>F55/3*G55</f>
        <v>6892</v>
      </c>
    </row>
    <row r="56" spans="1:9">
      <c r="A56" s="249" t="s">
        <v>151</v>
      </c>
      <c r="B56" s="250"/>
      <c r="C56" s="250"/>
      <c r="D56" s="250"/>
      <c r="E56" s="250"/>
      <c r="F56" s="250"/>
      <c r="G56" s="250"/>
      <c r="H56" s="250"/>
      <c r="I56" s="251"/>
    </row>
    <row r="57" spans="1:9" hidden="1">
      <c r="A57" s="30"/>
      <c r="B57" s="81" t="s">
        <v>41</v>
      </c>
      <c r="C57" s="63"/>
      <c r="D57" s="62"/>
      <c r="E57" s="64"/>
      <c r="F57" s="65"/>
      <c r="G57" s="65"/>
      <c r="H57" s="66"/>
      <c r="I57" s="13"/>
    </row>
    <row r="58" spans="1:9" hidden="1">
      <c r="A58" s="30">
        <v>15</v>
      </c>
      <c r="B58" s="71" t="s">
        <v>120</v>
      </c>
      <c r="C58" s="72" t="s">
        <v>121</v>
      </c>
      <c r="D58" s="71" t="s">
        <v>40</v>
      </c>
      <c r="E58" s="73">
        <v>2</v>
      </c>
      <c r="F58" s="74">
        <v>4</v>
      </c>
      <c r="G58" s="13">
        <v>237.1</v>
      </c>
      <c r="H58" s="66">
        <f t="shared" ref="H58" si="11">SUM(F58*G58/1000)</f>
        <v>0.94840000000000002</v>
      </c>
      <c r="I58" s="13">
        <f>F58/2*G58</f>
        <v>474.2</v>
      </c>
    </row>
    <row r="59" spans="1:9" hidden="1">
      <c r="A59" s="30">
        <v>12</v>
      </c>
      <c r="B59" s="155" t="s">
        <v>119</v>
      </c>
      <c r="C59" s="182" t="s">
        <v>80</v>
      </c>
      <c r="D59" s="155" t="s">
        <v>178</v>
      </c>
      <c r="E59" s="128">
        <v>3.8</v>
      </c>
      <c r="F59" s="129">
        <f>SUM(E59*6/100)</f>
        <v>0.22799999999999998</v>
      </c>
      <c r="G59" s="34">
        <v>2110.4699999999998</v>
      </c>
      <c r="H59" s="66">
        <f>SUM(F59*G59/1000)</f>
        <v>0.48118715999999989</v>
      </c>
      <c r="I59" s="13">
        <f>F59/6*G59</f>
        <v>80.197859999999991</v>
      </c>
    </row>
    <row r="60" spans="1:9" hidden="1">
      <c r="A60" s="30"/>
      <c r="B60" s="62" t="s">
        <v>140</v>
      </c>
      <c r="C60" s="63" t="s">
        <v>141</v>
      </c>
      <c r="D60" s="62" t="s">
        <v>63</v>
      </c>
      <c r="E60" s="64"/>
      <c r="F60" s="65">
        <v>3</v>
      </c>
      <c r="G60" s="13">
        <v>1582.05</v>
      </c>
      <c r="H60" s="66">
        <f>SUM(F60*G60/1000)</f>
        <v>4.7461499999999992</v>
      </c>
      <c r="I60" s="13">
        <v>0</v>
      </c>
    </row>
    <row r="61" spans="1:9">
      <c r="A61" s="30"/>
      <c r="B61" s="82" t="s">
        <v>42</v>
      </c>
      <c r="C61" s="72"/>
      <c r="D61" s="71"/>
      <c r="E61" s="73"/>
      <c r="F61" s="74"/>
      <c r="G61" s="13"/>
      <c r="H61" s="75"/>
      <c r="I61" s="13"/>
    </row>
    <row r="62" spans="1:9" hidden="1">
      <c r="A62" s="30"/>
      <c r="B62" s="71" t="s">
        <v>142</v>
      </c>
      <c r="C62" s="72" t="s">
        <v>50</v>
      </c>
      <c r="D62" s="71" t="s">
        <v>51</v>
      </c>
      <c r="E62" s="73">
        <v>110</v>
      </c>
      <c r="F62" s="74">
        <f>E62/100</f>
        <v>1.1000000000000001</v>
      </c>
      <c r="G62" s="13">
        <v>1040.8399999999999</v>
      </c>
      <c r="H62" s="75">
        <f>F62*G62/1000</f>
        <v>1.1449240000000001</v>
      </c>
      <c r="I62" s="13">
        <v>0</v>
      </c>
    </row>
    <row r="63" spans="1:9">
      <c r="A63" s="30">
        <v>10</v>
      </c>
      <c r="B63" s="71" t="s">
        <v>109</v>
      </c>
      <c r="C63" s="72" t="s">
        <v>25</v>
      </c>
      <c r="D63" s="71" t="s">
        <v>184</v>
      </c>
      <c r="E63" s="73">
        <v>100</v>
      </c>
      <c r="F63" s="76">
        <f>E63*12</f>
        <v>1200</v>
      </c>
      <c r="G63" s="56">
        <v>1.4</v>
      </c>
      <c r="H63" s="74">
        <f>F63*G63/1000</f>
        <v>1.68</v>
      </c>
      <c r="I63" s="13">
        <f>F63/12*G63</f>
        <v>140</v>
      </c>
    </row>
    <row r="64" spans="1:9" hidden="1">
      <c r="A64" s="30"/>
      <c r="B64" s="82" t="s">
        <v>43</v>
      </c>
      <c r="C64" s="72"/>
      <c r="D64" s="71"/>
      <c r="E64" s="73"/>
      <c r="F64" s="76"/>
      <c r="G64" s="76"/>
      <c r="H64" s="74" t="s">
        <v>122</v>
      </c>
      <c r="I64" s="13"/>
    </row>
    <row r="65" spans="1:9" hidden="1">
      <c r="A65" s="30">
        <v>18</v>
      </c>
      <c r="B65" s="14" t="s">
        <v>44</v>
      </c>
      <c r="C65" s="16" t="s">
        <v>98</v>
      </c>
      <c r="D65" s="14" t="s">
        <v>63</v>
      </c>
      <c r="E65" s="18">
        <v>8</v>
      </c>
      <c r="F65" s="65">
        <f>SUM(E65)</f>
        <v>8</v>
      </c>
      <c r="G65" s="13">
        <v>291.68</v>
      </c>
      <c r="H65" s="61">
        <f t="shared" ref="H65:H82" si="12">SUM(F65*G65/1000)</f>
        <v>2.33344</v>
      </c>
      <c r="I65" s="13">
        <f>G65</f>
        <v>291.68</v>
      </c>
    </row>
    <row r="66" spans="1:9" hidden="1">
      <c r="A66" s="30"/>
      <c r="B66" s="14" t="s">
        <v>45</v>
      </c>
      <c r="C66" s="16" t="s">
        <v>98</v>
      </c>
      <c r="D66" s="14" t="s">
        <v>63</v>
      </c>
      <c r="E66" s="18">
        <v>4</v>
      </c>
      <c r="F66" s="65">
        <f>SUM(E66)</f>
        <v>4</v>
      </c>
      <c r="G66" s="13">
        <v>100.01</v>
      </c>
      <c r="H66" s="61">
        <f t="shared" si="12"/>
        <v>0.40004000000000001</v>
      </c>
      <c r="I66" s="13">
        <v>0</v>
      </c>
    </row>
    <row r="67" spans="1:9" hidden="1">
      <c r="A67" s="30"/>
      <c r="B67" s="14" t="s">
        <v>46</v>
      </c>
      <c r="C67" s="16" t="s">
        <v>100</v>
      </c>
      <c r="D67" s="14" t="s">
        <v>51</v>
      </c>
      <c r="E67" s="64">
        <v>9962</v>
      </c>
      <c r="F67" s="13">
        <f>SUM(E67/100)</f>
        <v>99.62</v>
      </c>
      <c r="G67" s="13">
        <v>278.24</v>
      </c>
      <c r="H67" s="61">
        <f t="shared" si="12"/>
        <v>27.718268800000001</v>
      </c>
      <c r="I67" s="13">
        <f>F67*G67</f>
        <v>27718.268800000002</v>
      </c>
    </row>
    <row r="68" spans="1:9" hidden="1">
      <c r="A68" s="30"/>
      <c r="B68" s="14" t="s">
        <v>47</v>
      </c>
      <c r="C68" s="16" t="s">
        <v>101</v>
      </c>
      <c r="D68" s="14"/>
      <c r="E68" s="64">
        <v>9962</v>
      </c>
      <c r="F68" s="13">
        <f>SUM(E68/1000)</f>
        <v>9.9619999999999997</v>
      </c>
      <c r="G68" s="13">
        <v>216.68</v>
      </c>
      <c r="H68" s="61">
        <f t="shared" si="12"/>
        <v>2.1585661599999999</v>
      </c>
      <c r="I68" s="13">
        <f t="shared" ref="I68:I72" si="13">F68*G68</f>
        <v>2158.5661599999999</v>
      </c>
    </row>
    <row r="69" spans="1:9" hidden="1">
      <c r="A69" s="30"/>
      <c r="B69" s="14" t="s">
        <v>48</v>
      </c>
      <c r="C69" s="16" t="s">
        <v>72</v>
      </c>
      <c r="D69" s="14" t="s">
        <v>51</v>
      </c>
      <c r="E69" s="64">
        <v>806.3</v>
      </c>
      <c r="F69" s="13">
        <f>SUM(E69/100)</f>
        <v>8.0629999999999988</v>
      </c>
      <c r="G69" s="13">
        <v>2720.94</v>
      </c>
      <c r="H69" s="61">
        <f t="shared" si="12"/>
        <v>21.938939219999998</v>
      </c>
      <c r="I69" s="13">
        <f t="shared" si="13"/>
        <v>21938.939219999997</v>
      </c>
    </row>
    <row r="70" spans="1:9" hidden="1">
      <c r="A70" s="30">
        <v>18</v>
      </c>
      <c r="B70" s="89" t="s">
        <v>102</v>
      </c>
      <c r="C70" s="90" t="s">
        <v>32</v>
      </c>
      <c r="D70" s="91"/>
      <c r="E70" s="73">
        <v>9.4</v>
      </c>
      <c r="F70" s="92">
        <f>SUM(E70)</f>
        <v>9.4</v>
      </c>
      <c r="G70" s="92">
        <v>44.31</v>
      </c>
      <c r="H70" s="93">
        <f t="shared" si="12"/>
        <v>0.416514</v>
      </c>
      <c r="I70" s="13">
        <f t="shared" si="13"/>
        <v>416.51400000000001</v>
      </c>
    </row>
    <row r="71" spans="1:9" hidden="1">
      <c r="A71" s="30"/>
      <c r="B71" s="77" t="s">
        <v>103</v>
      </c>
      <c r="C71" s="16" t="s">
        <v>32</v>
      </c>
      <c r="D71" s="14"/>
      <c r="E71" s="18">
        <v>9.4</v>
      </c>
      <c r="F71" s="92">
        <f t="shared" ref="F71:F76" si="14">SUM(E71)</f>
        <v>9.4</v>
      </c>
      <c r="G71" s="13">
        <v>47.79</v>
      </c>
      <c r="H71" s="13">
        <f t="shared" si="12"/>
        <v>0.44922600000000001</v>
      </c>
      <c r="I71" s="13">
        <f t="shared" si="13"/>
        <v>449.226</v>
      </c>
    </row>
    <row r="72" spans="1:9" ht="17.25" hidden="1" customHeight="1">
      <c r="A72" s="30"/>
      <c r="B72" s="14" t="s">
        <v>54</v>
      </c>
      <c r="C72" s="16" t="s">
        <v>55</v>
      </c>
      <c r="D72" s="14" t="s">
        <v>51</v>
      </c>
      <c r="E72" s="18">
        <v>2</v>
      </c>
      <c r="F72" s="92">
        <f t="shared" si="14"/>
        <v>2</v>
      </c>
      <c r="G72" s="13">
        <v>65.42</v>
      </c>
      <c r="H72" s="13">
        <f t="shared" si="12"/>
        <v>0.13084000000000001</v>
      </c>
      <c r="I72" s="13">
        <f t="shared" si="13"/>
        <v>130.84</v>
      </c>
    </row>
    <row r="73" spans="1:9" ht="17.25" customHeight="1">
      <c r="A73" s="30"/>
      <c r="B73" s="100" t="s">
        <v>147</v>
      </c>
      <c r="C73" s="49"/>
      <c r="D73" s="14"/>
      <c r="E73" s="18"/>
      <c r="F73" s="13"/>
      <c r="G73" s="13"/>
      <c r="H73" s="61"/>
      <c r="I73" s="13"/>
    </row>
    <row r="74" spans="1:9" ht="17.25" customHeight="1">
      <c r="A74" s="30">
        <v>11</v>
      </c>
      <c r="B74" s="35" t="s">
        <v>148</v>
      </c>
      <c r="C74" s="157" t="s">
        <v>149</v>
      </c>
      <c r="D74" s="35"/>
      <c r="E74" s="17">
        <v>2409</v>
      </c>
      <c r="F74" s="34">
        <f>SUM(E74*12)</f>
        <v>28908</v>
      </c>
      <c r="G74" s="34">
        <v>2.37</v>
      </c>
      <c r="H74" s="61">
        <f t="shared" ref="H74" si="15">SUM(F74*G74/1000)</f>
        <v>68.511960000000002</v>
      </c>
      <c r="I74" s="13">
        <f>F74/12*G74</f>
        <v>5709.33</v>
      </c>
    </row>
    <row r="75" spans="1:9">
      <c r="A75" s="30"/>
      <c r="B75" s="114" t="s">
        <v>68</v>
      </c>
      <c r="C75" s="16"/>
      <c r="D75" s="14"/>
      <c r="E75" s="18"/>
      <c r="F75" s="13"/>
      <c r="G75" s="13"/>
      <c r="H75" s="13" t="s">
        <v>122</v>
      </c>
      <c r="I75" s="13"/>
    </row>
    <row r="76" spans="1:9" ht="30" hidden="1">
      <c r="A76" s="30"/>
      <c r="B76" s="14" t="s">
        <v>143</v>
      </c>
      <c r="C76" s="16" t="s">
        <v>98</v>
      </c>
      <c r="D76" s="14" t="s">
        <v>63</v>
      </c>
      <c r="E76" s="18">
        <v>2</v>
      </c>
      <c r="F76" s="92">
        <f t="shared" si="14"/>
        <v>2</v>
      </c>
      <c r="G76" s="13">
        <v>1543.4</v>
      </c>
      <c r="H76" s="13">
        <f t="shared" ref="H76:H78" si="16">SUM(F76*G76/1000)</f>
        <v>3.0868000000000002</v>
      </c>
      <c r="I76" s="13">
        <v>0</v>
      </c>
    </row>
    <row r="77" spans="1:9" hidden="1">
      <c r="A77" s="30"/>
      <c r="B77" s="14" t="s">
        <v>69</v>
      </c>
      <c r="C77" s="16" t="s">
        <v>70</v>
      </c>
      <c r="D77" s="14" t="s">
        <v>63</v>
      </c>
      <c r="E77" s="18">
        <v>2</v>
      </c>
      <c r="F77" s="13">
        <f>E77/10</f>
        <v>0.2</v>
      </c>
      <c r="G77" s="13">
        <v>657.87</v>
      </c>
      <c r="H77" s="13">
        <f t="shared" si="16"/>
        <v>0.13157400000000002</v>
      </c>
      <c r="I77" s="13">
        <f>G77*0.4</f>
        <v>263.14800000000002</v>
      </c>
    </row>
    <row r="78" spans="1:9" hidden="1">
      <c r="A78" s="30"/>
      <c r="B78" s="14" t="s">
        <v>144</v>
      </c>
      <c r="C78" s="16" t="s">
        <v>98</v>
      </c>
      <c r="D78" s="14" t="s">
        <v>63</v>
      </c>
      <c r="E78" s="18">
        <v>1</v>
      </c>
      <c r="F78" s="13">
        <f>SUM(E78)</f>
        <v>1</v>
      </c>
      <c r="G78" s="13">
        <v>1118.72</v>
      </c>
      <c r="H78" s="13">
        <f t="shared" si="16"/>
        <v>1.1187199999999999</v>
      </c>
      <c r="I78" s="13">
        <v>0</v>
      </c>
    </row>
    <row r="79" spans="1:9" hidden="1">
      <c r="A79" s="30"/>
      <c r="B79" s="46" t="s">
        <v>145</v>
      </c>
      <c r="C79" s="49" t="s">
        <v>98</v>
      </c>
      <c r="D79" s="14" t="s">
        <v>63</v>
      </c>
      <c r="E79" s="18">
        <v>1</v>
      </c>
      <c r="F79" s="13">
        <v>1</v>
      </c>
      <c r="G79" s="13">
        <v>1605.83</v>
      </c>
      <c r="H79" s="13">
        <f>SUM(F79*G79/1000)</f>
        <v>1.6058299999999999</v>
      </c>
      <c r="I79" s="13">
        <v>0</v>
      </c>
    </row>
    <row r="80" spans="1:9">
      <c r="A80" s="30">
        <v>12</v>
      </c>
      <c r="B80" s="47" t="s">
        <v>146</v>
      </c>
      <c r="C80" s="48" t="s">
        <v>98</v>
      </c>
      <c r="D80" s="35" t="s">
        <v>178</v>
      </c>
      <c r="E80" s="17">
        <v>1</v>
      </c>
      <c r="F80" s="34">
        <f>E80*12</f>
        <v>12</v>
      </c>
      <c r="G80" s="34">
        <v>55.55</v>
      </c>
      <c r="H80" s="13">
        <f t="shared" ref="H80" si="17">SUM(F80*G80/1000)</f>
        <v>0.66659999999999986</v>
      </c>
      <c r="I80" s="13">
        <f>F80/12*G80</f>
        <v>55.55</v>
      </c>
    </row>
    <row r="81" spans="1:9" hidden="1">
      <c r="A81" s="30"/>
      <c r="B81" s="79" t="s">
        <v>71</v>
      </c>
      <c r="C81" s="16"/>
      <c r="D81" s="14"/>
      <c r="E81" s="18"/>
      <c r="F81" s="13"/>
      <c r="G81" s="13" t="s">
        <v>122</v>
      </c>
      <c r="H81" s="13" t="s">
        <v>122</v>
      </c>
      <c r="I81" s="13"/>
    </row>
    <row r="82" spans="1:9" hidden="1">
      <c r="A82" s="30"/>
      <c r="B82" s="43" t="s">
        <v>111</v>
      </c>
      <c r="C82" s="16" t="s">
        <v>72</v>
      </c>
      <c r="D82" s="14"/>
      <c r="E82" s="18"/>
      <c r="F82" s="13">
        <v>0.1</v>
      </c>
      <c r="G82" s="13">
        <v>3619.09</v>
      </c>
      <c r="H82" s="13">
        <f t="shared" si="12"/>
        <v>0.36190900000000004</v>
      </c>
      <c r="I82" s="13">
        <v>0</v>
      </c>
    </row>
    <row r="83" spans="1:9" ht="28.5" hidden="1">
      <c r="A83" s="30"/>
      <c r="B83" s="101" t="s">
        <v>86</v>
      </c>
      <c r="C83" s="94"/>
      <c r="D83" s="95"/>
      <c r="E83" s="96"/>
      <c r="F83" s="97"/>
      <c r="G83" s="97"/>
      <c r="H83" s="98">
        <f>SUM(H58:H82)</f>
        <v>140.02988834000001</v>
      </c>
      <c r="I83" s="68"/>
    </row>
    <row r="84" spans="1:9" hidden="1">
      <c r="A84" s="30"/>
      <c r="B84" s="62" t="s">
        <v>104</v>
      </c>
      <c r="C84" s="16"/>
      <c r="D84" s="14"/>
      <c r="E84" s="57"/>
      <c r="F84" s="13">
        <v>1</v>
      </c>
      <c r="G84" s="13">
        <v>8236.4</v>
      </c>
      <c r="H84" s="61">
        <f>G84*F84/1000</f>
        <v>8.2363999999999997</v>
      </c>
      <c r="I84" s="13">
        <v>0</v>
      </c>
    </row>
    <row r="85" spans="1:9">
      <c r="A85" s="225" t="s">
        <v>152</v>
      </c>
      <c r="B85" s="226"/>
      <c r="C85" s="226"/>
      <c r="D85" s="226"/>
      <c r="E85" s="226"/>
      <c r="F85" s="226"/>
      <c r="G85" s="226"/>
      <c r="H85" s="226"/>
      <c r="I85" s="227"/>
    </row>
    <row r="86" spans="1:9">
      <c r="A86" s="30">
        <v>13</v>
      </c>
      <c r="B86" s="155" t="s">
        <v>105</v>
      </c>
      <c r="C86" s="147" t="s">
        <v>52</v>
      </c>
      <c r="D86" s="188"/>
      <c r="E86" s="34">
        <v>2409</v>
      </c>
      <c r="F86" s="34">
        <f>SUM(E86*12)</f>
        <v>28908</v>
      </c>
      <c r="G86" s="34">
        <v>3.22</v>
      </c>
      <c r="H86" s="61">
        <f>SUM(F86*G86/1000)</f>
        <v>93.083760000000012</v>
      </c>
      <c r="I86" s="13">
        <f>F86/12*G86</f>
        <v>7756.9800000000005</v>
      </c>
    </row>
    <row r="87" spans="1:9" ht="30">
      <c r="A87" s="30">
        <v>14</v>
      </c>
      <c r="B87" s="35" t="s">
        <v>73</v>
      </c>
      <c r="C87" s="147" t="s">
        <v>170</v>
      </c>
      <c r="D87" s="115"/>
      <c r="E87" s="128">
        <f>E86</f>
        <v>2409</v>
      </c>
      <c r="F87" s="34">
        <f>E87*12</f>
        <v>28908</v>
      </c>
      <c r="G87" s="34">
        <v>3.64</v>
      </c>
      <c r="H87" s="61">
        <f>F87*G87/1000</f>
        <v>105.22512</v>
      </c>
      <c r="I87" s="13">
        <f>F87/12*G87</f>
        <v>8768.76</v>
      </c>
    </row>
    <row r="88" spans="1:9">
      <c r="A88" s="30"/>
      <c r="B88" s="36" t="s">
        <v>75</v>
      </c>
      <c r="C88" s="79"/>
      <c r="D88" s="78"/>
      <c r="E88" s="68"/>
      <c r="F88" s="68"/>
      <c r="G88" s="68"/>
      <c r="H88" s="80">
        <f>H87</f>
        <v>105.22512</v>
      </c>
      <c r="I88" s="68">
        <f>I87+I86+I80+I74+I63+I45+I42+I41+I40+I27+I18+I17+I16+I38</f>
        <v>38244.878101000002</v>
      </c>
    </row>
    <row r="89" spans="1:9">
      <c r="A89" s="230" t="s">
        <v>57</v>
      </c>
      <c r="B89" s="231"/>
      <c r="C89" s="231"/>
      <c r="D89" s="231"/>
      <c r="E89" s="231"/>
      <c r="F89" s="231"/>
      <c r="G89" s="231"/>
      <c r="H89" s="231"/>
      <c r="I89" s="232"/>
    </row>
    <row r="90" spans="1:9" ht="30">
      <c r="A90" s="186">
        <v>15</v>
      </c>
      <c r="B90" s="47" t="s">
        <v>197</v>
      </c>
      <c r="C90" s="48" t="s">
        <v>129</v>
      </c>
      <c r="D90" s="157" t="s">
        <v>231</v>
      </c>
      <c r="E90" s="34"/>
      <c r="F90" s="34">
        <f>16+20+8</f>
        <v>44</v>
      </c>
      <c r="G90" s="34">
        <v>1523.6</v>
      </c>
      <c r="H90" s="218"/>
      <c r="I90" s="185">
        <f>G90*8</f>
        <v>12188.8</v>
      </c>
    </row>
    <row r="91" spans="1:9">
      <c r="A91" s="186">
        <v>16</v>
      </c>
      <c r="B91" s="47" t="s">
        <v>285</v>
      </c>
      <c r="C91" s="48" t="s">
        <v>77</v>
      </c>
      <c r="D91" s="147" t="s">
        <v>235</v>
      </c>
      <c r="E91" s="34"/>
      <c r="F91" s="34">
        <v>2</v>
      </c>
      <c r="G91" s="34">
        <v>269.91000000000003</v>
      </c>
      <c r="H91" s="218"/>
      <c r="I91" s="185">
        <v>0</v>
      </c>
    </row>
    <row r="92" spans="1:9" ht="30">
      <c r="A92" s="186">
        <v>17</v>
      </c>
      <c r="B92" s="47" t="s">
        <v>219</v>
      </c>
      <c r="C92" s="48" t="s">
        <v>98</v>
      </c>
      <c r="D92" s="157" t="s">
        <v>230</v>
      </c>
      <c r="E92" s="34"/>
      <c r="F92" s="34">
        <v>2</v>
      </c>
      <c r="G92" s="34">
        <v>1179.28</v>
      </c>
      <c r="H92" s="218"/>
      <c r="I92" s="185">
        <f>G92*2</f>
        <v>2358.56</v>
      </c>
    </row>
    <row r="93" spans="1:9" ht="30">
      <c r="A93" s="186">
        <v>18</v>
      </c>
      <c r="B93" s="47" t="s">
        <v>220</v>
      </c>
      <c r="C93" s="48" t="s">
        <v>98</v>
      </c>
      <c r="D93" s="157" t="s">
        <v>230</v>
      </c>
      <c r="E93" s="34"/>
      <c r="F93" s="34">
        <v>2</v>
      </c>
      <c r="G93" s="34">
        <v>945.36</v>
      </c>
      <c r="H93" s="218"/>
      <c r="I93" s="185">
        <f>G93*2</f>
        <v>1890.72</v>
      </c>
    </row>
    <row r="94" spans="1:9">
      <c r="A94" s="186">
        <v>19</v>
      </c>
      <c r="B94" s="47" t="s">
        <v>221</v>
      </c>
      <c r="C94" s="48" t="s">
        <v>98</v>
      </c>
      <c r="D94" s="115"/>
      <c r="E94" s="34"/>
      <c r="F94" s="34">
        <v>3</v>
      </c>
      <c r="G94" s="34">
        <v>91</v>
      </c>
      <c r="H94" s="218"/>
      <c r="I94" s="185">
        <f>G94*3</f>
        <v>273</v>
      </c>
    </row>
    <row r="95" spans="1:9">
      <c r="A95" s="186">
        <v>20</v>
      </c>
      <c r="B95" s="47" t="s">
        <v>222</v>
      </c>
      <c r="C95" s="48" t="s">
        <v>98</v>
      </c>
      <c r="D95" s="115"/>
      <c r="E95" s="34"/>
      <c r="F95" s="34">
        <v>2</v>
      </c>
      <c r="G95" s="34">
        <v>80.599999999999994</v>
      </c>
      <c r="H95" s="218"/>
      <c r="I95" s="185">
        <f>G95*2</f>
        <v>161.19999999999999</v>
      </c>
    </row>
    <row r="96" spans="1:9">
      <c r="A96" s="186">
        <v>21</v>
      </c>
      <c r="B96" s="47" t="s">
        <v>223</v>
      </c>
      <c r="C96" s="48" t="s">
        <v>98</v>
      </c>
      <c r="D96" s="115"/>
      <c r="E96" s="34"/>
      <c r="F96" s="34">
        <v>2</v>
      </c>
      <c r="G96" s="34">
        <v>162.5</v>
      </c>
      <c r="H96" s="218"/>
      <c r="I96" s="185">
        <f>G96*2</f>
        <v>325</v>
      </c>
    </row>
    <row r="97" spans="1:9">
      <c r="A97" s="186">
        <v>22</v>
      </c>
      <c r="B97" s="47" t="s">
        <v>224</v>
      </c>
      <c r="C97" s="48" t="s">
        <v>98</v>
      </c>
      <c r="D97" s="115"/>
      <c r="E97" s="34"/>
      <c r="F97" s="34">
        <v>1</v>
      </c>
      <c r="G97" s="34">
        <v>143</v>
      </c>
      <c r="H97" s="218"/>
      <c r="I97" s="185">
        <f>G97*1</f>
        <v>143</v>
      </c>
    </row>
    <row r="98" spans="1:9">
      <c r="A98" s="186">
        <v>23</v>
      </c>
      <c r="B98" s="47" t="s">
        <v>225</v>
      </c>
      <c r="C98" s="48" t="s">
        <v>98</v>
      </c>
      <c r="D98" s="115"/>
      <c r="E98" s="34"/>
      <c r="F98" s="34">
        <v>1</v>
      </c>
      <c r="G98" s="34">
        <v>305.5</v>
      </c>
      <c r="H98" s="218"/>
      <c r="I98" s="185">
        <f>G98*1</f>
        <v>305.5</v>
      </c>
    </row>
    <row r="99" spans="1:9">
      <c r="A99" s="186">
        <v>24</v>
      </c>
      <c r="B99" s="47" t="s">
        <v>226</v>
      </c>
      <c r="C99" s="48" t="s">
        <v>98</v>
      </c>
      <c r="D99" s="115"/>
      <c r="E99" s="34"/>
      <c r="F99" s="34">
        <v>1</v>
      </c>
      <c r="G99" s="34">
        <v>87.1</v>
      </c>
      <c r="H99" s="218"/>
      <c r="I99" s="185">
        <f>G99*1</f>
        <v>87.1</v>
      </c>
    </row>
    <row r="100" spans="1:9">
      <c r="A100" s="186">
        <v>25</v>
      </c>
      <c r="B100" s="47" t="s">
        <v>227</v>
      </c>
      <c r="C100" s="48" t="s">
        <v>77</v>
      </c>
      <c r="D100" s="157" t="s">
        <v>234</v>
      </c>
      <c r="E100" s="34"/>
      <c r="F100" s="34">
        <v>2</v>
      </c>
      <c r="G100" s="34">
        <v>222.63</v>
      </c>
      <c r="H100" s="218"/>
      <c r="I100" s="185">
        <f>G100*2</f>
        <v>445.26</v>
      </c>
    </row>
    <row r="101" spans="1:9">
      <c r="A101" s="186">
        <v>26</v>
      </c>
      <c r="B101" s="47" t="s">
        <v>228</v>
      </c>
      <c r="C101" s="48" t="s">
        <v>98</v>
      </c>
      <c r="D101" s="147" t="s">
        <v>233</v>
      </c>
      <c r="E101" s="34"/>
      <c r="F101" s="34">
        <v>1</v>
      </c>
      <c r="G101" s="34">
        <v>126.58</v>
      </c>
      <c r="H101" s="218"/>
      <c r="I101" s="185">
        <f>G101*1</f>
        <v>126.58</v>
      </c>
    </row>
    <row r="102" spans="1:9">
      <c r="A102" s="186">
        <v>27</v>
      </c>
      <c r="B102" s="219" t="s">
        <v>229</v>
      </c>
      <c r="C102" s="157" t="s">
        <v>189</v>
      </c>
      <c r="D102" s="147" t="s">
        <v>232</v>
      </c>
      <c r="E102" s="34"/>
      <c r="F102" s="34">
        <v>0.15</v>
      </c>
      <c r="G102" s="34">
        <v>1527.98</v>
      </c>
      <c r="H102" s="218"/>
      <c r="I102" s="185">
        <f>G102*0.15</f>
        <v>229.197</v>
      </c>
    </row>
    <row r="103" spans="1:9">
      <c r="A103" s="186">
        <v>28</v>
      </c>
      <c r="B103" s="47" t="s">
        <v>153</v>
      </c>
      <c r="C103" s="48" t="s">
        <v>98</v>
      </c>
      <c r="D103" s="115"/>
      <c r="E103" s="34"/>
      <c r="F103" s="34">
        <v>5</v>
      </c>
      <c r="G103" s="34">
        <v>215.85</v>
      </c>
      <c r="H103" s="218"/>
      <c r="I103" s="185">
        <f>G103*2</f>
        <v>431.7</v>
      </c>
    </row>
    <row r="104" spans="1:9">
      <c r="A104" s="30"/>
      <c r="B104" s="41" t="s">
        <v>49</v>
      </c>
      <c r="C104" s="37"/>
      <c r="D104" s="44"/>
      <c r="E104" s="37">
        <v>1</v>
      </c>
      <c r="F104" s="37"/>
      <c r="G104" s="37"/>
      <c r="H104" s="37"/>
      <c r="I104" s="32">
        <f>SUM(I90:I103)</f>
        <v>18965.616999999998</v>
      </c>
    </row>
    <row r="105" spans="1:9">
      <c r="A105" s="30"/>
      <c r="B105" s="43" t="s">
        <v>74</v>
      </c>
      <c r="C105" s="15"/>
      <c r="D105" s="15"/>
      <c r="E105" s="38"/>
      <c r="F105" s="38"/>
      <c r="G105" s="39"/>
      <c r="H105" s="39"/>
      <c r="I105" s="17">
        <v>0</v>
      </c>
    </row>
    <row r="106" spans="1:9">
      <c r="A106" s="45"/>
      <c r="B106" s="42" t="s">
        <v>133</v>
      </c>
      <c r="C106" s="33"/>
      <c r="D106" s="33"/>
      <c r="E106" s="33"/>
      <c r="F106" s="33"/>
      <c r="G106" s="33"/>
      <c r="H106" s="33"/>
      <c r="I106" s="40">
        <f>I88+I104</f>
        <v>57210.495101</v>
      </c>
    </row>
    <row r="107" spans="1:9" ht="15.75">
      <c r="A107" s="235" t="s">
        <v>286</v>
      </c>
      <c r="B107" s="235"/>
      <c r="C107" s="235"/>
      <c r="D107" s="235"/>
      <c r="E107" s="235"/>
      <c r="F107" s="235"/>
      <c r="G107" s="235"/>
      <c r="H107" s="235"/>
      <c r="I107" s="235"/>
    </row>
    <row r="108" spans="1:9" ht="15.75">
      <c r="A108" s="55"/>
      <c r="B108" s="236" t="s">
        <v>287</v>
      </c>
      <c r="C108" s="236"/>
      <c r="D108" s="236"/>
      <c r="E108" s="236"/>
      <c r="F108" s="236"/>
      <c r="G108" s="236"/>
      <c r="H108" s="60"/>
      <c r="I108" s="3"/>
    </row>
    <row r="109" spans="1:9">
      <c r="A109" s="110"/>
      <c r="B109" s="237" t="s">
        <v>6</v>
      </c>
      <c r="C109" s="237"/>
      <c r="D109" s="237"/>
      <c r="E109" s="237"/>
      <c r="F109" s="237"/>
      <c r="G109" s="237"/>
      <c r="H109" s="25"/>
      <c r="I109" s="5"/>
    </row>
    <row r="110" spans="1:9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>
      <c r="A111" s="238" t="s">
        <v>7</v>
      </c>
      <c r="B111" s="238"/>
      <c r="C111" s="238"/>
      <c r="D111" s="238"/>
      <c r="E111" s="238"/>
      <c r="F111" s="238"/>
      <c r="G111" s="238"/>
      <c r="H111" s="238"/>
      <c r="I111" s="238"/>
    </row>
    <row r="112" spans="1:9" ht="15.75">
      <c r="A112" s="238" t="s">
        <v>8</v>
      </c>
      <c r="B112" s="238"/>
      <c r="C112" s="238"/>
      <c r="D112" s="238"/>
      <c r="E112" s="238"/>
      <c r="F112" s="238"/>
      <c r="G112" s="238"/>
      <c r="H112" s="238"/>
      <c r="I112" s="238"/>
    </row>
    <row r="113" spans="1:9" ht="15.75">
      <c r="A113" s="239" t="s">
        <v>58</v>
      </c>
      <c r="B113" s="239"/>
      <c r="C113" s="239"/>
      <c r="D113" s="239"/>
      <c r="E113" s="239"/>
      <c r="F113" s="239"/>
      <c r="G113" s="239"/>
      <c r="H113" s="239"/>
      <c r="I113" s="239"/>
    </row>
    <row r="114" spans="1:9" ht="15.75">
      <c r="A114" s="11"/>
    </row>
    <row r="115" spans="1:9" ht="15.75">
      <c r="A115" s="240" t="s">
        <v>9</v>
      </c>
      <c r="B115" s="240"/>
      <c r="C115" s="240"/>
      <c r="D115" s="240"/>
      <c r="E115" s="240"/>
      <c r="F115" s="240"/>
      <c r="G115" s="240"/>
      <c r="H115" s="240"/>
      <c r="I115" s="240"/>
    </row>
    <row r="116" spans="1:9" ht="15.75">
      <c r="A116" s="4"/>
    </row>
    <row r="117" spans="1:9" ht="15.75">
      <c r="B117" s="112" t="s">
        <v>10</v>
      </c>
      <c r="C117" s="241" t="s">
        <v>127</v>
      </c>
      <c r="D117" s="241"/>
      <c r="E117" s="241"/>
      <c r="F117" s="58"/>
      <c r="I117" s="109"/>
    </row>
    <row r="118" spans="1:9">
      <c r="A118" s="110"/>
      <c r="C118" s="237" t="s">
        <v>11</v>
      </c>
      <c r="D118" s="237"/>
      <c r="E118" s="237"/>
      <c r="F118" s="25"/>
      <c r="I118" s="111" t="s">
        <v>12</v>
      </c>
    </row>
    <row r="119" spans="1:9" ht="15.75">
      <c r="A119" s="26"/>
      <c r="C119" s="12"/>
      <c r="D119" s="12"/>
      <c r="G119" s="12"/>
      <c r="H119" s="12"/>
    </row>
    <row r="120" spans="1:9" ht="15.75">
      <c r="B120" s="112" t="s">
        <v>13</v>
      </c>
      <c r="C120" s="233"/>
      <c r="D120" s="233"/>
      <c r="E120" s="233"/>
      <c r="F120" s="59"/>
      <c r="I120" s="109"/>
    </row>
    <row r="121" spans="1:9">
      <c r="A121" s="110"/>
      <c r="C121" s="234" t="s">
        <v>11</v>
      </c>
      <c r="D121" s="234"/>
      <c r="E121" s="234"/>
      <c r="F121" s="110"/>
      <c r="I121" s="111" t="s">
        <v>12</v>
      </c>
    </row>
    <row r="122" spans="1:9" ht="15.75">
      <c r="A122" s="4" t="s">
        <v>14</v>
      </c>
    </row>
    <row r="123" spans="1:9">
      <c r="A123" s="228" t="s">
        <v>15</v>
      </c>
      <c r="B123" s="228"/>
      <c r="C123" s="228"/>
      <c r="D123" s="228"/>
      <c r="E123" s="228"/>
      <c r="F123" s="228"/>
      <c r="G123" s="228"/>
      <c r="H123" s="228"/>
      <c r="I123" s="228"/>
    </row>
    <row r="124" spans="1:9" ht="49.5" customHeight="1">
      <c r="A124" s="229" t="s">
        <v>16</v>
      </c>
      <c r="B124" s="229"/>
      <c r="C124" s="229"/>
      <c r="D124" s="229"/>
      <c r="E124" s="229"/>
      <c r="F124" s="229"/>
      <c r="G124" s="229"/>
      <c r="H124" s="229"/>
      <c r="I124" s="229"/>
    </row>
    <row r="125" spans="1:9" ht="33" customHeight="1">
      <c r="A125" s="229" t="s">
        <v>17</v>
      </c>
      <c r="B125" s="229"/>
      <c r="C125" s="229"/>
      <c r="D125" s="229"/>
      <c r="E125" s="229"/>
      <c r="F125" s="229"/>
      <c r="G125" s="229"/>
      <c r="H125" s="229"/>
      <c r="I125" s="229"/>
    </row>
    <row r="126" spans="1:9" ht="37.5" customHeight="1">
      <c r="A126" s="229" t="s">
        <v>21</v>
      </c>
      <c r="B126" s="229"/>
      <c r="C126" s="229"/>
      <c r="D126" s="229"/>
      <c r="E126" s="229"/>
      <c r="F126" s="229"/>
      <c r="G126" s="229"/>
      <c r="H126" s="229"/>
      <c r="I126" s="229"/>
    </row>
    <row r="127" spans="1:9" ht="15.75">
      <c r="A127" s="229" t="s">
        <v>20</v>
      </c>
      <c r="B127" s="229"/>
      <c r="C127" s="229"/>
      <c r="D127" s="229"/>
      <c r="E127" s="229"/>
      <c r="F127" s="229"/>
      <c r="G127" s="229"/>
      <c r="H127" s="229"/>
      <c r="I127" s="229"/>
    </row>
  </sheetData>
  <mergeCells count="28">
    <mergeCell ref="A14:I14"/>
    <mergeCell ref="A3:I3"/>
    <mergeCell ref="A4:I4"/>
    <mergeCell ref="A5:I5"/>
    <mergeCell ref="A8:I8"/>
    <mergeCell ref="A10:I10"/>
    <mergeCell ref="A113:I113"/>
    <mergeCell ref="A15:I15"/>
    <mergeCell ref="A28:I28"/>
    <mergeCell ref="A46:I46"/>
    <mergeCell ref="A56:I56"/>
    <mergeCell ref="A85:I85"/>
    <mergeCell ref="A89:I89"/>
    <mergeCell ref="A107:I107"/>
    <mergeCell ref="B108:G108"/>
    <mergeCell ref="B109:G109"/>
    <mergeCell ref="A111:I111"/>
    <mergeCell ref="A112:I112"/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</mergeCells>
  <pageMargins left="0.70866141732283472" right="0.11811023622047245" top="0.74803149606299213" bottom="0.74803149606299213" header="0.31496062992125984" footer="0.31496062992125984"/>
  <pageSetup paperSize="9" scale="60" orientation="portrait" horizontalDpi="0" verticalDpi="0" r:id="rId1"/>
  <rowBreaks count="1" manualBreakCount="1">
    <brk id="1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114"/>
  <sheetViews>
    <sheetView topLeftCell="A71" workbookViewId="0">
      <selection activeCell="A45" sqref="A45:I45"/>
    </sheetView>
  </sheetViews>
  <sheetFormatPr defaultRowHeight="15"/>
  <cols>
    <col min="2" max="2" width="54.140625" customWidth="1"/>
    <col min="3" max="3" width="18.28515625" customWidth="1"/>
    <col min="4" max="4" width="21" customWidth="1"/>
    <col min="5" max="5" width="0" hidden="1" customWidth="1"/>
    <col min="6" max="6" width="11.28515625" hidden="1" customWidth="1"/>
    <col min="7" max="7" width="17" customWidth="1"/>
    <col min="8" max="8" width="0" hidden="1" customWidth="1"/>
    <col min="9" max="9" width="18.7109375" customWidth="1"/>
  </cols>
  <sheetData>
    <row r="1" spans="1:13" ht="15.75">
      <c r="A1" s="28" t="s">
        <v>157</v>
      </c>
      <c r="I1" s="27"/>
    </row>
    <row r="2" spans="1:13" ht="15.75">
      <c r="A2" s="29" t="s">
        <v>59</v>
      </c>
    </row>
    <row r="3" spans="1:13" ht="15.75">
      <c r="A3" s="243" t="s">
        <v>154</v>
      </c>
      <c r="B3" s="243"/>
      <c r="C3" s="243"/>
      <c r="D3" s="243"/>
      <c r="E3" s="243"/>
      <c r="F3" s="243"/>
      <c r="G3" s="243"/>
      <c r="H3" s="243"/>
      <c r="I3" s="243"/>
    </row>
    <row r="4" spans="1:13" ht="33.75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13" ht="15.75">
      <c r="A5" s="243" t="s">
        <v>237</v>
      </c>
      <c r="B5" s="245"/>
      <c r="C5" s="245"/>
      <c r="D5" s="245"/>
      <c r="E5" s="245"/>
      <c r="F5" s="245"/>
      <c r="G5" s="245"/>
      <c r="H5" s="245"/>
      <c r="I5" s="245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1">
        <v>43982</v>
      </c>
    </row>
    <row r="7" spans="1:13" ht="15.75">
      <c r="B7" s="120"/>
      <c r="C7" s="120"/>
      <c r="D7" s="120"/>
      <c r="E7" s="3"/>
      <c r="F7" s="3"/>
      <c r="G7" s="3"/>
      <c r="H7" s="3"/>
    </row>
    <row r="8" spans="1:13" ht="83.25" customHeight="1">
      <c r="A8" s="246" t="s">
        <v>172</v>
      </c>
      <c r="B8" s="246"/>
      <c r="C8" s="246"/>
      <c r="D8" s="246"/>
      <c r="E8" s="246"/>
      <c r="F8" s="246"/>
      <c r="G8" s="246"/>
      <c r="H8" s="246"/>
      <c r="I8" s="246"/>
    </row>
    <row r="9" spans="1:13" ht="0.75" customHeight="1">
      <c r="A9" s="4"/>
    </row>
    <row r="10" spans="1:13" ht="65.25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</row>
    <row r="11" spans="1:13" ht="15.75">
      <c r="A11" s="4"/>
    </row>
    <row r="12" spans="1:13" ht="64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13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</row>
    <row r="15" spans="1:13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13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25" si="0">SUM(F16*G16/1000)</f>
        <v>25.337020800000001</v>
      </c>
      <c r="I16" s="13">
        <f>F16/156*3*G16</f>
        <v>487.25040000000007</v>
      </c>
      <c r="J16" s="127"/>
      <c r="K16" s="127"/>
      <c r="L16" s="127"/>
      <c r="M16" s="127"/>
    </row>
    <row r="17" spans="1:13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F17/104*2*G17</f>
        <v>1299.3344</v>
      </c>
      <c r="J17" s="127"/>
      <c r="K17" s="127"/>
      <c r="L17" s="127"/>
      <c r="M17" s="127"/>
    </row>
    <row r="18" spans="1:13" hidden="1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  <c r="J18" s="127"/>
      <c r="K18" s="127"/>
      <c r="L18" s="127"/>
      <c r="M18" s="127"/>
    </row>
    <row r="19" spans="1:13" hidden="1">
      <c r="A19" s="30">
        <v>4</v>
      </c>
      <c r="B19" s="62" t="s">
        <v>87</v>
      </c>
      <c r="C19" s="63" t="s">
        <v>88</v>
      </c>
      <c r="D19" s="62" t="s">
        <v>89</v>
      </c>
      <c r="E19" s="64">
        <v>21.1</v>
      </c>
      <c r="F19" s="65">
        <f>SUM(E19/10)</f>
        <v>2.1100000000000003</v>
      </c>
      <c r="G19" s="65">
        <v>223.17</v>
      </c>
      <c r="H19" s="66">
        <f t="shared" si="0"/>
        <v>0.47088870000000005</v>
      </c>
      <c r="I19" s="13">
        <f>F19*G19</f>
        <v>470.88870000000003</v>
      </c>
      <c r="J19" s="127"/>
      <c r="K19" s="127"/>
      <c r="L19" s="127"/>
      <c r="M19" s="127"/>
    </row>
    <row r="20" spans="1:13" hidden="1">
      <c r="A20" s="30">
        <v>5</v>
      </c>
      <c r="B20" s="155" t="s">
        <v>90</v>
      </c>
      <c r="C20" s="182" t="s">
        <v>80</v>
      </c>
      <c r="D20" s="155" t="s">
        <v>40</v>
      </c>
      <c r="E20" s="128">
        <v>7</v>
      </c>
      <c r="F20" s="129">
        <v>0.14000000000000001</v>
      </c>
      <c r="G20" s="129">
        <v>297.19</v>
      </c>
      <c r="H20" s="66">
        <f t="shared" si="0"/>
        <v>4.1606600000000001E-2</v>
      </c>
      <c r="I20" s="13">
        <f>F20/12*G20</f>
        <v>3.4672166666666668</v>
      </c>
      <c r="J20" s="127"/>
      <c r="K20" s="127"/>
      <c r="L20" s="127"/>
      <c r="M20" s="127"/>
    </row>
    <row r="21" spans="1:13" hidden="1">
      <c r="A21" s="30">
        <v>6</v>
      </c>
      <c r="B21" s="62" t="s">
        <v>91</v>
      </c>
      <c r="C21" s="63" t="s">
        <v>80</v>
      </c>
      <c r="D21" s="62" t="s">
        <v>40</v>
      </c>
      <c r="E21" s="64">
        <v>2.4</v>
      </c>
      <c r="F21" s="65">
        <f>SUM(E21*2/100)</f>
        <v>4.8000000000000001E-2</v>
      </c>
      <c r="G21" s="65">
        <v>283.44</v>
      </c>
      <c r="H21" s="66">
        <f t="shared" si="0"/>
        <v>1.360512E-2</v>
      </c>
      <c r="I21" s="13">
        <f>F21/2*G21</f>
        <v>6.8025599999999997</v>
      </c>
      <c r="J21" s="127"/>
      <c r="K21" s="127"/>
      <c r="L21" s="127"/>
      <c r="M21" s="127"/>
    </row>
    <row r="22" spans="1:13" hidden="1">
      <c r="A22" s="30">
        <v>7</v>
      </c>
      <c r="B22" s="62" t="s">
        <v>92</v>
      </c>
      <c r="C22" s="63" t="s">
        <v>50</v>
      </c>
      <c r="D22" s="62" t="s">
        <v>89</v>
      </c>
      <c r="E22" s="64">
        <v>317</v>
      </c>
      <c r="F22" s="65">
        <f>SUM(E22/100)</f>
        <v>3.17</v>
      </c>
      <c r="G22" s="65">
        <v>353.14</v>
      </c>
      <c r="H22" s="66">
        <f t="shared" si="0"/>
        <v>1.1194538000000001</v>
      </c>
      <c r="I22" s="13">
        <f>F22*G22</f>
        <v>1119.4538</v>
      </c>
      <c r="J22" s="127"/>
      <c r="K22" s="127"/>
      <c r="L22" s="127"/>
      <c r="M22" s="127"/>
    </row>
    <row r="23" spans="1:13" hidden="1">
      <c r="A23" s="30">
        <v>8</v>
      </c>
      <c r="B23" s="62" t="s">
        <v>93</v>
      </c>
      <c r="C23" s="63" t="s">
        <v>50</v>
      </c>
      <c r="D23" s="62" t="s">
        <v>89</v>
      </c>
      <c r="E23" s="67">
        <v>24.15</v>
      </c>
      <c r="F23" s="65">
        <f>SUM(E23/100)</f>
        <v>0.24149999999999999</v>
      </c>
      <c r="G23" s="65">
        <v>58.08</v>
      </c>
      <c r="H23" s="66">
        <f t="shared" si="0"/>
        <v>1.4026319999999998E-2</v>
      </c>
      <c r="I23" s="13">
        <f t="shared" ref="I23:I26" si="1">F23*G23</f>
        <v>14.026319999999998</v>
      </c>
      <c r="J23" s="127"/>
      <c r="K23" s="127"/>
      <c r="L23" s="127"/>
      <c r="M23" s="127"/>
    </row>
    <row r="24" spans="1:13" hidden="1">
      <c r="A24" s="30">
        <v>9</v>
      </c>
      <c r="B24" s="62" t="s">
        <v>94</v>
      </c>
      <c r="C24" s="63" t="s">
        <v>50</v>
      </c>
      <c r="D24" s="62" t="s">
        <v>51</v>
      </c>
      <c r="E24" s="64">
        <v>10</v>
      </c>
      <c r="F24" s="65">
        <f>SUM(E24/100)</f>
        <v>0.1</v>
      </c>
      <c r="G24" s="65">
        <v>511.12</v>
      </c>
      <c r="H24" s="66">
        <f t="shared" si="0"/>
        <v>5.1112000000000005E-2</v>
      </c>
      <c r="I24" s="13">
        <f t="shared" si="1"/>
        <v>51.112000000000002</v>
      </c>
      <c r="J24" s="127"/>
      <c r="K24" s="127"/>
      <c r="L24" s="127"/>
      <c r="M24" s="127"/>
    </row>
    <row r="25" spans="1:13" hidden="1">
      <c r="A25" s="30">
        <v>10</v>
      </c>
      <c r="B25" s="62" t="s">
        <v>95</v>
      </c>
      <c r="C25" s="63" t="s">
        <v>50</v>
      </c>
      <c r="D25" s="62" t="s">
        <v>51</v>
      </c>
      <c r="E25" s="64">
        <v>4.25</v>
      </c>
      <c r="F25" s="65">
        <f>SUM(E25/100)</f>
        <v>4.2500000000000003E-2</v>
      </c>
      <c r="G25" s="65">
        <v>683.05</v>
      </c>
      <c r="H25" s="66">
        <f t="shared" si="0"/>
        <v>2.9029625E-2</v>
      </c>
      <c r="I25" s="13">
        <f t="shared" si="1"/>
        <v>29.029624999999999</v>
      </c>
      <c r="J25" s="127"/>
      <c r="K25" s="127"/>
      <c r="L25" s="127"/>
      <c r="M25" s="127"/>
    </row>
    <row r="26" spans="1:13" hidden="1">
      <c r="A26" s="30">
        <v>11</v>
      </c>
      <c r="B26" s="62" t="s">
        <v>110</v>
      </c>
      <c r="C26" s="63" t="s">
        <v>50</v>
      </c>
      <c r="D26" s="62" t="s">
        <v>51</v>
      </c>
      <c r="E26" s="64">
        <v>9.5</v>
      </c>
      <c r="F26" s="65">
        <v>9.5000000000000001E-2</v>
      </c>
      <c r="G26" s="65">
        <v>283.44</v>
      </c>
      <c r="H26" s="66">
        <f>G26*F26/1000</f>
        <v>2.6926800000000001E-2</v>
      </c>
      <c r="I26" s="13">
        <f t="shared" si="1"/>
        <v>26.9268</v>
      </c>
    </row>
    <row r="27" spans="1:13">
      <c r="A27" s="30">
        <v>3</v>
      </c>
      <c r="B27" s="155" t="s">
        <v>174</v>
      </c>
      <c r="C27" s="182" t="s">
        <v>25</v>
      </c>
      <c r="D27" s="155" t="s">
        <v>175</v>
      </c>
      <c r="E27" s="205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13">
      <c r="A28" s="242" t="s">
        <v>78</v>
      </c>
      <c r="B28" s="242"/>
      <c r="C28" s="242"/>
      <c r="D28" s="242"/>
      <c r="E28" s="242"/>
      <c r="F28" s="242"/>
      <c r="G28" s="242"/>
      <c r="H28" s="242"/>
      <c r="I28" s="242"/>
    </row>
    <row r="29" spans="1:13">
      <c r="A29" s="30"/>
      <c r="B29" s="81" t="s">
        <v>28</v>
      </c>
      <c r="C29" s="63"/>
      <c r="D29" s="62"/>
      <c r="E29" s="64"/>
      <c r="F29" s="65"/>
      <c r="G29" s="65"/>
      <c r="H29" s="66"/>
      <c r="I29" s="13"/>
    </row>
    <row r="30" spans="1:13">
      <c r="A30" s="30">
        <v>4</v>
      </c>
      <c r="B30" s="155" t="s">
        <v>97</v>
      </c>
      <c r="C30" s="182" t="s">
        <v>82</v>
      </c>
      <c r="D30" s="155" t="s">
        <v>177</v>
      </c>
      <c r="E30" s="129">
        <v>372.4</v>
      </c>
      <c r="F30" s="129">
        <f>SUM(E30*52/1000)</f>
        <v>19.364799999999999</v>
      </c>
      <c r="G30" s="129">
        <v>212.62</v>
      </c>
      <c r="H30" s="66">
        <f t="shared" ref="H30:H35" si="2">SUM(F30*G30/1000)</f>
        <v>4.1173437759999993</v>
      </c>
      <c r="I30" s="13">
        <f>19.3648/6*G30</f>
        <v>686.22396266666669</v>
      </c>
    </row>
    <row r="31" spans="1:13" ht="36.75" customHeight="1">
      <c r="A31" s="30">
        <v>5</v>
      </c>
      <c r="B31" s="155" t="s">
        <v>108</v>
      </c>
      <c r="C31" s="182" t="s">
        <v>82</v>
      </c>
      <c r="D31" s="155" t="s">
        <v>176</v>
      </c>
      <c r="E31" s="129">
        <v>195.5</v>
      </c>
      <c r="F31" s="129">
        <f>SUM(E31*78/1000)</f>
        <v>15.249000000000001</v>
      </c>
      <c r="G31" s="129">
        <v>352.77</v>
      </c>
      <c r="H31" s="66">
        <f t="shared" si="2"/>
        <v>5.3793897299999998</v>
      </c>
      <c r="I31" s="13">
        <f>15.249/6*G31</f>
        <v>896.56495499999994</v>
      </c>
    </row>
    <row r="32" spans="1:13">
      <c r="A32" s="30">
        <v>6</v>
      </c>
      <c r="B32" s="155" t="s">
        <v>27</v>
      </c>
      <c r="C32" s="182" t="s">
        <v>82</v>
      </c>
      <c r="D32" s="155" t="s">
        <v>184</v>
      </c>
      <c r="E32" s="129">
        <v>372.4</v>
      </c>
      <c r="F32" s="129">
        <f>SUM(E32/1000)</f>
        <v>0.37239999999999995</v>
      </c>
      <c r="G32" s="129">
        <v>4119.68</v>
      </c>
      <c r="H32" s="66">
        <f t="shared" si="2"/>
        <v>1.5341688319999998</v>
      </c>
      <c r="I32" s="13">
        <f>0.3724*G32</f>
        <v>1534.1688320000001</v>
      </c>
    </row>
    <row r="33" spans="1:9">
      <c r="A33" s="30">
        <v>7</v>
      </c>
      <c r="B33" s="155" t="s">
        <v>136</v>
      </c>
      <c r="C33" s="182" t="s">
        <v>38</v>
      </c>
      <c r="D33" s="155" t="s">
        <v>180</v>
      </c>
      <c r="E33" s="129">
        <v>2</v>
      </c>
      <c r="F33" s="129">
        <f>E33*155/100</f>
        <v>3.1</v>
      </c>
      <c r="G33" s="129">
        <v>1775.94</v>
      </c>
      <c r="H33" s="66">
        <f t="shared" si="2"/>
        <v>5.5054140000000009</v>
      </c>
      <c r="I33" s="13">
        <f>3.1/6*G33</f>
        <v>917.56900000000007</v>
      </c>
    </row>
    <row r="34" spans="1:9" hidden="1">
      <c r="A34" s="30"/>
      <c r="B34" s="62" t="s">
        <v>61</v>
      </c>
      <c r="C34" s="63" t="s">
        <v>32</v>
      </c>
      <c r="D34" s="62" t="s">
        <v>63</v>
      </c>
      <c r="E34" s="64"/>
      <c r="F34" s="65">
        <v>2</v>
      </c>
      <c r="G34" s="65">
        <v>250.92</v>
      </c>
      <c r="H34" s="66">
        <f t="shared" si="2"/>
        <v>0.50183999999999995</v>
      </c>
      <c r="I34" s="13">
        <v>0</v>
      </c>
    </row>
    <row r="35" spans="1:9" hidden="1">
      <c r="A35" s="30"/>
      <c r="B35" s="62" t="s">
        <v>62</v>
      </c>
      <c r="C35" s="63" t="s">
        <v>31</v>
      </c>
      <c r="D35" s="62" t="s">
        <v>63</v>
      </c>
      <c r="E35" s="64"/>
      <c r="F35" s="65">
        <v>1</v>
      </c>
      <c r="G35" s="65">
        <v>1490.31</v>
      </c>
      <c r="H35" s="66">
        <f t="shared" si="2"/>
        <v>1.49031</v>
      </c>
      <c r="I35" s="13">
        <v>0</v>
      </c>
    </row>
    <row r="36" spans="1:9" hidden="1">
      <c r="A36" s="30"/>
      <c r="B36" s="81" t="s">
        <v>5</v>
      </c>
      <c r="C36" s="63"/>
      <c r="D36" s="62"/>
      <c r="E36" s="64"/>
      <c r="F36" s="65"/>
      <c r="G36" s="65"/>
      <c r="H36" s="66" t="s">
        <v>122</v>
      </c>
      <c r="I36" s="13"/>
    </row>
    <row r="37" spans="1:9" hidden="1">
      <c r="A37" s="30">
        <v>7</v>
      </c>
      <c r="B37" s="62" t="s">
        <v>26</v>
      </c>
      <c r="C37" s="63" t="s">
        <v>31</v>
      </c>
      <c r="D37" s="62"/>
      <c r="E37" s="64"/>
      <c r="F37" s="65">
        <v>5</v>
      </c>
      <c r="G37" s="129">
        <v>2083</v>
      </c>
      <c r="H37" s="66">
        <f t="shared" ref="H37:H44" si="3">SUM(F37*G37/1000)</f>
        <v>10.414999999999999</v>
      </c>
      <c r="I37" s="13">
        <f>F37/6*G37</f>
        <v>1735.8333333333335</v>
      </c>
    </row>
    <row r="38" spans="1:9" hidden="1">
      <c r="A38" s="30">
        <v>9</v>
      </c>
      <c r="B38" s="62" t="s">
        <v>113</v>
      </c>
      <c r="C38" s="63" t="s">
        <v>114</v>
      </c>
      <c r="D38" s="62" t="s">
        <v>63</v>
      </c>
      <c r="E38" s="64"/>
      <c r="F38" s="65">
        <v>26</v>
      </c>
      <c r="G38" s="129">
        <v>314</v>
      </c>
      <c r="H38" s="66">
        <f>G38*F38/1000</f>
        <v>8.1639999999999997</v>
      </c>
      <c r="I38" s="13">
        <v>0</v>
      </c>
    </row>
    <row r="39" spans="1:9" hidden="1">
      <c r="A39" s="30">
        <v>8</v>
      </c>
      <c r="B39" s="62" t="s">
        <v>137</v>
      </c>
      <c r="C39" s="63" t="s">
        <v>29</v>
      </c>
      <c r="D39" s="62" t="s">
        <v>115</v>
      </c>
      <c r="E39" s="64">
        <v>88</v>
      </c>
      <c r="F39" s="65">
        <f>E39*30/1000</f>
        <v>2.64</v>
      </c>
      <c r="G39" s="129">
        <v>2868.09</v>
      </c>
      <c r="H39" s="66">
        <f>G39*F39/1000</f>
        <v>7.5717576000000006</v>
      </c>
      <c r="I39" s="13">
        <f>F39/6*G39</f>
        <v>1261.9596000000001</v>
      </c>
    </row>
    <row r="40" spans="1:9" hidden="1">
      <c r="A40" s="30">
        <v>9</v>
      </c>
      <c r="B40" s="62" t="s">
        <v>64</v>
      </c>
      <c r="C40" s="63" t="s">
        <v>29</v>
      </c>
      <c r="D40" s="62" t="s">
        <v>81</v>
      </c>
      <c r="E40" s="65">
        <v>93.3</v>
      </c>
      <c r="F40" s="65">
        <f>SUM(E40*155/1000)</f>
        <v>14.461499999999999</v>
      </c>
      <c r="G40" s="129">
        <v>478.42</v>
      </c>
      <c r="H40" s="66">
        <f t="shared" si="3"/>
        <v>6.9186708299999999</v>
      </c>
      <c r="I40" s="13">
        <f>F40/6*G40</f>
        <v>1153.111805</v>
      </c>
    </row>
    <row r="41" spans="1:9" ht="45" hidden="1">
      <c r="A41" s="30">
        <v>10</v>
      </c>
      <c r="B41" s="62" t="s">
        <v>76</v>
      </c>
      <c r="C41" s="63" t="s">
        <v>82</v>
      </c>
      <c r="D41" s="62" t="s">
        <v>116</v>
      </c>
      <c r="E41" s="65">
        <v>34</v>
      </c>
      <c r="F41" s="65">
        <f>SUM(E41*35/1000)</f>
        <v>1.19</v>
      </c>
      <c r="G41" s="129">
        <v>7915.6</v>
      </c>
      <c r="H41" s="66">
        <f t="shared" si="3"/>
        <v>9.4195640000000012</v>
      </c>
      <c r="I41" s="13">
        <f>F41/6*G41</f>
        <v>1569.9273333333333</v>
      </c>
    </row>
    <row r="42" spans="1:9" hidden="1">
      <c r="A42" s="30">
        <v>11</v>
      </c>
      <c r="B42" s="62" t="s">
        <v>83</v>
      </c>
      <c r="C42" s="63" t="s">
        <v>82</v>
      </c>
      <c r="D42" s="62" t="s">
        <v>65</v>
      </c>
      <c r="E42" s="65">
        <v>72</v>
      </c>
      <c r="F42" s="65">
        <f>SUM(E42*45/1000)</f>
        <v>3.24</v>
      </c>
      <c r="G42" s="129">
        <v>584.74</v>
      </c>
      <c r="H42" s="66">
        <f t="shared" si="3"/>
        <v>1.8945576000000002</v>
      </c>
      <c r="I42" s="13">
        <f>(F42/7.5*1.5)*G42</f>
        <v>378.91152000000011</v>
      </c>
    </row>
    <row r="43" spans="1:9" hidden="1">
      <c r="A43" s="30">
        <v>12</v>
      </c>
      <c r="B43" s="62" t="s">
        <v>66</v>
      </c>
      <c r="C43" s="63" t="s">
        <v>32</v>
      </c>
      <c r="D43" s="62"/>
      <c r="E43" s="64"/>
      <c r="F43" s="65">
        <v>0.9</v>
      </c>
      <c r="G43" s="132">
        <v>800</v>
      </c>
      <c r="H43" s="66">
        <f t="shared" si="3"/>
        <v>0.72</v>
      </c>
      <c r="I43" s="13">
        <f>(F43/7.5*1.5)*G43</f>
        <v>144.00000000000003</v>
      </c>
    </row>
    <row r="44" spans="1:9" ht="30" hidden="1">
      <c r="A44" s="30">
        <v>13</v>
      </c>
      <c r="B44" s="46" t="s">
        <v>138</v>
      </c>
      <c r="C44" s="49" t="s">
        <v>29</v>
      </c>
      <c r="D44" s="62" t="s">
        <v>139</v>
      </c>
      <c r="E44" s="64">
        <v>1.8</v>
      </c>
      <c r="F44" s="65">
        <f>SUM(E44*12/1000)</f>
        <v>2.1600000000000001E-2</v>
      </c>
      <c r="G44" s="132">
        <v>270.61</v>
      </c>
      <c r="H44" s="66">
        <f t="shared" si="3"/>
        <v>5.8451760000000005E-3</v>
      </c>
      <c r="I44" s="13">
        <f t="shared" ref="I44" si="4">F44/6*G44</f>
        <v>0.97419600000000017</v>
      </c>
    </row>
    <row r="45" spans="1:9">
      <c r="A45" s="249" t="s">
        <v>124</v>
      </c>
      <c r="B45" s="250"/>
      <c r="C45" s="250"/>
      <c r="D45" s="250"/>
      <c r="E45" s="250"/>
      <c r="F45" s="250"/>
      <c r="G45" s="250"/>
      <c r="H45" s="250"/>
      <c r="I45" s="251"/>
    </row>
    <row r="46" spans="1:9">
      <c r="A46" s="30">
        <v>8</v>
      </c>
      <c r="B46" s="155" t="s">
        <v>117</v>
      </c>
      <c r="C46" s="182" t="s">
        <v>82</v>
      </c>
      <c r="D46" s="155" t="s">
        <v>178</v>
      </c>
      <c r="E46" s="128">
        <v>670.4</v>
      </c>
      <c r="F46" s="129">
        <f>SUM(E46*2/1000)</f>
        <v>1.3408</v>
      </c>
      <c r="G46" s="34">
        <v>1158.7</v>
      </c>
      <c r="H46" s="66">
        <f t="shared" ref="H46:H54" si="5">SUM(F46*G46/1000)</f>
        <v>1.5535849600000002</v>
      </c>
      <c r="I46" s="13">
        <f t="shared" ref="I46:I48" si="6">F46/2*G46</f>
        <v>776.79248000000007</v>
      </c>
    </row>
    <row r="47" spans="1:9">
      <c r="A47" s="30">
        <v>9</v>
      </c>
      <c r="B47" s="155" t="s">
        <v>173</v>
      </c>
      <c r="C47" s="182" t="s">
        <v>82</v>
      </c>
      <c r="D47" s="155" t="s">
        <v>178</v>
      </c>
      <c r="E47" s="128">
        <v>26</v>
      </c>
      <c r="F47" s="129">
        <f t="shared" ref="F47:F49" si="7">SUM(E47*2/1000)</f>
        <v>5.1999999999999998E-2</v>
      </c>
      <c r="G47" s="34">
        <v>790.38</v>
      </c>
      <c r="H47" s="66">
        <f t="shared" si="5"/>
        <v>4.1099759999999999E-2</v>
      </c>
      <c r="I47" s="13">
        <f t="shared" si="6"/>
        <v>20.549879999999998</v>
      </c>
    </row>
    <row r="48" spans="1:9">
      <c r="A48" s="30">
        <v>10</v>
      </c>
      <c r="B48" s="155" t="s">
        <v>34</v>
      </c>
      <c r="C48" s="182" t="s">
        <v>82</v>
      </c>
      <c r="D48" s="155" t="s">
        <v>178</v>
      </c>
      <c r="E48" s="128">
        <v>760.4</v>
      </c>
      <c r="F48" s="129">
        <f t="shared" si="7"/>
        <v>1.5207999999999999</v>
      </c>
      <c r="G48" s="34">
        <v>790.38</v>
      </c>
      <c r="H48" s="66">
        <f t="shared" si="5"/>
        <v>1.2020099040000001</v>
      </c>
      <c r="I48" s="13">
        <f t="shared" si="6"/>
        <v>601.004952</v>
      </c>
    </row>
    <row r="49" spans="1:9">
      <c r="A49" s="30">
        <v>11</v>
      </c>
      <c r="B49" s="155" t="s">
        <v>35</v>
      </c>
      <c r="C49" s="182" t="s">
        <v>82</v>
      </c>
      <c r="D49" s="155">
        <v>1</v>
      </c>
      <c r="E49" s="128">
        <v>1440</v>
      </c>
      <c r="F49" s="129">
        <f t="shared" si="7"/>
        <v>2.88</v>
      </c>
      <c r="G49" s="34">
        <v>827.65</v>
      </c>
      <c r="H49" s="66">
        <f t="shared" si="5"/>
        <v>2.383632</v>
      </c>
      <c r="I49" s="13">
        <f>F49/2*G49</f>
        <v>1191.816</v>
      </c>
    </row>
    <row r="50" spans="1:9">
      <c r="A50" s="30">
        <v>12</v>
      </c>
      <c r="B50" s="155" t="s">
        <v>168</v>
      </c>
      <c r="C50" s="182" t="s">
        <v>82</v>
      </c>
      <c r="D50" s="155" t="s">
        <v>178</v>
      </c>
      <c r="E50" s="128">
        <v>2409</v>
      </c>
      <c r="F50" s="129">
        <v>4.8179999999999996</v>
      </c>
      <c r="G50" s="34">
        <v>1655.27</v>
      </c>
      <c r="H50" s="66">
        <f t="shared" si="5"/>
        <v>7.975090859999999</v>
      </c>
      <c r="I50" s="13">
        <f>F50/5*G50</f>
        <v>1595.0181719999998</v>
      </c>
    </row>
    <row r="51" spans="1:9" ht="30">
      <c r="A51" s="30">
        <v>13</v>
      </c>
      <c r="B51" s="155" t="s">
        <v>84</v>
      </c>
      <c r="C51" s="182" t="s">
        <v>82</v>
      </c>
      <c r="D51" s="155" t="s">
        <v>178</v>
      </c>
      <c r="E51" s="128">
        <v>2409</v>
      </c>
      <c r="F51" s="129">
        <f>SUM(E51*2/1000)</f>
        <v>4.8179999999999996</v>
      </c>
      <c r="G51" s="34">
        <v>1655.27</v>
      </c>
      <c r="H51" s="66">
        <f t="shared" si="5"/>
        <v>7.975090859999999</v>
      </c>
      <c r="I51" s="13">
        <f>F51/2*G51</f>
        <v>3987.5454299999997</v>
      </c>
    </row>
    <row r="52" spans="1:9" ht="30">
      <c r="A52" s="30">
        <v>14</v>
      </c>
      <c r="B52" s="155" t="s">
        <v>85</v>
      </c>
      <c r="C52" s="182" t="s">
        <v>36</v>
      </c>
      <c r="D52" s="155" t="s">
        <v>178</v>
      </c>
      <c r="E52" s="128">
        <v>10</v>
      </c>
      <c r="F52" s="129">
        <f>SUM(E52*2/100)</f>
        <v>0.2</v>
      </c>
      <c r="G52" s="34">
        <v>3724.37</v>
      </c>
      <c r="H52" s="66">
        <f>SUM(F52*G52/1000)</f>
        <v>0.74487400000000004</v>
      </c>
      <c r="I52" s="13">
        <f t="shared" ref="I52:I53" si="8">F52/2*G52</f>
        <v>372.43700000000001</v>
      </c>
    </row>
    <row r="53" spans="1:9">
      <c r="A53" s="30">
        <v>15</v>
      </c>
      <c r="B53" s="155" t="s">
        <v>37</v>
      </c>
      <c r="C53" s="182" t="s">
        <v>38</v>
      </c>
      <c r="D53" s="155" t="s">
        <v>178</v>
      </c>
      <c r="E53" s="128">
        <v>1</v>
      </c>
      <c r="F53" s="129">
        <v>0.02</v>
      </c>
      <c r="G53" s="34">
        <v>7709.44</v>
      </c>
      <c r="H53" s="66">
        <f t="shared" si="5"/>
        <v>0.15418879999999999</v>
      </c>
      <c r="I53" s="13">
        <f t="shared" si="8"/>
        <v>77.094399999999993</v>
      </c>
    </row>
    <row r="54" spans="1:9" hidden="1">
      <c r="A54" s="30">
        <v>14</v>
      </c>
      <c r="B54" s="62" t="s">
        <v>39</v>
      </c>
      <c r="C54" s="63" t="s">
        <v>98</v>
      </c>
      <c r="D54" s="62" t="s">
        <v>67</v>
      </c>
      <c r="E54" s="64">
        <v>80</v>
      </c>
      <c r="F54" s="65">
        <f>SUM(E54)*3</f>
        <v>240</v>
      </c>
      <c r="G54" s="102">
        <v>89.59</v>
      </c>
      <c r="H54" s="66">
        <f t="shared" si="5"/>
        <v>21.501600000000003</v>
      </c>
      <c r="I54" s="13">
        <v>0</v>
      </c>
    </row>
    <row r="55" spans="1:9">
      <c r="A55" s="249" t="s">
        <v>125</v>
      </c>
      <c r="B55" s="250"/>
      <c r="C55" s="250"/>
      <c r="D55" s="250"/>
      <c r="E55" s="250"/>
      <c r="F55" s="250"/>
      <c r="G55" s="250"/>
      <c r="H55" s="250"/>
      <c r="I55" s="251"/>
    </row>
    <row r="56" spans="1:9" hidden="1">
      <c r="A56" s="30"/>
      <c r="B56" s="81" t="s">
        <v>41</v>
      </c>
      <c r="C56" s="63"/>
      <c r="D56" s="62"/>
      <c r="E56" s="64"/>
      <c r="F56" s="65"/>
      <c r="G56" s="65"/>
      <c r="H56" s="66"/>
      <c r="I56" s="13"/>
    </row>
    <row r="57" spans="1:9" hidden="1">
      <c r="A57" s="30">
        <v>15</v>
      </c>
      <c r="B57" s="71" t="s">
        <v>120</v>
      </c>
      <c r="C57" s="72" t="s">
        <v>121</v>
      </c>
      <c r="D57" s="71" t="s">
        <v>40</v>
      </c>
      <c r="E57" s="73">
        <v>2</v>
      </c>
      <c r="F57" s="74">
        <v>4</v>
      </c>
      <c r="G57" s="13">
        <v>237.1</v>
      </c>
      <c r="H57" s="66">
        <f t="shared" ref="H57" si="9">SUM(F57*G57/1000)</f>
        <v>0.94840000000000002</v>
      </c>
      <c r="I57" s="13">
        <f>F57/2*G57</f>
        <v>474.2</v>
      </c>
    </row>
    <row r="58" spans="1:9" hidden="1">
      <c r="A58" s="30">
        <v>16</v>
      </c>
      <c r="B58" s="62" t="s">
        <v>119</v>
      </c>
      <c r="C58" s="63" t="s">
        <v>80</v>
      </c>
      <c r="D58" s="62" t="s">
        <v>99</v>
      </c>
      <c r="E58" s="64">
        <v>3.8</v>
      </c>
      <c r="F58" s="65">
        <f>SUM(E58*6/100)</f>
        <v>0.22799999999999998</v>
      </c>
      <c r="G58" s="13">
        <v>2029.3</v>
      </c>
      <c r="H58" s="66">
        <f>SUM(F58*G58/1000)</f>
        <v>0.46268039999999994</v>
      </c>
      <c r="I58" s="13">
        <f>F58/6*G58</f>
        <v>77.113399999999999</v>
      </c>
    </row>
    <row r="59" spans="1:9" hidden="1">
      <c r="A59" s="30"/>
      <c r="B59" s="62" t="s">
        <v>140</v>
      </c>
      <c r="C59" s="63" t="s">
        <v>141</v>
      </c>
      <c r="D59" s="62" t="s">
        <v>63</v>
      </c>
      <c r="E59" s="64"/>
      <c r="F59" s="65">
        <v>3</v>
      </c>
      <c r="G59" s="13">
        <v>1582.05</v>
      </c>
      <c r="H59" s="66">
        <f>SUM(F59*G59/1000)</f>
        <v>4.7461499999999992</v>
      </c>
      <c r="I59" s="13">
        <v>0</v>
      </c>
    </row>
    <row r="60" spans="1:9">
      <c r="A60" s="30"/>
      <c r="B60" s="82" t="s">
        <v>42</v>
      </c>
      <c r="C60" s="72"/>
      <c r="D60" s="71"/>
      <c r="E60" s="73"/>
      <c r="F60" s="74"/>
      <c r="G60" s="13"/>
      <c r="H60" s="75"/>
      <c r="I60" s="13"/>
    </row>
    <row r="61" spans="1:9" hidden="1">
      <c r="A61" s="30"/>
      <c r="B61" s="71" t="s">
        <v>142</v>
      </c>
      <c r="C61" s="72" t="s">
        <v>50</v>
      </c>
      <c r="D61" s="71" t="s">
        <v>51</v>
      </c>
      <c r="E61" s="73">
        <v>110</v>
      </c>
      <c r="F61" s="74">
        <f>E61/100</f>
        <v>1.1000000000000001</v>
      </c>
      <c r="G61" s="13">
        <v>1040.8399999999999</v>
      </c>
      <c r="H61" s="75">
        <f>F61*G61/1000</f>
        <v>1.1449240000000001</v>
      </c>
      <c r="I61" s="13">
        <v>0</v>
      </c>
    </row>
    <row r="62" spans="1:9">
      <c r="A62" s="30">
        <v>16</v>
      </c>
      <c r="B62" s="71" t="s">
        <v>109</v>
      </c>
      <c r="C62" s="72" t="s">
        <v>25</v>
      </c>
      <c r="D62" s="71" t="s">
        <v>178</v>
      </c>
      <c r="E62" s="73">
        <v>100</v>
      </c>
      <c r="F62" s="76">
        <f>E62*12</f>
        <v>1200</v>
      </c>
      <c r="G62" s="56">
        <v>1.4</v>
      </c>
      <c r="H62" s="74">
        <f>F62*G62/1000</f>
        <v>1.68</v>
      </c>
      <c r="I62" s="13">
        <f>F62/12*G62</f>
        <v>140</v>
      </c>
    </row>
    <row r="63" spans="1:9" hidden="1">
      <c r="A63" s="30"/>
      <c r="B63" s="82" t="s">
        <v>43</v>
      </c>
      <c r="C63" s="72"/>
      <c r="D63" s="71"/>
      <c r="E63" s="73"/>
      <c r="F63" s="76"/>
      <c r="G63" s="76"/>
      <c r="H63" s="74" t="s">
        <v>122</v>
      </c>
      <c r="I63" s="13"/>
    </row>
    <row r="64" spans="1:9" ht="17.25" hidden="1" customHeight="1">
      <c r="A64" s="30">
        <v>26</v>
      </c>
      <c r="B64" s="206" t="s">
        <v>44</v>
      </c>
      <c r="C64" s="147" t="s">
        <v>98</v>
      </c>
      <c r="D64" s="35" t="s">
        <v>185</v>
      </c>
      <c r="E64" s="17">
        <v>8</v>
      </c>
      <c r="F64" s="129">
        <f>SUM(E64)</f>
        <v>8</v>
      </c>
      <c r="G64" s="34">
        <v>303.35000000000002</v>
      </c>
      <c r="H64" s="61">
        <f t="shared" ref="H64:H80" si="10">SUM(F64*G64/1000)</f>
        <v>2.4268000000000001</v>
      </c>
      <c r="I64" s="13">
        <f>G64*2</f>
        <v>606.70000000000005</v>
      </c>
    </row>
    <row r="65" spans="1:9" hidden="1">
      <c r="A65" s="30">
        <v>28</v>
      </c>
      <c r="B65" s="206" t="s">
        <v>46</v>
      </c>
      <c r="C65" s="207" t="s">
        <v>100</v>
      </c>
      <c r="D65" s="35" t="s">
        <v>51</v>
      </c>
      <c r="E65" s="128">
        <v>9962</v>
      </c>
      <c r="F65" s="102">
        <f>SUM(E65/100)</f>
        <v>99.62</v>
      </c>
      <c r="G65" s="34">
        <v>289.37</v>
      </c>
      <c r="H65" s="61">
        <f t="shared" si="10"/>
        <v>28.8270394</v>
      </c>
      <c r="I65" s="13">
        <f>F65*G65</f>
        <v>28827.039400000001</v>
      </c>
    </row>
    <row r="66" spans="1:9" hidden="1">
      <c r="A66" s="30">
        <v>29</v>
      </c>
      <c r="B66" s="206" t="s">
        <v>47</v>
      </c>
      <c r="C66" s="147" t="s">
        <v>101</v>
      </c>
      <c r="D66" s="35" t="s">
        <v>51</v>
      </c>
      <c r="E66" s="128">
        <v>9962</v>
      </c>
      <c r="F66" s="34">
        <f>SUM(E66/1000)</f>
        <v>9.9619999999999997</v>
      </c>
      <c r="G66" s="34">
        <v>225.35</v>
      </c>
      <c r="H66" s="61">
        <f t="shared" si="10"/>
        <v>2.2449366999999998</v>
      </c>
      <c r="I66" s="13">
        <f t="shared" ref="I66:I70" si="11">F66*G66</f>
        <v>2244.9366999999997</v>
      </c>
    </row>
    <row r="67" spans="1:9" hidden="1">
      <c r="A67" s="30">
        <v>30</v>
      </c>
      <c r="B67" s="206" t="s">
        <v>48</v>
      </c>
      <c r="C67" s="147" t="s">
        <v>72</v>
      </c>
      <c r="D67" s="35" t="s">
        <v>51</v>
      </c>
      <c r="E67" s="128">
        <v>806.3</v>
      </c>
      <c r="F67" s="34">
        <f>SUM(E67/100)</f>
        <v>8.0629999999999988</v>
      </c>
      <c r="G67" s="34">
        <v>2829.78</v>
      </c>
      <c r="H67" s="61">
        <f t="shared" si="10"/>
        <v>22.816516140000001</v>
      </c>
      <c r="I67" s="13">
        <f t="shared" si="11"/>
        <v>22816.51614</v>
      </c>
    </row>
    <row r="68" spans="1:9" hidden="1">
      <c r="A68" s="30">
        <v>31</v>
      </c>
      <c r="B68" s="208" t="s">
        <v>102</v>
      </c>
      <c r="C68" s="209" t="s">
        <v>32</v>
      </c>
      <c r="D68" s="210"/>
      <c r="E68" s="201">
        <v>9.4</v>
      </c>
      <c r="F68" s="133">
        <f>SUM(E68)</f>
        <v>9.4</v>
      </c>
      <c r="G68" s="133">
        <v>44.31</v>
      </c>
      <c r="H68" s="93">
        <f t="shared" si="10"/>
        <v>0.416514</v>
      </c>
      <c r="I68" s="13">
        <f t="shared" si="11"/>
        <v>416.51400000000001</v>
      </c>
    </row>
    <row r="69" spans="1:9" hidden="1">
      <c r="A69" s="30">
        <v>32</v>
      </c>
      <c r="B69" s="211" t="s">
        <v>103</v>
      </c>
      <c r="C69" s="147" t="s">
        <v>32</v>
      </c>
      <c r="D69" s="35"/>
      <c r="E69" s="17">
        <v>9.4</v>
      </c>
      <c r="F69" s="133">
        <f t="shared" ref="F69" si="12">SUM(E69)</f>
        <v>9.4</v>
      </c>
      <c r="G69" s="34">
        <v>47.79</v>
      </c>
      <c r="H69" s="13">
        <f t="shared" si="10"/>
        <v>0.44922600000000001</v>
      </c>
      <c r="I69" s="13">
        <f t="shared" si="11"/>
        <v>449.226</v>
      </c>
    </row>
    <row r="70" spans="1:9" hidden="1">
      <c r="A70" s="30"/>
      <c r="B70" s="14" t="s">
        <v>54</v>
      </c>
      <c r="C70" s="16" t="s">
        <v>55</v>
      </c>
      <c r="D70" s="14" t="s">
        <v>51</v>
      </c>
      <c r="E70" s="18">
        <v>2</v>
      </c>
      <c r="F70" s="92">
        <f t="shared" ref="F70:F72" si="13">SUM(E70)</f>
        <v>2</v>
      </c>
      <c r="G70" s="34">
        <v>68.040000000000006</v>
      </c>
      <c r="H70" s="13">
        <f t="shared" si="10"/>
        <v>0.13608000000000001</v>
      </c>
      <c r="I70" s="13">
        <f t="shared" si="11"/>
        <v>136.08000000000001</v>
      </c>
    </row>
    <row r="71" spans="1:9">
      <c r="A71" s="30"/>
      <c r="B71" s="204" t="s">
        <v>68</v>
      </c>
      <c r="C71" s="16"/>
      <c r="D71" s="14"/>
      <c r="E71" s="18"/>
      <c r="F71" s="13"/>
      <c r="G71" s="13"/>
      <c r="H71" s="13" t="s">
        <v>122</v>
      </c>
      <c r="I71" s="13"/>
    </row>
    <row r="72" spans="1:9" ht="30" hidden="1">
      <c r="A72" s="30"/>
      <c r="B72" s="14" t="s">
        <v>143</v>
      </c>
      <c r="C72" s="16" t="s">
        <v>98</v>
      </c>
      <c r="D72" s="14" t="s">
        <v>63</v>
      </c>
      <c r="E72" s="18">
        <v>2</v>
      </c>
      <c r="F72" s="92">
        <f t="shared" si="13"/>
        <v>2</v>
      </c>
      <c r="G72" s="13">
        <v>1543.4</v>
      </c>
      <c r="H72" s="13">
        <f t="shared" ref="H72:H74" si="14">SUM(F72*G72/1000)</f>
        <v>3.0868000000000002</v>
      </c>
      <c r="I72" s="13">
        <v>0</v>
      </c>
    </row>
    <row r="73" spans="1:9" hidden="1">
      <c r="A73" s="30"/>
      <c r="B73" s="14" t="s">
        <v>69</v>
      </c>
      <c r="C73" s="16" t="s">
        <v>70</v>
      </c>
      <c r="D73" s="14" t="s">
        <v>63</v>
      </c>
      <c r="E73" s="18">
        <v>2</v>
      </c>
      <c r="F73" s="13">
        <f>E73/10</f>
        <v>0.2</v>
      </c>
      <c r="G73" s="13">
        <v>657.87</v>
      </c>
      <c r="H73" s="13">
        <f t="shared" si="14"/>
        <v>0.13157400000000002</v>
      </c>
      <c r="I73" s="13">
        <f>G73*0.4</f>
        <v>263.14800000000002</v>
      </c>
    </row>
    <row r="74" spans="1:9" hidden="1">
      <c r="A74" s="30"/>
      <c r="B74" s="14" t="s">
        <v>144</v>
      </c>
      <c r="C74" s="16" t="s">
        <v>98</v>
      </c>
      <c r="D74" s="14" t="s">
        <v>63</v>
      </c>
      <c r="E74" s="18">
        <v>1</v>
      </c>
      <c r="F74" s="13">
        <f>SUM(E74)</f>
        <v>1</v>
      </c>
      <c r="G74" s="13">
        <v>1118.72</v>
      </c>
      <c r="H74" s="13">
        <f t="shared" si="14"/>
        <v>1.1187199999999999</v>
      </c>
      <c r="I74" s="13">
        <v>0</v>
      </c>
    </row>
    <row r="75" spans="1:9" hidden="1">
      <c r="A75" s="30"/>
      <c r="B75" s="46" t="s">
        <v>145</v>
      </c>
      <c r="C75" s="49" t="s">
        <v>98</v>
      </c>
      <c r="D75" s="14" t="s">
        <v>63</v>
      </c>
      <c r="E75" s="18">
        <v>1</v>
      </c>
      <c r="F75" s="13">
        <v>1</v>
      </c>
      <c r="G75" s="13">
        <v>1605.83</v>
      </c>
      <c r="H75" s="13">
        <f>SUM(F75*G75/1000)</f>
        <v>1.6058299999999999</v>
      </c>
      <c r="I75" s="13">
        <v>0</v>
      </c>
    </row>
    <row r="76" spans="1:9">
      <c r="A76" s="30">
        <v>17</v>
      </c>
      <c r="B76" s="47" t="s">
        <v>146</v>
      </c>
      <c r="C76" s="48" t="s">
        <v>98</v>
      </c>
      <c r="D76" s="35" t="s">
        <v>184</v>
      </c>
      <c r="E76" s="17">
        <v>1</v>
      </c>
      <c r="F76" s="34">
        <f>E76*12</f>
        <v>12</v>
      </c>
      <c r="G76" s="34">
        <v>55.55</v>
      </c>
      <c r="H76" s="13">
        <f t="shared" ref="H76" si="15">SUM(F76*G76/1000)</f>
        <v>0.66659999999999986</v>
      </c>
      <c r="I76" s="13">
        <f>F76/12*G76</f>
        <v>55.55</v>
      </c>
    </row>
    <row r="77" spans="1:9">
      <c r="A77" s="30"/>
      <c r="B77" s="100" t="s">
        <v>147</v>
      </c>
      <c r="C77" s="49"/>
      <c r="D77" s="14"/>
      <c r="E77" s="18"/>
      <c r="F77" s="13"/>
      <c r="G77" s="13"/>
      <c r="H77" s="61"/>
      <c r="I77" s="13"/>
    </row>
    <row r="78" spans="1:9" ht="29.25" customHeight="1">
      <c r="A78" s="30">
        <v>18</v>
      </c>
      <c r="B78" s="35" t="s">
        <v>148</v>
      </c>
      <c r="C78" s="157" t="s">
        <v>149</v>
      </c>
      <c r="D78" s="35"/>
      <c r="E78" s="17">
        <v>2409</v>
      </c>
      <c r="F78" s="34">
        <f>SUM(E78*12)</f>
        <v>28908</v>
      </c>
      <c r="G78" s="34">
        <v>2.37</v>
      </c>
      <c r="H78" s="61">
        <f t="shared" ref="H78" si="16">SUM(F78*G78/1000)</f>
        <v>68.511960000000002</v>
      </c>
      <c r="I78" s="13">
        <f>F78/12*G78</f>
        <v>5709.33</v>
      </c>
    </row>
    <row r="79" spans="1:9" hidden="1">
      <c r="A79" s="30"/>
      <c r="B79" s="79" t="s">
        <v>71</v>
      </c>
      <c r="C79" s="16"/>
      <c r="D79" s="14"/>
      <c r="E79" s="18"/>
      <c r="F79" s="13"/>
      <c r="G79" s="13" t="s">
        <v>122</v>
      </c>
      <c r="H79" s="13" t="s">
        <v>122</v>
      </c>
      <c r="I79" s="13"/>
    </row>
    <row r="80" spans="1:9" hidden="1">
      <c r="A80" s="30"/>
      <c r="B80" s="43" t="s">
        <v>111</v>
      </c>
      <c r="C80" s="16" t="s">
        <v>72</v>
      </c>
      <c r="D80" s="14"/>
      <c r="E80" s="18"/>
      <c r="F80" s="13">
        <v>0.1</v>
      </c>
      <c r="G80" s="13">
        <v>3619.09</v>
      </c>
      <c r="H80" s="13">
        <f t="shared" si="10"/>
        <v>0.36190900000000004</v>
      </c>
      <c r="I80" s="13">
        <v>0</v>
      </c>
    </row>
    <row r="81" spans="1:9" ht="28.5" hidden="1">
      <c r="A81" s="30"/>
      <c r="B81" s="101" t="s">
        <v>86</v>
      </c>
      <c r="C81" s="94"/>
      <c r="D81" s="95"/>
      <c r="E81" s="96"/>
      <c r="F81" s="97"/>
      <c r="G81" s="97"/>
      <c r="H81" s="98">
        <f>SUM(H57:H80)</f>
        <v>141.78265963999999</v>
      </c>
      <c r="I81" s="68"/>
    </row>
    <row r="82" spans="1:9" hidden="1">
      <c r="A82" s="30"/>
      <c r="B82" s="62" t="s">
        <v>104</v>
      </c>
      <c r="C82" s="16"/>
      <c r="D82" s="14"/>
      <c r="E82" s="57"/>
      <c r="F82" s="13">
        <v>1</v>
      </c>
      <c r="G82" s="13">
        <v>8236.4</v>
      </c>
      <c r="H82" s="61">
        <f>G82*F82/1000</f>
        <v>8.2363999999999997</v>
      </c>
      <c r="I82" s="13">
        <f>G82</f>
        <v>8236.4</v>
      </c>
    </row>
    <row r="83" spans="1:9">
      <c r="A83" s="225" t="s">
        <v>126</v>
      </c>
      <c r="B83" s="226"/>
      <c r="C83" s="226"/>
      <c r="D83" s="226"/>
      <c r="E83" s="226"/>
      <c r="F83" s="226"/>
      <c r="G83" s="226"/>
      <c r="H83" s="226"/>
      <c r="I83" s="227"/>
    </row>
    <row r="84" spans="1:9">
      <c r="A84" s="30">
        <v>19</v>
      </c>
      <c r="B84" s="212" t="s">
        <v>105</v>
      </c>
      <c r="C84" s="147" t="s">
        <v>52</v>
      </c>
      <c r="D84" s="188"/>
      <c r="E84" s="34">
        <v>2409</v>
      </c>
      <c r="F84" s="34">
        <f>SUM(E84*12)</f>
        <v>28908</v>
      </c>
      <c r="G84" s="34">
        <v>3.22</v>
      </c>
      <c r="H84" s="61">
        <f>SUM(F84*G84/1000)</f>
        <v>93.083760000000012</v>
      </c>
      <c r="I84" s="13">
        <f>F84/12*G84</f>
        <v>7756.9800000000005</v>
      </c>
    </row>
    <row r="85" spans="1:9" ht="30">
      <c r="A85" s="30">
        <v>20</v>
      </c>
      <c r="B85" s="35" t="s">
        <v>73</v>
      </c>
      <c r="C85" s="147" t="s">
        <v>170</v>
      </c>
      <c r="D85" s="115"/>
      <c r="E85" s="128">
        <f>E84</f>
        <v>2409</v>
      </c>
      <c r="F85" s="34">
        <f>E85*12</f>
        <v>28908</v>
      </c>
      <c r="G85" s="34">
        <v>3.64</v>
      </c>
      <c r="H85" s="61">
        <f>F85*G85/1000</f>
        <v>105.22512</v>
      </c>
      <c r="I85" s="13">
        <f>F85/12*G85</f>
        <v>8768.76</v>
      </c>
    </row>
    <row r="86" spans="1:9">
      <c r="A86" s="30"/>
      <c r="B86" s="36" t="s">
        <v>75</v>
      </c>
      <c r="C86" s="79"/>
      <c r="D86" s="78"/>
      <c r="E86" s="68"/>
      <c r="F86" s="68"/>
      <c r="G86" s="68"/>
      <c r="H86" s="80">
        <f>H85</f>
        <v>105.22512</v>
      </c>
      <c r="I86" s="68">
        <f>I85+I84+I78+I76+I62+I53+I52+I51+I50+I49+I48+I47+I46+I33+I32+I31+I30+I27+I17+I16</f>
        <v>37374.372263666664</v>
      </c>
    </row>
    <row r="87" spans="1:9">
      <c r="A87" s="230" t="s">
        <v>57</v>
      </c>
      <c r="B87" s="231"/>
      <c r="C87" s="231"/>
      <c r="D87" s="231"/>
      <c r="E87" s="231"/>
      <c r="F87" s="231"/>
      <c r="G87" s="231"/>
      <c r="H87" s="231"/>
      <c r="I87" s="232"/>
    </row>
    <row r="88" spans="1:9" ht="30">
      <c r="A88" s="30">
        <v>21</v>
      </c>
      <c r="B88" s="47" t="s">
        <v>123</v>
      </c>
      <c r="C88" s="48" t="s">
        <v>112</v>
      </c>
      <c r="D88" s="115" t="s">
        <v>240</v>
      </c>
      <c r="E88" s="34"/>
      <c r="F88" s="34">
        <v>1</v>
      </c>
      <c r="G88" s="34">
        <v>670.51</v>
      </c>
      <c r="H88" s="83">
        <f t="shared" ref="H88:H89" si="17">G88*F88/1000</f>
        <v>0.67050999999999994</v>
      </c>
      <c r="I88" s="13">
        <f>G88*1</f>
        <v>670.51</v>
      </c>
    </row>
    <row r="89" spans="1:9" ht="33.75" customHeight="1">
      <c r="A89" s="30">
        <v>22</v>
      </c>
      <c r="B89" s="47" t="s">
        <v>197</v>
      </c>
      <c r="C89" s="48" t="s">
        <v>129</v>
      </c>
      <c r="D89" s="115" t="s">
        <v>238</v>
      </c>
      <c r="E89" s="34"/>
      <c r="F89" s="34">
        <f>16+20+8+26</f>
        <v>70</v>
      </c>
      <c r="G89" s="34">
        <v>1523.6</v>
      </c>
      <c r="H89" s="34">
        <f t="shared" si="17"/>
        <v>106.652</v>
      </c>
      <c r="I89" s="13">
        <f>G89*26</f>
        <v>39613.599999999999</v>
      </c>
    </row>
    <row r="90" spans="1:9" ht="36" customHeight="1">
      <c r="A90" s="30">
        <v>23</v>
      </c>
      <c r="B90" s="47" t="s">
        <v>198</v>
      </c>
      <c r="C90" s="48" t="s">
        <v>129</v>
      </c>
      <c r="D90" s="115" t="s">
        <v>239</v>
      </c>
      <c r="E90" s="34"/>
      <c r="F90" s="34">
        <v>12</v>
      </c>
      <c r="G90" s="34">
        <v>1421.68</v>
      </c>
      <c r="H90" s="34"/>
      <c r="I90" s="13">
        <f>G90*9</f>
        <v>12795.12</v>
      </c>
    </row>
    <row r="91" spans="1:9">
      <c r="A91" s="30"/>
      <c r="B91" s="41" t="s">
        <v>49</v>
      </c>
      <c r="C91" s="37"/>
      <c r="D91" s="44"/>
      <c r="E91" s="37">
        <v>1</v>
      </c>
      <c r="F91" s="37"/>
      <c r="G91" s="37"/>
      <c r="H91" s="37"/>
      <c r="I91" s="32">
        <f>SUM(I88:I90)</f>
        <v>53079.23</v>
      </c>
    </row>
    <row r="92" spans="1:9">
      <c r="A92" s="30"/>
      <c r="B92" s="43" t="s">
        <v>74</v>
      </c>
      <c r="C92" s="15"/>
      <c r="D92" s="15"/>
      <c r="E92" s="38"/>
      <c r="F92" s="38"/>
      <c r="G92" s="39"/>
      <c r="H92" s="39"/>
      <c r="I92" s="17">
        <v>0</v>
      </c>
    </row>
    <row r="93" spans="1:9">
      <c r="A93" s="45"/>
      <c r="B93" s="42" t="s">
        <v>133</v>
      </c>
      <c r="C93" s="33"/>
      <c r="D93" s="33"/>
      <c r="E93" s="33"/>
      <c r="F93" s="33"/>
      <c r="G93" s="33"/>
      <c r="H93" s="33"/>
      <c r="I93" s="40">
        <f>I86+I91</f>
        <v>90453.60226366666</v>
      </c>
    </row>
    <row r="94" spans="1:9" ht="15.75">
      <c r="A94" s="235" t="s">
        <v>241</v>
      </c>
      <c r="B94" s="235"/>
      <c r="C94" s="235"/>
      <c r="D94" s="235"/>
      <c r="E94" s="235"/>
      <c r="F94" s="235"/>
      <c r="G94" s="235"/>
      <c r="H94" s="235"/>
      <c r="I94" s="235"/>
    </row>
    <row r="95" spans="1:9" ht="15.75">
      <c r="A95" s="55"/>
      <c r="B95" s="236" t="s">
        <v>242</v>
      </c>
      <c r="C95" s="236"/>
      <c r="D95" s="236"/>
      <c r="E95" s="236"/>
      <c r="F95" s="236"/>
      <c r="G95" s="236"/>
      <c r="H95" s="60"/>
      <c r="I95" s="3"/>
    </row>
    <row r="96" spans="1:9">
      <c r="A96" s="116"/>
      <c r="B96" s="237" t="s">
        <v>6</v>
      </c>
      <c r="C96" s="237"/>
      <c r="D96" s="237"/>
      <c r="E96" s="237"/>
      <c r="F96" s="237"/>
      <c r="G96" s="237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238" t="s">
        <v>7</v>
      </c>
      <c r="B98" s="238"/>
      <c r="C98" s="238"/>
      <c r="D98" s="238"/>
      <c r="E98" s="238"/>
      <c r="F98" s="238"/>
      <c r="G98" s="238"/>
      <c r="H98" s="238"/>
      <c r="I98" s="238"/>
    </row>
    <row r="99" spans="1:9" ht="15.75">
      <c r="A99" s="238" t="s">
        <v>8</v>
      </c>
      <c r="B99" s="238"/>
      <c r="C99" s="238"/>
      <c r="D99" s="238"/>
      <c r="E99" s="238"/>
      <c r="F99" s="238"/>
      <c r="G99" s="238"/>
      <c r="H99" s="238"/>
      <c r="I99" s="238"/>
    </row>
    <row r="100" spans="1:9" ht="15.75">
      <c r="A100" s="239" t="s">
        <v>58</v>
      </c>
      <c r="B100" s="239"/>
      <c r="C100" s="239"/>
      <c r="D100" s="239"/>
      <c r="E100" s="239"/>
      <c r="F100" s="239"/>
      <c r="G100" s="239"/>
      <c r="H100" s="239"/>
      <c r="I100" s="239"/>
    </row>
    <row r="101" spans="1:9" ht="15.75">
      <c r="A101" s="11"/>
    </row>
    <row r="102" spans="1:9" ht="15.75">
      <c r="A102" s="240" t="s">
        <v>9</v>
      </c>
      <c r="B102" s="240"/>
      <c r="C102" s="240"/>
      <c r="D102" s="240"/>
      <c r="E102" s="240"/>
      <c r="F102" s="240"/>
      <c r="G102" s="240"/>
      <c r="H102" s="240"/>
      <c r="I102" s="240"/>
    </row>
    <row r="103" spans="1:9" ht="15.75">
      <c r="A103" s="4"/>
    </row>
    <row r="104" spans="1:9" ht="15.75">
      <c r="B104" s="120" t="s">
        <v>10</v>
      </c>
      <c r="C104" s="241" t="s">
        <v>127</v>
      </c>
      <c r="D104" s="241"/>
      <c r="E104" s="241"/>
      <c r="F104" s="58"/>
      <c r="I104" s="118"/>
    </row>
    <row r="105" spans="1:9">
      <c r="A105" s="116"/>
      <c r="C105" s="237" t="s">
        <v>11</v>
      </c>
      <c r="D105" s="237"/>
      <c r="E105" s="237"/>
      <c r="F105" s="25"/>
      <c r="I105" s="119" t="s">
        <v>12</v>
      </c>
    </row>
    <row r="106" spans="1:9" ht="15.75">
      <c r="A106" s="26"/>
      <c r="C106" s="12"/>
      <c r="D106" s="12"/>
      <c r="G106" s="12"/>
      <c r="H106" s="12"/>
    </row>
    <row r="107" spans="1:9" ht="15.75">
      <c r="B107" s="120" t="s">
        <v>13</v>
      </c>
      <c r="C107" s="233"/>
      <c r="D107" s="233"/>
      <c r="E107" s="233"/>
      <c r="F107" s="59"/>
      <c r="I107" s="118"/>
    </row>
    <row r="108" spans="1:9">
      <c r="A108" s="116"/>
      <c r="C108" s="234" t="s">
        <v>11</v>
      </c>
      <c r="D108" s="234"/>
      <c r="E108" s="234"/>
      <c r="F108" s="116"/>
      <c r="I108" s="119" t="s">
        <v>12</v>
      </c>
    </row>
    <row r="109" spans="1:9" ht="15.75">
      <c r="A109" s="4" t="s">
        <v>14</v>
      </c>
    </row>
    <row r="110" spans="1:9">
      <c r="A110" s="228" t="s">
        <v>15</v>
      </c>
      <c r="B110" s="228"/>
      <c r="C110" s="228"/>
      <c r="D110" s="228"/>
      <c r="E110" s="228"/>
      <c r="F110" s="228"/>
      <c r="G110" s="228"/>
      <c r="H110" s="228"/>
      <c r="I110" s="228"/>
    </row>
    <row r="111" spans="1:9" ht="42.75" customHeight="1">
      <c r="A111" s="229" t="s">
        <v>16</v>
      </c>
      <c r="B111" s="229"/>
      <c r="C111" s="229"/>
      <c r="D111" s="229"/>
      <c r="E111" s="229"/>
      <c r="F111" s="229"/>
      <c r="G111" s="229"/>
      <c r="H111" s="229"/>
      <c r="I111" s="229"/>
    </row>
    <row r="112" spans="1:9" ht="32.25" customHeight="1">
      <c r="A112" s="229" t="s">
        <v>17</v>
      </c>
      <c r="B112" s="229"/>
      <c r="C112" s="229"/>
      <c r="D112" s="229"/>
      <c r="E112" s="229"/>
      <c r="F112" s="229"/>
      <c r="G112" s="229"/>
      <c r="H112" s="229"/>
      <c r="I112" s="229"/>
    </row>
    <row r="113" spans="1:9" ht="39.75" customHeight="1">
      <c r="A113" s="229" t="s">
        <v>21</v>
      </c>
      <c r="B113" s="229"/>
      <c r="C113" s="229"/>
      <c r="D113" s="229"/>
      <c r="E113" s="229"/>
      <c r="F113" s="229"/>
      <c r="G113" s="229"/>
      <c r="H113" s="229"/>
      <c r="I113" s="229"/>
    </row>
    <row r="114" spans="1:9" ht="15.75">
      <c r="A114" s="229" t="s">
        <v>20</v>
      </c>
      <c r="B114" s="229"/>
      <c r="C114" s="229"/>
      <c r="D114" s="229"/>
      <c r="E114" s="229"/>
      <c r="F114" s="229"/>
      <c r="G114" s="229"/>
      <c r="H114" s="229"/>
      <c r="I114" s="229"/>
    </row>
  </sheetData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8:I28"/>
    <mergeCell ref="A45:I45"/>
    <mergeCell ref="A55:I55"/>
    <mergeCell ref="A83:I83"/>
    <mergeCell ref="A87:I87"/>
    <mergeCell ref="A94:I94"/>
    <mergeCell ref="B95:G95"/>
    <mergeCell ref="B96:G96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9"/>
  <sheetViews>
    <sheetView topLeftCell="A87" workbookViewId="0">
      <selection activeCell="A103" sqref="A103:I103"/>
    </sheetView>
  </sheetViews>
  <sheetFormatPr defaultRowHeight="15"/>
  <cols>
    <col min="1" max="1" width="9.7109375" customWidth="1"/>
    <col min="2" max="2" width="50" customWidth="1"/>
    <col min="3" max="3" width="19.140625" customWidth="1"/>
    <col min="4" max="4" width="25" customWidth="1"/>
    <col min="5" max="5" width="0" hidden="1" customWidth="1"/>
    <col min="6" max="6" width="9.42578125" hidden="1" customWidth="1"/>
    <col min="7" max="7" width="21.5703125" customWidth="1"/>
    <col min="8" max="8" width="0" hidden="1" customWidth="1"/>
    <col min="9" max="9" width="17.7109375" customWidth="1"/>
  </cols>
  <sheetData>
    <row r="1" spans="1:9" ht="15.75">
      <c r="A1" s="28" t="s">
        <v>157</v>
      </c>
      <c r="I1" s="27"/>
    </row>
    <row r="2" spans="1:9" ht="15.75">
      <c r="A2" s="29" t="s">
        <v>59</v>
      </c>
    </row>
    <row r="3" spans="1:9" ht="15.75">
      <c r="A3" s="243" t="s">
        <v>155</v>
      </c>
      <c r="B3" s="243"/>
      <c r="C3" s="243"/>
      <c r="D3" s="243"/>
      <c r="E3" s="243"/>
      <c r="F3" s="243"/>
      <c r="G3" s="243"/>
      <c r="H3" s="243"/>
      <c r="I3" s="243"/>
    </row>
    <row r="4" spans="1:9" ht="32.25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9" ht="15.75">
      <c r="A5" s="243" t="s">
        <v>243</v>
      </c>
      <c r="B5" s="245"/>
      <c r="C5" s="245"/>
      <c r="D5" s="245"/>
      <c r="E5" s="245"/>
      <c r="F5" s="245"/>
      <c r="G5" s="245"/>
      <c r="H5" s="245"/>
      <c r="I5" s="245"/>
    </row>
    <row r="6" spans="1:9" ht="15.75">
      <c r="A6" s="2"/>
      <c r="B6" s="125"/>
      <c r="C6" s="125"/>
      <c r="D6" s="125"/>
      <c r="E6" s="125"/>
      <c r="F6" s="125"/>
      <c r="G6" s="125"/>
      <c r="H6" s="125"/>
      <c r="I6" s="31">
        <v>44012</v>
      </c>
    </row>
    <row r="7" spans="1:9" ht="15.75">
      <c r="B7" s="124"/>
      <c r="C7" s="124"/>
      <c r="D7" s="124"/>
      <c r="E7" s="3"/>
      <c r="F7" s="3"/>
      <c r="G7" s="3"/>
      <c r="H7" s="3"/>
    </row>
    <row r="8" spans="1:9" ht="94.5" customHeight="1">
      <c r="A8" s="246" t="s">
        <v>172</v>
      </c>
      <c r="B8" s="246"/>
      <c r="C8" s="246"/>
      <c r="D8" s="246"/>
      <c r="E8" s="246"/>
      <c r="F8" s="246"/>
      <c r="G8" s="246"/>
      <c r="H8" s="246"/>
      <c r="I8" s="246"/>
    </row>
    <row r="9" spans="1:9" ht="6.75" customHeight="1">
      <c r="A9" s="4"/>
    </row>
    <row r="10" spans="1:9" ht="69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</row>
    <row r="11" spans="1:9" ht="15.75">
      <c r="A11" s="4"/>
    </row>
    <row r="12" spans="1:9" ht="63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5" customHeight="1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8.75" customHeight="1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7.25" customHeight="1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>
      <c r="A19" s="30">
        <v>4</v>
      </c>
      <c r="B19" s="62" t="s">
        <v>87</v>
      </c>
      <c r="C19" s="63" t="s">
        <v>88</v>
      </c>
      <c r="D19" s="62" t="s">
        <v>244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5" si="1">SUM(F19*G19/1000)</f>
        <v>0.48973100000000003</v>
      </c>
      <c r="I19" s="34">
        <f>2.11*G19</f>
        <v>489.73099999999994</v>
      </c>
    </row>
    <row r="20" spans="1:9" ht="19.5" customHeight="1">
      <c r="A20" s="30">
        <v>5</v>
      </c>
      <c r="B20" s="62" t="s">
        <v>90</v>
      </c>
      <c r="C20" s="63" t="s">
        <v>80</v>
      </c>
      <c r="D20" s="62" t="s">
        <v>245</v>
      </c>
      <c r="E20" s="128">
        <v>7</v>
      </c>
      <c r="F20" s="129">
        <v>0.14000000000000001</v>
      </c>
      <c r="G20" s="129">
        <v>297.19</v>
      </c>
      <c r="H20" s="130">
        <f t="shared" si="1"/>
        <v>4.1606600000000001E-2</v>
      </c>
      <c r="I20" s="34">
        <f>0.14/2*G20</f>
        <v>20.8033</v>
      </c>
    </row>
    <row r="21" spans="1:9">
      <c r="A21" s="30">
        <v>6</v>
      </c>
      <c r="B21" s="62" t="s">
        <v>91</v>
      </c>
      <c r="C21" s="63" t="s">
        <v>80</v>
      </c>
      <c r="D21" s="62" t="s">
        <v>178</v>
      </c>
      <c r="E21" s="128">
        <v>2.4</v>
      </c>
      <c r="F21" s="129">
        <f>SUM(E21*2/100)</f>
        <v>4.8000000000000001E-2</v>
      </c>
      <c r="G21" s="129">
        <v>294.77999999999997</v>
      </c>
      <c r="H21" s="130">
        <f t="shared" si="1"/>
        <v>1.4149439999999999E-2</v>
      </c>
      <c r="I21" s="34">
        <f>0.048/2*G21</f>
        <v>7.0747199999999992</v>
      </c>
    </row>
    <row r="22" spans="1:9">
      <c r="A22" s="30">
        <v>7</v>
      </c>
      <c r="B22" s="62" t="s">
        <v>92</v>
      </c>
      <c r="C22" s="63" t="s">
        <v>50</v>
      </c>
      <c r="D22" s="62" t="s">
        <v>246</v>
      </c>
      <c r="E22" s="128">
        <v>317</v>
      </c>
      <c r="F22" s="129">
        <f>SUM(E22/100)</f>
        <v>3.17</v>
      </c>
      <c r="G22" s="129">
        <v>367.27</v>
      </c>
      <c r="H22" s="130">
        <f t="shared" si="1"/>
        <v>1.1642458999999998</v>
      </c>
      <c r="I22" s="34">
        <f>3.17*G22</f>
        <v>1164.2458999999999</v>
      </c>
    </row>
    <row r="23" spans="1:9">
      <c r="A23" s="30">
        <v>8</v>
      </c>
      <c r="B23" s="62" t="s">
        <v>93</v>
      </c>
      <c r="C23" s="63" t="s">
        <v>50</v>
      </c>
      <c r="D23" s="62" t="s">
        <v>247</v>
      </c>
      <c r="E23" s="131">
        <v>24.15</v>
      </c>
      <c r="F23" s="129">
        <f>SUM(E23/100)</f>
        <v>0.24149999999999999</v>
      </c>
      <c r="G23" s="129">
        <v>60.41</v>
      </c>
      <c r="H23" s="130">
        <f t="shared" si="1"/>
        <v>1.4589014999999999E-2</v>
      </c>
      <c r="I23" s="34">
        <f>0.2415*G23</f>
        <v>14.589014999999998</v>
      </c>
    </row>
    <row r="24" spans="1:9">
      <c r="A24" s="30">
        <v>9</v>
      </c>
      <c r="B24" s="62" t="s">
        <v>94</v>
      </c>
      <c r="C24" s="63" t="s">
        <v>50</v>
      </c>
      <c r="D24" s="62" t="s">
        <v>178</v>
      </c>
      <c r="E24" s="128">
        <v>10</v>
      </c>
      <c r="F24" s="129">
        <f>SUM(E24/100)</f>
        <v>0.1</v>
      </c>
      <c r="G24" s="129">
        <v>531.55999999999995</v>
      </c>
      <c r="H24" s="130">
        <f t="shared" si="1"/>
        <v>5.3156000000000002E-2</v>
      </c>
      <c r="I24" s="34">
        <f>0.1*G24</f>
        <v>53.155999999999999</v>
      </c>
    </row>
    <row r="25" spans="1:9">
      <c r="A25" s="30">
        <v>10</v>
      </c>
      <c r="B25" s="62" t="s">
        <v>95</v>
      </c>
      <c r="C25" s="63" t="s">
        <v>50</v>
      </c>
      <c r="D25" s="62" t="s">
        <v>184</v>
      </c>
      <c r="E25" s="128">
        <v>4.25</v>
      </c>
      <c r="F25" s="129">
        <f>SUM(E25/100)</f>
        <v>4.2500000000000003E-2</v>
      </c>
      <c r="G25" s="129">
        <v>710.37</v>
      </c>
      <c r="H25" s="130">
        <f t="shared" si="1"/>
        <v>3.0190725000000005E-2</v>
      </c>
      <c r="I25" s="34">
        <f>0.0425*G25</f>
        <v>30.190725000000004</v>
      </c>
    </row>
    <row r="26" spans="1:9" ht="30">
      <c r="A26" s="30">
        <v>11</v>
      </c>
      <c r="B26" s="62" t="s">
        <v>110</v>
      </c>
      <c r="C26" s="63" t="s">
        <v>50</v>
      </c>
      <c r="D26" s="62" t="s">
        <v>178</v>
      </c>
      <c r="E26" s="128">
        <v>9.5</v>
      </c>
      <c r="F26" s="129">
        <v>9.5000000000000001E-2</v>
      </c>
      <c r="G26" s="129">
        <v>294.77999999999997</v>
      </c>
      <c r="H26" s="130">
        <f>G26*F26/1000</f>
        <v>2.8004099999999997E-2</v>
      </c>
      <c r="I26" s="34">
        <f>0.095*G26</f>
        <v>28.004099999999998</v>
      </c>
    </row>
    <row r="27" spans="1:9" ht="16.5" customHeight="1">
      <c r="A27" s="30">
        <v>12</v>
      </c>
      <c r="B27" s="155" t="s">
        <v>174</v>
      </c>
      <c r="C27" s="182" t="s">
        <v>25</v>
      </c>
      <c r="D27" s="155" t="s">
        <v>175</v>
      </c>
      <c r="E27" s="205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>
      <c r="A28" s="242" t="s">
        <v>78</v>
      </c>
      <c r="B28" s="242"/>
      <c r="C28" s="242"/>
      <c r="D28" s="242"/>
      <c r="E28" s="242"/>
      <c r="F28" s="242"/>
      <c r="G28" s="242"/>
      <c r="H28" s="242"/>
      <c r="I28" s="242"/>
    </row>
    <row r="29" spans="1:9">
      <c r="A29" s="30"/>
      <c r="B29" s="81" t="s">
        <v>28</v>
      </c>
      <c r="C29" s="63"/>
      <c r="D29" s="62"/>
      <c r="E29" s="64"/>
      <c r="F29" s="65"/>
      <c r="G29" s="65"/>
      <c r="H29" s="66"/>
      <c r="I29" s="13"/>
    </row>
    <row r="30" spans="1:9" ht="14.25" customHeight="1">
      <c r="A30" s="30">
        <v>13</v>
      </c>
      <c r="B30" s="62" t="s">
        <v>97</v>
      </c>
      <c r="C30" s="63" t="s">
        <v>82</v>
      </c>
      <c r="D30" s="155" t="s">
        <v>177</v>
      </c>
      <c r="E30" s="65">
        <v>372.4</v>
      </c>
      <c r="F30" s="65">
        <f>SUM(E30*52/1000)</f>
        <v>19.364799999999999</v>
      </c>
      <c r="G30" s="129">
        <v>212.62</v>
      </c>
      <c r="H30" s="66">
        <f t="shared" ref="H30:H35" si="2">SUM(F30*G30/1000)</f>
        <v>4.1173437759999993</v>
      </c>
      <c r="I30" s="13">
        <f>19.3648/6*G30</f>
        <v>686.22396266666669</v>
      </c>
    </row>
    <row r="31" spans="1:9" ht="48" customHeight="1">
      <c r="A31" s="30">
        <v>14</v>
      </c>
      <c r="B31" s="62" t="s">
        <v>108</v>
      </c>
      <c r="C31" s="63" t="s">
        <v>82</v>
      </c>
      <c r="D31" s="155" t="s">
        <v>176</v>
      </c>
      <c r="E31" s="65">
        <v>195.5</v>
      </c>
      <c r="F31" s="65">
        <f>SUM(E31*78/1000)</f>
        <v>15.249000000000001</v>
      </c>
      <c r="G31" s="129">
        <v>352.77</v>
      </c>
      <c r="H31" s="66">
        <f t="shared" si="2"/>
        <v>5.3793897299999998</v>
      </c>
      <c r="I31" s="13">
        <f>15.249/6*G31</f>
        <v>896.56495499999994</v>
      </c>
    </row>
    <row r="32" spans="1:9" hidden="1">
      <c r="A32" s="30">
        <v>13</v>
      </c>
      <c r="B32" s="62" t="s">
        <v>27</v>
      </c>
      <c r="C32" s="63" t="s">
        <v>82</v>
      </c>
      <c r="D32" s="155" t="s">
        <v>184</v>
      </c>
      <c r="E32" s="65">
        <v>372.4</v>
      </c>
      <c r="F32" s="65">
        <f>SUM(E32/1000)</f>
        <v>0.37239999999999995</v>
      </c>
      <c r="G32" s="129">
        <v>4119.68</v>
      </c>
      <c r="H32" s="66">
        <f t="shared" si="2"/>
        <v>1.5341688319999998</v>
      </c>
      <c r="I32" s="13">
        <f>0.3724*G32</f>
        <v>1534.1688320000001</v>
      </c>
    </row>
    <row r="33" spans="1:9" ht="14.25" customHeight="1">
      <c r="A33" s="30">
        <v>15</v>
      </c>
      <c r="B33" s="62" t="s">
        <v>136</v>
      </c>
      <c r="C33" s="63" t="s">
        <v>38</v>
      </c>
      <c r="D33" s="155" t="s">
        <v>180</v>
      </c>
      <c r="E33" s="65">
        <v>2</v>
      </c>
      <c r="F33" s="65">
        <f>E33*155/100</f>
        <v>3.1</v>
      </c>
      <c r="G33" s="129">
        <v>1775.94</v>
      </c>
      <c r="H33" s="66">
        <f t="shared" si="2"/>
        <v>5.5054140000000009</v>
      </c>
      <c r="I33" s="13">
        <f>3.1/6*G33</f>
        <v>917.56900000000007</v>
      </c>
    </row>
    <row r="34" spans="1:9" hidden="1">
      <c r="A34" s="30"/>
      <c r="B34" s="62" t="s">
        <v>61</v>
      </c>
      <c r="C34" s="63" t="s">
        <v>32</v>
      </c>
      <c r="D34" s="62" t="s">
        <v>63</v>
      </c>
      <c r="E34" s="64"/>
      <c r="F34" s="65">
        <v>2</v>
      </c>
      <c r="G34" s="65">
        <v>250.92</v>
      </c>
      <c r="H34" s="66">
        <f t="shared" si="2"/>
        <v>0.50183999999999995</v>
      </c>
      <c r="I34" s="13">
        <v>0</v>
      </c>
    </row>
    <row r="35" spans="1:9" hidden="1">
      <c r="A35" s="30"/>
      <c r="B35" s="62" t="s">
        <v>62</v>
      </c>
      <c r="C35" s="63" t="s">
        <v>31</v>
      </c>
      <c r="D35" s="62" t="s">
        <v>63</v>
      </c>
      <c r="E35" s="64"/>
      <c r="F35" s="65">
        <v>1</v>
      </c>
      <c r="G35" s="65">
        <v>1490.31</v>
      </c>
      <c r="H35" s="66">
        <f t="shared" si="2"/>
        <v>1.49031</v>
      </c>
      <c r="I35" s="13">
        <v>0</v>
      </c>
    </row>
    <row r="36" spans="1:9" hidden="1">
      <c r="A36" s="30"/>
      <c r="B36" s="81" t="s">
        <v>5</v>
      </c>
      <c r="C36" s="63"/>
      <c r="D36" s="62"/>
      <c r="E36" s="64"/>
      <c r="F36" s="65"/>
      <c r="G36" s="65"/>
      <c r="H36" s="66" t="s">
        <v>122</v>
      </c>
      <c r="I36" s="13"/>
    </row>
    <row r="37" spans="1:9" hidden="1">
      <c r="A37" s="30">
        <v>7</v>
      </c>
      <c r="B37" s="62" t="s">
        <v>26</v>
      </c>
      <c r="C37" s="63" t="s">
        <v>31</v>
      </c>
      <c r="D37" s="62"/>
      <c r="E37" s="64"/>
      <c r="F37" s="65">
        <v>5</v>
      </c>
      <c r="G37" s="129">
        <v>2083</v>
      </c>
      <c r="H37" s="66">
        <f t="shared" ref="H37:H44" si="3">SUM(F37*G37/1000)</f>
        <v>10.414999999999999</v>
      </c>
      <c r="I37" s="13">
        <f>F37/6*G37</f>
        <v>1735.8333333333335</v>
      </c>
    </row>
    <row r="38" spans="1:9" hidden="1">
      <c r="A38" s="30">
        <v>9</v>
      </c>
      <c r="B38" s="62" t="s">
        <v>113</v>
      </c>
      <c r="C38" s="63" t="s">
        <v>114</v>
      </c>
      <c r="D38" s="62" t="s">
        <v>63</v>
      </c>
      <c r="E38" s="64"/>
      <c r="F38" s="65">
        <v>26</v>
      </c>
      <c r="G38" s="129">
        <v>314</v>
      </c>
      <c r="H38" s="66">
        <f>G38*F38/1000</f>
        <v>8.1639999999999997</v>
      </c>
      <c r="I38" s="13">
        <v>0</v>
      </c>
    </row>
    <row r="39" spans="1:9" hidden="1">
      <c r="A39" s="30">
        <v>8</v>
      </c>
      <c r="B39" s="62" t="s">
        <v>137</v>
      </c>
      <c r="C39" s="63" t="s">
        <v>29</v>
      </c>
      <c r="D39" s="62" t="s">
        <v>115</v>
      </c>
      <c r="E39" s="64">
        <v>88</v>
      </c>
      <c r="F39" s="65">
        <f>E39*30/1000</f>
        <v>2.64</v>
      </c>
      <c r="G39" s="129">
        <v>2868.09</v>
      </c>
      <c r="H39" s="66">
        <f>G39*F39/1000</f>
        <v>7.5717576000000006</v>
      </c>
      <c r="I39" s="13">
        <f>F39/6*G39</f>
        <v>1261.9596000000001</v>
      </c>
    </row>
    <row r="40" spans="1:9" ht="30" hidden="1">
      <c r="A40" s="30">
        <v>9</v>
      </c>
      <c r="B40" s="62" t="s">
        <v>64</v>
      </c>
      <c r="C40" s="63" t="s">
        <v>29</v>
      </c>
      <c r="D40" s="62" t="s">
        <v>81</v>
      </c>
      <c r="E40" s="65">
        <v>93.3</v>
      </c>
      <c r="F40" s="65">
        <f>SUM(E40*155/1000)</f>
        <v>14.461499999999999</v>
      </c>
      <c r="G40" s="129">
        <v>478.42</v>
      </c>
      <c r="H40" s="66">
        <f t="shared" si="3"/>
        <v>6.9186708299999999</v>
      </c>
      <c r="I40" s="13">
        <f>F40/6*G40</f>
        <v>1153.111805</v>
      </c>
    </row>
    <row r="41" spans="1:9" ht="60" hidden="1">
      <c r="A41" s="30">
        <v>10</v>
      </c>
      <c r="B41" s="62" t="s">
        <v>76</v>
      </c>
      <c r="C41" s="63" t="s">
        <v>82</v>
      </c>
      <c r="D41" s="62" t="s">
        <v>116</v>
      </c>
      <c r="E41" s="65">
        <v>34</v>
      </c>
      <c r="F41" s="65">
        <f>SUM(E41*35/1000)</f>
        <v>1.19</v>
      </c>
      <c r="G41" s="129">
        <v>7915.6</v>
      </c>
      <c r="H41" s="66">
        <f t="shared" si="3"/>
        <v>9.4195640000000012</v>
      </c>
      <c r="I41" s="13">
        <f>F41/6*G41</f>
        <v>1569.9273333333333</v>
      </c>
    </row>
    <row r="42" spans="1:9" hidden="1">
      <c r="A42" s="30">
        <v>11</v>
      </c>
      <c r="B42" s="62" t="s">
        <v>83</v>
      </c>
      <c r="C42" s="63" t="s">
        <v>82</v>
      </c>
      <c r="D42" s="62" t="s">
        <v>65</v>
      </c>
      <c r="E42" s="65">
        <v>72</v>
      </c>
      <c r="F42" s="65">
        <f>SUM(E42*45/1000)</f>
        <v>3.24</v>
      </c>
      <c r="G42" s="129">
        <v>584.74</v>
      </c>
      <c r="H42" s="66">
        <f t="shared" si="3"/>
        <v>1.8945576000000002</v>
      </c>
      <c r="I42" s="13">
        <f>(F42/7.5*1.5)*G42</f>
        <v>378.91152000000011</v>
      </c>
    </row>
    <row r="43" spans="1:9" hidden="1">
      <c r="A43" s="30">
        <v>12</v>
      </c>
      <c r="B43" s="62" t="s">
        <v>66</v>
      </c>
      <c r="C43" s="63" t="s">
        <v>32</v>
      </c>
      <c r="D43" s="62"/>
      <c r="E43" s="64"/>
      <c r="F43" s="65">
        <v>0.9</v>
      </c>
      <c r="G43" s="132">
        <v>800</v>
      </c>
      <c r="H43" s="66">
        <f t="shared" si="3"/>
        <v>0.72</v>
      </c>
      <c r="I43" s="13">
        <f>(F43/7.5*1.5)*G43</f>
        <v>144.00000000000003</v>
      </c>
    </row>
    <row r="44" spans="1:9" ht="30" hidden="1">
      <c r="A44" s="30">
        <v>13</v>
      </c>
      <c r="B44" s="46" t="s">
        <v>138</v>
      </c>
      <c r="C44" s="49" t="s">
        <v>29</v>
      </c>
      <c r="D44" s="62" t="s">
        <v>139</v>
      </c>
      <c r="E44" s="64">
        <v>1.8</v>
      </c>
      <c r="F44" s="65">
        <f>SUM(E44*12/1000)</f>
        <v>2.1600000000000001E-2</v>
      </c>
      <c r="G44" s="132">
        <v>270.61</v>
      </c>
      <c r="H44" s="66">
        <f t="shared" si="3"/>
        <v>5.8451760000000005E-3</v>
      </c>
      <c r="I44" s="13">
        <f t="shared" ref="I44" si="4">F44/6*G44</f>
        <v>0.97419600000000017</v>
      </c>
    </row>
    <row r="45" spans="1:9" ht="17.25" customHeight="1">
      <c r="A45" s="249" t="s">
        <v>124</v>
      </c>
      <c r="B45" s="250"/>
      <c r="C45" s="250"/>
      <c r="D45" s="250"/>
      <c r="E45" s="250"/>
      <c r="F45" s="250"/>
      <c r="G45" s="250"/>
      <c r="H45" s="250"/>
      <c r="I45" s="251"/>
    </row>
    <row r="46" spans="1:9" ht="18" hidden="1" customHeight="1">
      <c r="A46" s="30">
        <v>19</v>
      </c>
      <c r="B46" s="62" t="s">
        <v>117</v>
      </c>
      <c r="C46" s="63" t="s">
        <v>82</v>
      </c>
      <c r="D46" s="62" t="s">
        <v>40</v>
      </c>
      <c r="E46" s="64">
        <v>670.4</v>
      </c>
      <c r="F46" s="65">
        <f>SUM(E46*2/1000)</f>
        <v>1.3408</v>
      </c>
      <c r="G46" s="34">
        <v>1158.7</v>
      </c>
      <c r="H46" s="66">
        <f t="shared" ref="H46:H54" si="5">SUM(F46*G46/1000)</f>
        <v>1.5535849600000002</v>
      </c>
      <c r="I46" s="13">
        <f t="shared" ref="I46:I48" si="6">F46/2*G46</f>
        <v>776.79248000000007</v>
      </c>
    </row>
    <row r="47" spans="1:9" ht="17.25" hidden="1" customHeight="1">
      <c r="A47" s="30">
        <v>20</v>
      </c>
      <c r="B47" s="62" t="s">
        <v>33</v>
      </c>
      <c r="C47" s="63" t="s">
        <v>82</v>
      </c>
      <c r="D47" s="62" t="s">
        <v>40</v>
      </c>
      <c r="E47" s="64">
        <v>26</v>
      </c>
      <c r="F47" s="65">
        <f t="shared" ref="F47:F49" si="7">SUM(E47*2/1000)</f>
        <v>5.1999999999999998E-2</v>
      </c>
      <c r="G47" s="34">
        <v>790.38</v>
      </c>
      <c r="H47" s="66">
        <f t="shared" si="5"/>
        <v>4.1099759999999999E-2</v>
      </c>
      <c r="I47" s="13">
        <f t="shared" si="6"/>
        <v>20.549879999999998</v>
      </c>
    </row>
    <row r="48" spans="1:9" ht="16.5" hidden="1" customHeight="1">
      <c r="A48" s="30">
        <v>21</v>
      </c>
      <c r="B48" s="62" t="s">
        <v>34</v>
      </c>
      <c r="C48" s="63" t="s">
        <v>82</v>
      </c>
      <c r="D48" s="62" t="s">
        <v>40</v>
      </c>
      <c r="E48" s="64">
        <v>760.4</v>
      </c>
      <c r="F48" s="65">
        <f t="shared" si="7"/>
        <v>1.5207999999999999</v>
      </c>
      <c r="G48" s="34">
        <v>790.38</v>
      </c>
      <c r="H48" s="66">
        <f t="shared" si="5"/>
        <v>1.2020099040000001</v>
      </c>
      <c r="I48" s="13">
        <f t="shared" si="6"/>
        <v>601.004952</v>
      </c>
    </row>
    <row r="49" spans="1:9" ht="15.75" hidden="1" customHeight="1">
      <c r="A49" s="30">
        <v>22</v>
      </c>
      <c r="B49" s="62" t="s">
        <v>35</v>
      </c>
      <c r="C49" s="63" t="s">
        <v>82</v>
      </c>
      <c r="D49" s="62" t="s">
        <v>40</v>
      </c>
      <c r="E49" s="64">
        <v>1440</v>
      </c>
      <c r="F49" s="65">
        <f t="shared" si="7"/>
        <v>2.88</v>
      </c>
      <c r="G49" s="34">
        <v>827.65</v>
      </c>
      <c r="H49" s="66">
        <f t="shared" si="5"/>
        <v>2.383632</v>
      </c>
      <c r="I49" s="13">
        <f>F49/2*G49</f>
        <v>1191.816</v>
      </c>
    </row>
    <row r="50" spans="1:9" ht="15" hidden="1" customHeight="1">
      <c r="A50" s="30">
        <v>23</v>
      </c>
      <c r="B50" s="62" t="s">
        <v>53</v>
      </c>
      <c r="C50" s="63" t="s">
        <v>82</v>
      </c>
      <c r="D50" s="62" t="s">
        <v>130</v>
      </c>
      <c r="E50" s="64">
        <v>2409</v>
      </c>
      <c r="F50" s="65">
        <f>SUM(E50*5/1000)</f>
        <v>12.045</v>
      </c>
      <c r="G50" s="34">
        <v>1655.27</v>
      </c>
      <c r="H50" s="66">
        <f t="shared" si="5"/>
        <v>19.937727149999997</v>
      </c>
      <c r="I50" s="13">
        <f>F50/5*G50</f>
        <v>3987.5454299999997</v>
      </c>
    </row>
    <row r="51" spans="1:9" ht="14.25" hidden="1" customHeight="1">
      <c r="A51" s="30">
        <v>24</v>
      </c>
      <c r="B51" s="62" t="s">
        <v>84</v>
      </c>
      <c r="C51" s="63" t="s">
        <v>82</v>
      </c>
      <c r="D51" s="62" t="s">
        <v>40</v>
      </c>
      <c r="E51" s="64">
        <v>2409</v>
      </c>
      <c r="F51" s="65">
        <f>SUM(E51*2/1000)</f>
        <v>4.8179999999999996</v>
      </c>
      <c r="G51" s="34">
        <v>1655.27</v>
      </c>
      <c r="H51" s="66">
        <f t="shared" si="5"/>
        <v>7.975090859999999</v>
      </c>
      <c r="I51" s="13">
        <f>F51/2*G51</f>
        <v>3987.5454299999997</v>
      </c>
    </row>
    <row r="52" spans="1:9" ht="17.25" hidden="1" customHeight="1">
      <c r="A52" s="30">
        <v>25</v>
      </c>
      <c r="B52" s="62" t="s">
        <v>85</v>
      </c>
      <c r="C52" s="63" t="s">
        <v>36</v>
      </c>
      <c r="D52" s="62" t="s">
        <v>40</v>
      </c>
      <c r="E52" s="64">
        <v>10</v>
      </c>
      <c r="F52" s="65">
        <f>SUM(E52*2/100)</f>
        <v>0.2</v>
      </c>
      <c r="G52" s="34">
        <v>3724.37</v>
      </c>
      <c r="H52" s="66">
        <f>SUM(F52*G52/1000)</f>
        <v>0.74487400000000004</v>
      </c>
      <c r="I52" s="13">
        <f t="shared" ref="I52:I53" si="8">F52/2*G52</f>
        <v>372.43700000000001</v>
      </c>
    </row>
    <row r="53" spans="1:9" ht="18" hidden="1" customHeight="1">
      <c r="A53" s="30">
        <v>26</v>
      </c>
      <c r="B53" s="62" t="s">
        <v>37</v>
      </c>
      <c r="C53" s="63" t="s">
        <v>38</v>
      </c>
      <c r="D53" s="62" t="s">
        <v>40</v>
      </c>
      <c r="E53" s="64">
        <v>1</v>
      </c>
      <c r="F53" s="65">
        <v>0.02</v>
      </c>
      <c r="G53" s="34">
        <v>7709.44</v>
      </c>
      <c r="H53" s="66">
        <f t="shared" si="5"/>
        <v>0.15418879999999999</v>
      </c>
      <c r="I53" s="13">
        <f t="shared" si="8"/>
        <v>77.094399999999993</v>
      </c>
    </row>
    <row r="54" spans="1:9" ht="16.5" customHeight="1">
      <c r="A54" s="30">
        <v>16</v>
      </c>
      <c r="B54" s="62" t="s">
        <v>39</v>
      </c>
      <c r="C54" s="63" t="s">
        <v>98</v>
      </c>
      <c r="D54" s="214">
        <v>44008</v>
      </c>
      <c r="E54" s="64">
        <v>80</v>
      </c>
      <c r="F54" s="65">
        <f>SUM(E54)*3</f>
        <v>240</v>
      </c>
      <c r="G54" s="102">
        <v>89.59</v>
      </c>
      <c r="H54" s="66">
        <f t="shared" si="5"/>
        <v>21.501600000000003</v>
      </c>
      <c r="I54" s="13">
        <f>G54*F54/3</f>
        <v>7167.2000000000007</v>
      </c>
    </row>
    <row r="55" spans="1:9">
      <c r="A55" s="249" t="s">
        <v>125</v>
      </c>
      <c r="B55" s="250"/>
      <c r="C55" s="250"/>
      <c r="D55" s="250"/>
      <c r="E55" s="250"/>
      <c r="F55" s="250"/>
      <c r="G55" s="250"/>
      <c r="H55" s="250"/>
      <c r="I55" s="251"/>
    </row>
    <row r="56" spans="1:9" hidden="1">
      <c r="A56" s="30"/>
      <c r="B56" s="81" t="s">
        <v>41</v>
      </c>
      <c r="C56" s="63"/>
      <c r="D56" s="62"/>
      <c r="E56" s="64"/>
      <c r="F56" s="65"/>
      <c r="G56" s="65"/>
      <c r="H56" s="66"/>
      <c r="I56" s="13"/>
    </row>
    <row r="57" spans="1:9" hidden="1">
      <c r="A57" s="30">
        <v>15</v>
      </c>
      <c r="B57" s="71" t="s">
        <v>120</v>
      </c>
      <c r="C57" s="72" t="s">
        <v>121</v>
      </c>
      <c r="D57" s="71" t="s">
        <v>40</v>
      </c>
      <c r="E57" s="73">
        <v>2</v>
      </c>
      <c r="F57" s="74">
        <v>4</v>
      </c>
      <c r="G57" s="13">
        <v>237.1</v>
      </c>
      <c r="H57" s="66">
        <f t="shared" ref="H57" si="9">SUM(F57*G57/1000)</f>
        <v>0.94840000000000002</v>
      </c>
      <c r="I57" s="13">
        <f>F57/2*G57</f>
        <v>474.2</v>
      </c>
    </row>
    <row r="58" spans="1:9" hidden="1">
      <c r="A58" s="30">
        <v>16</v>
      </c>
      <c r="B58" s="62" t="s">
        <v>119</v>
      </c>
      <c r="C58" s="63" t="s">
        <v>80</v>
      </c>
      <c r="D58" s="62" t="s">
        <v>99</v>
      </c>
      <c r="E58" s="64">
        <v>3.8</v>
      </c>
      <c r="F58" s="65">
        <f>SUM(E58*6/100)</f>
        <v>0.22799999999999998</v>
      </c>
      <c r="G58" s="13">
        <v>2029.3</v>
      </c>
      <c r="H58" s="66">
        <f>SUM(F58*G58/1000)</f>
        <v>0.46268039999999994</v>
      </c>
      <c r="I58" s="13">
        <f>F58/6*G58</f>
        <v>77.113399999999999</v>
      </c>
    </row>
    <row r="59" spans="1:9" hidden="1">
      <c r="A59" s="30"/>
      <c r="B59" s="62" t="s">
        <v>140</v>
      </c>
      <c r="C59" s="63" t="s">
        <v>141</v>
      </c>
      <c r="D59" s="62" t="s">
        <v>63</v>
      </c>
      <c r="E59" s="64"/>
      <c r="F59" s="65">
        <v>3</v>
      </c>
      <c r="G59" s="13">
        <v>1582.05</v>
      </c>
      <c r="H59" s="66">
        <f>SUM(F59*G59/1000)</f>
        <v>4.7461499999999992</v>
      </c>
      <c r="I59" s="13">
        <v>0</v>
      </c>
    </row>
    <row r="60" spans="1:9" ht="18" customHeight="1">
      <c r="A60" s="30"/>
      <c r="B60" s="82" t="s">
        <v>42</v>
      </c>
      <c r="C60" s="72"/>
      <c r="D60" s="71"/>
      <c r="E60" s="73"/>
      <c r="F60" s="74"/>
      <c r="G60" s="13"/>
      <c r="H60" s="75"/>
      <c r="I60" s="13"/>
    </row>
    <row r="61" spans="1:9" ht="15" hidden="1" customHeight="1">
      <c r="A61" s="30"/>
      <c r="B61" s="71" t="s">
        <v>142</v>
      </c>
      <c r="C61" s="72" t="s">
        <v>50</v>
      </c>
      <c r="D61" s="71" t="s">
        <v>51</v>
      </c>
      <c r="E61" s="73">
        <v>110</v>
      </c>
      <c r="F61" s="74">
        <f>E61/100</f>
        <v>1.1000000000000001</v>
      </c>
      <c r="G61" s="13">
        <v>1040.8399999999999</v>
      </c>
      <c r="H61" s="75">
        <f>F61*G61/1000</f>
        <v>1.1449240000000001</v>
      </c>
      <c r="I61" s="13">
        <v>0</v>
      </c>
    </row>
    <row r="62" spans="1:9" ht="15.75" customHeight="1">
      <c r="A62" s="30">
        <v>17</v>
      </c>
      <c r="B62" s="71" t="s">
        <v>109</v>
      </c>
      <c r="C62" s="72" t="s">
        <v>25</v>
      </c>
      <c r="D62" s="71" t="s">
        <v>178</v>
      </c>
      <c r="E62" s="73">
        <v>100</v>
      </c>
      <c r="F62" s="76">
        <f>E62*12</f>
        <v>1200</v>
      </c>
      <c r="G62" s="56">
        <v>1.4</v>
      </c>
      <c r="H62" s="74">
        <f>F62*G62/1000</f>
        <v>1.68</v>
      </c>
      <c r="I62" s="13">
        <f>F62/12*G62</f>
        <v>140</v>
      </c>
    </row>
    <row r="63" spans="1:9" ht="18.75" customHeight="1">
      <c r="A63" s="30"/>
      <c r="B63" s="82" t="s">
        <v>43</v>
      </c>
      <c r="C63" s="72"/>
      <c r="D63" s="71"/>
      <c r="E63" s="73"/>
      <c r="F63" s="76"/>
      <c r="G63" s="76"/>
      <c r="H63" s="74" t="s">
        <v>122</v>
      </c>
      <c r="I63" s="13"/>
    </row>
    <row r="64" spans="1:9" ht="16.5" customHeight="1">
      <c r="A64" s="30">
        <v>18</v>
      </c>
      <c r="B64" s="14" t="s">
        <v>44</v>
      </c>
      <c r="C64" s="16" t="s">
        <v>98</v>
      </c>
      <c r="D64" s="14" t="s">
        <v>185</v>
      </c>
      <c r="E64" s="18">
        <v>8</v>
      </c>
      <c r="F64" s="65">
        <f>SUM(E64)</f>
        <v>8</v>
      </c>
      <c r="G64" s="34">
        <v>303.35000000000002</v>
      </c>
      <c r="H64" s="61">
        <f t="shared" ref="H64:H81" si="10">SUM(F64*G64/1000)</f>
        <v>2.4268000000000001</v>
      </c>
      <c r="I64" s="13">
        <f>G64*2</f>
        <v>606.70000000000005</v>
      </c>
    </row>
    <row r="65" spans="1:9" ht="28.5" hidden="1" customHeight="1">
      <c r="A65" s="30"/>
      <c r="B65" s="14" t="s">
        <v>45</v>
      </c>
      <c r="C65" s="16" t="s">
        <v>98</v>
      </c>
      <c r="D65" s="14" t="s">
        <v>63</v>
      </c>
      <c r="E65" s="18">
        <v>4</v>
      </c>
      <c r="F65" s="65">
        <f>SUM(E65)</f>
        <v>4</v>
      </c>
      <c r="G65" s="34">
        <v>104.01</v>
      </c>
      <c r="H65" s="61">
        <f t="shared" si="10"/>
        <v>0.41604000000000002</v>
      </c>
      <c r="I65" s="13">
        <v>0</v>
      </c>
    </row>
    <row r="66" spans="1:9" ht="18.75" hidden="1" customHeight="1">
      <c r="A66" s="30">
        <v>10</v>
      </c>
      <c r="B66" s="14" t="s">
        <v>46</v>
      </c>
      <c r="C66" s="16" t="s">
        <v>100</v>
      </c>
      <c r="D66" s="14"/>
      <c r="E66" s="64">
        <v>9962</v>
      </c>
      <c r="F66" s="13">
        <f>SUM(E66/100)</f>
        <v>99.62</v>
      </c>
      <c r="G66" s="34">
        <v>289.37</v>
      </c>
      <c r="H66" s="61">
        <f t="shared" si="10"/>
        <v>28.8270394</v>
      </c>
      <c r="I66" s="13">
        <f>F66*G66</f>
        <v>28827.039400000001</v>
      </c>
    </row>
    <row r="67" spans="1:9" ht="15.75" hidden="1" customHeight="1">
      <c r="A67" s="30">
        <v>11</v>
      </c>
      <c r="B67" s="14" t="s">
        <v>47</v>
      </c>
      <c r="C67" s="16" t="s">
        <v>101</v>
      </c>
      <c r="D67" s="14"/>
      <c r="E67" s="64">
        <v>9962</v>
      </c>
      <c r="F67" s="13">
        <f>SUM(E67/1000)</f>
        <v>9.9619999999999997</v>
      </c>
      <c r="G67" s="34">
        <v>225.35</v>
      </c>
      <c r="H67" s="61">
        <f t="shared" si="10"/>
        <v>2.2449366999999998</v>
      </c>
      <c r="I67" s="13">
        <f t="shared" ref="I67:I71" si="11">F67*G67</f>
        <v>2244.9366999999997</v>
      </c>
    </row>
    <row r="68" spans="1:9" ht="18" hidden="1" customHeight="1">
      <c r="A68" s="30">
        <v>12</v>
      </c>
      <c r="B68" s="14" t="s">
        <v>48</v>
      </c>
      <c r="C68" s="16" t="s">
        <v>72</v>
      </c>
      <c r="D68" s="14"/>
      <c r="E68" s="64">
        <v>806.3</v>
      </c>
      <c r="F68" s="13">
        <f>SUM(E68/100)</f>
        <v>8.0629999999999988</v>
      </c>
      <c r="G68" s="34">
        <v>2829.78</v>
      </c>
      <c r="H68" s="61">
        <f t="shared" si="10"/>
        <v>22.816516140000001</v>
      </c>
      <c r="I68" s="13">
        <f t="shared" si="11"/>
        <v>22816.51614</v>
      </c>
    </row>
    <row r="69" spans="1:9" ht="17.25" hidden="1" customHeight="1">
      <c r="A69" s="30">
        <v>13</v>
      </c>
      <c r="B69" s="89" t="s">
        <v>102</v>
      </c>
      <c r="C69" s="90" t="s">
        <v>32</v>
      </c>
      <c r="D69" s="91"/>
      <c r="E69" s="73">
        <v>9.4</v>
      </c>
      <c r="F69" s="92">
        <f>SUM(E69)</f>
        <v>9.4</v>
      </c>
      <c r="G69" s="133">
        <v>44.31</v>
      </c>
      <c r="H69" s="93">
        <f t="shared" si="10"/>
        <v>0.416514</v>
      </c>
      <c r="I69" s="13">
        <f t="shared" si="11"/>
        <v>416.51400000000001</v>
      </c>
    </row>
    <row r="70" spans="1:9" ht="17.25" hidden="1" customHeight="1">
      <c r="A70" s="30">
        <v>14</v>
      </c>
      <c r="B70" s="77" t="s">
        <v>103</v>
      </c>
      <c r="C70" s="16" t="s">
        <v>32</v>
      </c>
      <c r="D70" s="14"/>
      <c r="E70" s="18">
        <v>9.4</v>
      </c>
      <c r="F70" s="92">
        <f t="shared" ref="F70:F73" si="12">SUM(E70)</f>
        <v>9.4</v>
      </c>
      <c r="G70" s="34">
        <v>47.79</v>
      </c>
      <c r="H70" s="13">
        <f t="shared" si="10"/>
        <v>0.44922600000000001</v>
      </c>
      <c r="I70" s="13">
        <f t="shared" si="11"/>
        <v>449.226</v>
      </c>
    </row>
    <row r="71" spans="1:9" ht="18.75" hidden="1" customHeight="1">
      <c r="A71" s="30">
        <v>11</v>
      </c>
      <c r="B71" s="14" t="s">
        <v>54</v>
      </c>
      <c r="C71" s="16" t="s">
        <v>55</v>
      </c>
      <c r="D71" s="14" t="s">
        <v>51</v>
      </c>
      <c r="E71" s="18">
        <v>2</v>
      </c>
      <c r="F71" s="92">
        <f t="shared" si="12"/>
        <v>2</v>
      </c>
      <c r="G71" s="34">
        <v>68.040000000000006</v>
      </c>
      <c r="H71" s="13">
        <f t="shared" si="10"/>
        <v>0.13608000000000001</v>
      </c>
      <c r="I71" s="13">
        <f t="shared" si="11"/>
        <v>136.08000000000001</v>
      </c>
    </row>
    <row r="72" spans="1:9" ht="19.5" customHeight="1">
      <c r="A72" s="30"/>
      <c r="B72" s="126" t="s">
        <v>68</v>
      </c>
      <c r="C72" s="16"/>
      <c r="D72" s="14"/>
      <c r="E72" s="18"/>
      <c r="F72" s="13"/>
      <c r="G72" s="13"/>
      <c r="H72" s="13" t="s">
        <v>122</v>
      </c>
      <c r="I72" s="13"/>
    </row>
    <row r="73" spans="1:9" ht="30" hidden="1">
      <c r="A73" s="30"/>
      <c r="B73" s="14" t="s">
        <v>143</v>
      </c>
      <c r="C73" s="16" t="s">
        <v>98</v>
      </c>
      <c r="D73" s="14" t="s">
        <v>63</v>
      </c>
      <c r="E73" s="18">
        <v>2</v>
      </c>
      <c r="F73" s="92">
        <f t="shared" si="12"/>
        <v>2</v>
      </c>
      <c r="G73" s="13">
        <v>1543.4</v>
      </c>
      <c r="H73" s="13">
        <f t="shared" ref="H73:H75" si="13">SUM(F73*G73/1000)</f>
        <v>3.0868000000000002</v>
      </c>
      <c r="I73" s="13">
        <v>0</v>
      </c>
    </row>
    <row r="74" spans="1:9" hidden="1">
      <c r="A74" s="30"/>
      <c r="B74" s="14" t="s">
        <v>69</v>
      </c>
      <c r="C74" s="16" t="s">
        <v>70</v>
      </c>
      <c r="D74" s="14" t="s">
        <v>63</v>
      </c>
      <c r="E74" s="18">
        <v>2</v>
      </c>
      <c r="F74" s="13">
        <f>E74/10</f>
        <v>0.2</v>
      </c>
      <c r="G74" s="13">
        <v>657.87</v>
      </c>
      <c r="H74" s="13">
        <f t="shared" si="13"/>
        <v>0.13157400000000002</v>
      </c>
      <c r="I74" s="13">
        <f>G74*0.4</f>
        <v>263.14800000000002</v>
      </c>
    </row>
    <row r="75" spans="1:9" hidden="1">
      <c r="A75" s="30"/>
      <c r="B75" s="14" t="s">
        <v>144</v>
      </c>
      <c r="C75" s="16" t="s">
        <v>98</v>
      </c>
      <c r="D75" s="14" t="s">
        <v>63</v>
      </c>
      <c r="E75" s="18">
        <v>1</v>
      </c>
      <c r="F75" s="13">
        <f>SUM(E75)</f>
        <v>1</v>
      </c>
      <c r="G75" s="13">
        <v>1118.72</v>
      </c>
      <c r="H75" s="13">
        <f t="shared" si="13"/>
        <v>1.1187199999999999</v>
      </c>
      <c r="I75" s="13">
        <v>0</v>
      </c>
    </row>
    <row r="76" spans="1:9" hidden="1">
      <c r="A76" s="30"/>
      <c r="B76" s="46" t="s">
        <v>145</v>
      </c>
      <c r="C76" s="49" t="s">
        <v>98</v>
      </c>
      <c r="D76" s="14" t="s">
        <v>63</v>
      </c>
      <c r="E76" s="18">
        <v>1</v>
      </c>
      <c r="F76" s="13">
        <v>1</v>
      </c>
      <c r="G76" s="13">
        <v>1605.83</v>
      </c>
      <c r="H76" s="13">
        <f>SUM(F76*G76/1000)</f>
        <v>1.6058299999999999</v>
      </c>
      <c r="I76" s="13">
        <v>0</v>
      </c>
    </row>
    <row r="77" spans="1:9" ht="19.5" customHeight="1">
      <c r="A77" s="30">
        <v>19</v>
      </c>
      <c r="B77" s="46" t="s">
        <v>146</v>
      </c>
      <c r="C77" s="49" t="s">
        <v>98</v>
      </c>
      <c r="D77" s="14" t="s">
        <v>184</v>
      </c>
      <c r="E77" s="18">
        <v>1</v>
      </c>
      <c r="F77" s="13">
        <f>E77*12</f>
        <v>12</v>
      </c>
      <c r="G77" s="13">
        <v>55.55</v>
      </c>
      <c r="H77" s="13">
        <f t="shared" ref="H77" si="14">SUM(F77*G77/1000)</f>
        <v>0.66659999999999986</v>
      </c>
      <c r="I77" s="13">
        <f>F77/12*G77</f>
        <v>55.55</v>
      </c>
    </row>
    <row r="78" spans="1:9" ht="24" customHeight="1">
      <c r="A78" s="30"/>
      <c r="B78" s="100" t="s">
        <v>147</v>
      </c>
      <c r="C78" s="49"/>
      <c r="D78" s="14"/>
      <c r="E78" s="18"/>
      <c r="F78" s="13"/>
      <c r="G78" s="13"/>
      <c r="H78" s="61"/>
      <c r="I78" s="13"/>
    </row>
    <row r="79" spans="1:9" ht="15.75" customHeight="1">
      <c r="A79" s="30">
        <v>20</v>
      </c>
      <c r="B79" s="14" t="s">
        <v>148</v>
      </c>
      <c r="C79" s="30" t="s">
        <v>149</v>
      </c>
      <c r="D79" s="14"/>
      <c r="E79" s="18">
        <v>2409</v>
      </c>
      <c r="F79" s="13">
        <f>SUM(E79*12)</f>
        <v>28908</v>
      </c>
      <c r="G79" s="13">
        <v>2.37</v>
      </c>
      <c r="H79" s="61">
        <f t="shared" ref="H79" si="15">SUM(F79*G79/1000)</f>
        <v>68.511960000000002</v>
      </c>
      <c r="I79" s="13">
        <f>F79/12*G79</f>
        <v>5709.33</v>
      </c>
    </row>
    <row r="80" spans="1:9" hidden="1">
      <c r="A80" s="30"/>
      <c r="B80" s="79" t="s">
        <v>71</v>
      </c>
      <c r="C80" s="16"/>
      <c r="D80" s="14"/>
      <c r="E80" s="18"/>
      <c r="F80" s="13"/>
      <c r="G80" s="13" t="s">
        <v>122</v>
      </c>
      <c r="H80" s="13" t="s">
        <v>122</v>
      </c>
      <c r="I80" s="13"/>
    </row>
    <row r="81" spans="1:9" hidden="1">
      <c r="A81" s="30"/>
      <c r="B81" s="43" t="s">
        <v>111</v>
      </c>
      <c r="C81" s="16" t="s">
        <v>72</v>
      </c>
      <c r="D81" s="14"/>
      <c r="E81" s="18"/>
      <c r="F81" s="13">
        <v>0.1</v>
      </c>
      <c r="G81" s="13">
        <v>3619.09</v>
      </c>
      <c r="H81" s="13">
        <f t="shared" si="10"/>
        <v>0.36190900000000004</v>
      </c>
      <c r="I81" s="13">
        <v>0</v>
      </c>
    </row>
    <row r="82" spans="1:9" ht="28.5" hidden="1" customHeight="1">
      <c r="A82" s="30"/>
      <c r="B82" s="101" t="s">
        <v>86</v>
      </c>
      <c r="C82" s="94"/>
      <c r="D82" s="95"/>
      <c r="E82" s="96"/>
      <c r="F82" s="97"/>
      <c r="G82" s="97"/>
      <c r="H82" s="98">
        <f>SUM(H57:H81)</f>
        <v>142.19869964</v>
      </c>
      <c r="I82" s="68"/>
    </row>
    <row r="83" spans="1:9" ht="18" hidden="1" customHeight="1">
      <c r="A83" s="30">
        <v>14</v>
      </c>
      <c r="B83" s="62" t="s">
        <v>104</v>
      </c>
      <c r="C83" s="16"/>
      <c r="D83" s="14"/>
      <c r="E83" s="57"/>
      <c r="F83" s="13">
        <v>1</v>
      </c>
      <c r="G83" s="13">
        <v>1428.4</v>
      </c>
      <c r="H83" s="61">
        <f>G83*F83/1000</f>
        <v>1.4284000000000001</v>
      </c>
      <c r="I83" s="13">
        <f>G83</f>
        <v>1428.4</v>
      </c>
    </row>
    <row r="84" spans="1:9">
      <c r="A84" s="225" t="s">
        <v>126</v>
      </c>
      <c r="B84" s="226"/>
      <c r="C84" s="226"/>
      <c r="D84" s="226"/>
      <c r="E84" s="226"/>
      <c r="F84" s="226"/>
      <c r="G84" s="226"/>
      <c r="H84" s="226"/>
      <c r="I84" s="227"/>
    </row>
    <row r="85" spans="1:9" ht="16.5" customHeight="1">
      <c r="A85" s="30">
        <v>21</v>
      </c>
      <c r="B85" s="62" t="s">
        <v>105</v>
      </c>
      <c r="C85" s="16" t="s">
        <v>52</v>
      </c>
      <c r="D85" s="99"/>
      <c r="E85" s="13">
        <v>2409</v>
      </c>
      <c r="F85" s="13">
        <f>SUM(E85*12)</f>
        <v>28908</v>
      </c>
      <c r="G85" s="13">
        <v>3.22</v>
      </c>
      <c r="H85" s="61">
        <f>SUM(F85*G85/1000)</f>
        <v>93.083760000000012</v>
      </c>
      <c r="I85" s="13">
        <f>F85/12*G85</f>
        <v>7756.9800000000005</v>
      </c>
    </row>
    <row r="86" spans="1:9" ht="30" customHeight="1">
      <c r="A86" s="30">
        <v>22</v>
      </c>
      <c r="B86" s="14" t="s">
        <v>73</v>
      </c>
      <c r="C86" s="16"/>
      <c r="D86" s="99"/>
      <c r="E86" s="64">
        <f>E85</f>
        <v>2409</v>
      </c>
      <c r="F86" s="13">
        <f>E86*12</f>
        <v>28908</v>
      </c>
      <c r="G86" s="13">
        <v>3.64</v>
      </c>
      <c r="H86" s="61">
        <f>F86*G86/1000</f>
        <v>105.22512</v>
      </c>
      <c r="I86" s="13">
        <f>F86/12*G86</f>
        <v>8768.76</v>
      </c>
    </row>
    <row r="87" spans="1:9">
      <c r="A87" s="30"/>
      <c r="B87" s="36" t="s">
        <v>75</v>
      </c>
      <c r="C87" s="79"/>
      <c r="D87" s="78"/>
      <c r="E87" s="68"/>
      <c r="F87" s="68"/>
      <c r="G87" s="68"/>
      <c r="H87" s="80">
        <f>H86</f>
        <v>105.22512</v>
      </c>
      <c r="I87" s="68">
        <f>I86+I85+I79+I77+I64+I62+I54+I33+I31+I30+I27+I26+I25+I24+I23+I22+I21+I20+I19+I18+I17+I16</f>
        <v>45091.157844333335</v>
      </c>
    </row>
    <row r="88" spans="1:9">
      <c r="A88" s="230" t="s">
        <v>57</v>
      </c>
      <c r="B88" s="231"/>
      <c r="C88" s="231"/>
      <c r="D88" s="231"/>
      <c r="E88" s="231"/>
      <c r="F88" s="231"/>
      <c r="G88" s="231"/>
      <c r="H88" s="231"/>
      <c r="I88" s="232"/>
    </row>
    <row r="89" spans="1:9" ht="39.75" customHeight="1">
      <c r="A89" s="30">
        <v>23</v>
      </c>
      <c r="B89" s="47" t="s">
        <v>165</v>
      </c>
      <c r="C89" s="48" t="s">
        <v>166</v>
      </c>
      <c r="D89" s="115" t="s">
        <v>254</v>
      </c>
      <c r="E89" s="34"/>
      <c r="F89" s="34">
        <v>4</v>
      </c>
      <c r="G89" s="34">
        <v>61.58</v>
      </c>
      <c r="H89" s="83">
        <f t="shared" ref="H89" si="16">G89*F89/1000</f>
        <v>0.24631999999999998</v>
      </c>
      <c r="I89" s="13">
        <f>G89*2</f>
        <v>123.16</v>
      </c>
    </row>
    <row r="90" spans="1:9" ht="17.25" customHeight="1">
      <c r="A90" s="30">
        <v>24</v>
      </c>
      <c r="B90" s="47" t="s">
        <v>288</v>
      </c>
      <c r="C90" s="48" t="s">
        <v>77</v>
      </c>
      <c r="D90" s="115" t="s">
        <v>192</v>
      </c>
      <c r="E90" s="34"/>
      <c r="F90" s="34">
        <v>1</v>
      </c>
      <c r="G90" s="34">
        <v>269.91000000000003</v>
      </c>
      <c r="H90" s="83"/>
      <c r="I90" s="13">
        <v>0</v>
      </c>
    </row>
    <row r="91" spans="1:9" ht="17.25" customHeight="1">
      <c r="A91" s="30">
        <v>25</v>
      </c>
      <c r="B91" s="47" t="s">
        <v>249</v>
      </c>
      <c r="C91" s="48" t="s">
        <v>98</v>
      </c>
      <c r="D91" s="115" t="s">
        <v>252</v>
      </c>
      <c r="E91" s="34"/>
      <c r="F91" s="34">
        <v>1</v>
      </c>
      <c r="G91" s="34">
        <v>591.69000000000005</v>
      </c>
      <c r="H91" s="83"/>
      <c r="I91" s="13">
        <f>G91*1</f>
        <v>591.69000000000005</v>
      </c>
    </row>
    <row r="92" spans="1:9" ht="28.5" customHeight="1">
      <c r="A92" s="30">
        <v>26</v>
      </c>
      <c r="B92" s="47" t="s">
        <v>220</v>
      </c>
      <c r="C92" s="48" t="s">
        <v>98</v>
      </c>
      <c r="D92" s="115" t="s">
        <v>253</v>
      </c>
      <c r="E92" s="34"/>
      <c r="F92" s="34">
        <v>2.5</v>
      </c>
      <c r="G92" s="34">
        <v>945.36</v>
      </c>
      <c r="H92" s="83"/>
      <c r="I92" s="13">
        <f>G92*0.5</f>
        <v>472.68</v>
      </c>
    </row>
    <row r="93" spans="1:9" ht="17.25" customHeight="1">
      <c r="A93" s="30">
        <v>27</v>
      </c>
      <c r="B93" s="47" t="s">
        <v>250</v>
      </c>
      <c r="C93" s="48" t="s">
        <v>98</v>
      </c>
      <c r="D93" s="115"/>
      <c r="E93" s="34"/>
      <c r="F93" s="34">
        <v>1</v>
      </c>
      <c r="G93" s="34">
        <v>98</v>
      </c>
      <c r="H93" s="83"/>
      <c r="I93" s="13">
        <f>G93*1</f>
        <v>98</v>
      </c>
    </row>
    <row r="94" spans="1:9" ht="17.25" customHeight="1">
      <c r="A94" s="30">
        <v>28</v>
      </c>
      <c r="B94" s="47" t="s">
        <v>227</v>
      </c>
      <c r="C94" s="48" t="s">
        <v>77</v>
      </c>
      <c r="D94" s="115" t="s">
        <v>251</v>
      </c>
      <c r="E94" s="34"/>
      <c r="F94" s="34">
        <v>3</v>
      </c>
      <c r="G94" s="34">
        <v>222.63</v>
      </c>
      <c r="H94" s="83"/>
      <c r="I94" s="13">
        <f>G94*1</f>
        <v>222.63</v>
      </c>
    </row>
    <row r="95" spans="1:9" ht="17.25" customHeight="1">
      <c r="A95" s="30">
        <v>29</v>
      </c>
      <c r="B95" s="47" t="s">
        <v>257</v>
      </c>
      <c r="C95" s="48" t="s">
        <v>38</v>
      </c>
      <c r="D95" s="115" t="s">
        <v>178</v>
      </c>
      <c r="E95" s="34"/>
      <c r="F95" s="34">
        <v>0.01</v>
      </c>
      <c r="G95" s="34">
        <v>27139.18</v>
      </c>
      <c r="H95" s="83"/>
      <c r="I95" s="13">
        <v>0</v>
      </c>
    </row>
    <row r="96" spans="1:9" ht="14.25" customHeight="1">
      <c r="A96" s="30"/>
      <c r="B96" s="41" t="s">
        <v>49</v>
      </c>
      <c r="C96" s="37"/>
      <c r="D96" s="44"/>
      <c r="E96" s="37">
        <v>1</v>
      </c>
      <c r="F96" s="37"/>
      <c r="G96" s="37"/>
      <c r="H96" s="37"/>
      <c r="I96" s="32">
        <f>SUM(I89:I95)</f>
        <v>1508.1599999999999</v>
      </c>
    </row>
    <row r="97" spans="1:9">
      <c r="A97" s="30"/>
      <c r="B97" s="43" t="s">
        <v>74</v>
      </c>
      <c r="C97" s="15"/>
      <c r="D97" s="15"/>
      <c r="E97" s="38"/>
      <c r="F97" s="38"/>
      <c r="G97" s="39"/>
      <c r="H97" s="39"/>
      <c r="I97" s="17">
        <v>0</v>
      </c>
    </row>
    <row r="98" spans="1:9">
      <c r="A98" s="45"/>
      <c r="B98" s="42" t="s">
        <v>133</v>
      </c>
      <c r="C98" s="33"/>
      <c r="D98" s="33"/>
      <c r="E98" s="33"/>
      <c r="F98" s="33"/>
      <c r="G98" s="33"/>
      <c r="H98" s="33"/>
      <c r="I98" s="40">
        <f>I87+I96</f>
        <v>46599.317844333331</v>
      </c>
    </row>
    <row r="99" spans="1:9" ht="15.75">
      <c r="A99" s="235" t="s">
        <v>289</v>
      </c>
      <c r="B99" s="235"/>
      <c r="C99" s="235"/>
      <c r="D99" s="235"/>
      <c r="E99" s="235"/>
      <c r="F99" s="235"/>
      <c r="G99" s="235"/>
      <c r="H99" s="235"/>
      <c r="I99" s="235"/>
    </row>
    <row r="100" spans="1:9" ht="15.75">
      <c r="A100" s="55"/>
      <c r="B100" s="236" t="s">
        <v>290</v>
      </c>
      <c r="C100" s="236"/>
      <c r="D100" s="236"/>
      <c r="E100" s="236"/>
      <c r="F100" s="236"/>
      <c r="G100" s="236"/>
      <c r="H100" s="60"/>
      <c r="I100" s="3"/>
    </row>
    <row r="101" spans="1:9">
      <c r="A101" s="122"/>
      <c r="B101" s="237" t="s">
        <v>6</v>
      </c>
      <c r="C101" s="237"/>
      <c r="D101" s="237"/>
      <c r="E101" s="237"/>
      <c r="F101" s="237"/>
      <c r="G101" s="237"/>
      <c r="H101" s="25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238" t="s">
        <v>7</v>
      </c>
      <c r="B103" s="238"/>
      <c r="C103" s="238"/>
      <c r="D103" s="238"/>
      <c r="E103" s="238"/>
      <c r="F103" s="238"/>
      <c r="G103" s="238"/>
      <c r="H103" s="238"/>
      <c r="I103" s="238"/>
    </row>
    <row r="104" spans="1:9" ht="15.75">
      <c r="A104" s="238" t="s">
        <v>8</v>
      </c>
      <c r="B104" s="238"/>
      <c r="C104" s="238"/>
      <c r="D104" s="238"/>
      <c r="E104" s="238"/>
      <c r="F104" s="238"/>
      <c r="G104" s="238"/>
      <c r="H104" s="238"/>
      <c r="I104" s="238"/>
    </row>
    <row r="105" spans="1:9" ht="15.75">
      <c r="A105" s="239" t="s">
        <v>58</v>
      </c>
      <c r="B105" s="239"/>
      <c r="C105" s="239"/>
      <c r="D105" s="239"/>
      <c r="E105" s="239"/>
      <c r="F105" s="239"/>
      <c r="G105" s="239"/>
      <c r="H105" s="239"/>
      <c r="I105" s="239"/>
    </row>
    <row r="106" spans="1:9" ht="15.75">
      <c r="A106" s="11"/>
    </row>
    <row r="107" spans="1:9" ht="15.75">
      <c r="A107" s="240" t="s">
        <v>9</v>
      </c>
      <c r="B107" s="240"/>
      <c r="C107" s="240"/>
      <c r="D107" s="240"/>
      <c r="E107" s="240"/>
      <c r="F107" s="240"/>
      <c r="G107" s="240"/>
      <c r="H107" s="240"/>
      <c r="I107" s="240"/>
    </row>
    <row r="108" spans="1:9" ht="15.75">
      <c r="A108" s="4"/>
    </row>
    <row r="109" spans="1:9" ht="15.75">
      <c r="B109" s="124" t="s">
        <v>10</v>
      </c>
      <c r="C109" s="241" t="s">
        <v>127</v>
      </c>
      <c r="D109" s="241"/>
      <c r="E109" s="241"/>
      <c r="F109" s="58"/>
      <c r="I109" s="121"/>
    </row>
    <row r="110" spans="1:9">
      <c r="A110" s="122"/>
      <c r="C110" s="237" t="s">
        <v>11</v>
      </c>
      <c r="D110" s="237"/>
      <c r="E110" s="237"/>
      <c r="F110" s="25"/>
      <c r="I110" s="123" t="s">
        <v>12</v>
      </c>
    </row>
    <row r="111" spans="1:9" ht="15.75">
      <c r="A111" s="26"/>
      <c r="C111" s="12"/>
      <c r="D111" s="12"/>
      <c r="G111" s="12"/>
      <c r="H111" s="12"/>
    </row>
    <row r="112" spans="1:9" ht="15.75">
      <c r="B112" s="124" t="s">
        <v>13</v>
      </c>
      <c r="C112" s="233"/>
      <c r="D112" s="233"/>
      <c r="E112" s="233"/>
      <c r="F112" s="59"/>
      <c r="I112" s="121"/>
    </row>
    <row r="113" spans="1:9">
      <c r="A113" s="122"/>
      <c r="C113" s="234" t="s">
        <v>11</v>
      </c>
      <c r="D113" s="234"/>
      <c r="E113" s="234"/>
      <c r="F113" s="122"/>
      <c r="I113" s="123" t="s">
        <v>12</v>
      </c>
    </row>
    <row r="114" spans="1:9" ht="15.75">
      <c r="A114" s="4" t="s">
        <v>14</v>
      </c>
    </row>
    <row r="115" spans="1:9">
      <c r="A115" s="228" t="s">
        <v>15</v>
      </c>
      <c r="B115" s="228"/>
      <c r="C115" s="228"/>
      <c r="D115" s="228"/>
      <c r="E115" s="228"/>
      <c r="F115" s="228"/>
      <c r="G115" s="228"/>
      <c r="H115" s="228"/>
      <c r="I115" s="228"/>
    </row>
    <row r="116" spans="1:9" ht="45" customHeight="1">
      <c r="A116" s="229" t="s">
        <v>16</v>
      </c>
      <c r="B116" s="229"/>
      <c r="C116" s="229"/>
      <c r="D116" s="229"/>
      <c r="E116" s="229"/>
      <c r="F116" s="229"/>
      <c r="G116" s="229"/>
      <c r="H116" s="229"/>
      <c r="I116" s="229"/>
    </row>
    <row r="117" spans="1:9" ht="37.5" customHeight="1">
      <c r="A117" s="229" t="s">
        <v>17</v>
      </c>
      <c r="B117" s="229"/>
      <c r="C117" s="229"/>
      <c r="D117" s="229"/>
      <c r="E117" s="229"/>
      <c r="F117" s="229"/>
      <c r="G117" s="229"/>
      <c r="H117" s="229"/>
      <c r="I117" s="229"/>
    </row>
    <row r="118" spans="1:9" ht="35.25" customHeight="1">
      <c r="A118" s="229" t="s">
        <v>21</v>
      </c>
      <c r="B118" s="229"/>
      <c r="C118" s="229"/>
      <c r="D118" s="229"/>
      <c r="E118" s="229"/>
      <c r="F118" s="229"/>
      <c r="G118" s="229"/>
      <c r="H118" s="229"/>
      <c r="I118" s="229"/>
    </row>
    <row r="119" spans="1:9" ht="15.75">
      <c r="A119" s="229" t="s">
        <v>20</v>
      </c>
      <c r="B119" s="229"/>
      <c r="C119" s="229"/>
      <c r="D119" s="229"/>
      <c r="E119" s="229"/>
      <c r="F119" s="229"/>
      <c r="G119" s="229"/>
      <c r="H119" s="229"/>
      <c r="I119" s="229"/>
    </row>
  </sheetData>
  <mergeCells count="28">
    <mergeCell ref="A14:I14"/>
    <mergeCell ref="A3:I3"/>
    <mergeCell ref="A4:I4"/>
    <mergeCell ref="A5:I5"/>
    <mergeCell ref="A8:I8"/>
    <mergeCell ref="A10:I10"/>
    <mergeCell ref="A105:I105"/>
    <mergeCell ref="A15:I15"/>
    <mergeCell ref="A28:I28"/>
    <mergeCell ref="A45:I45"/>
    <mergeCell ref="A55:I55"/>
    <mergeCell ref="A84:I84"/>
    <mergeCell ref="A88:I88"/>
    <mergeCell ref="A99:I99"/>
    <mergeCell ref="B100:G100"/>
    <mergeCell ref="B101:G101"/>
    <mergeCell ref="A103:I103"/>
    <mergeCell ref="A104:I104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31496062992125984" top="0.35433070866141736" bottom="0.35433070866141736" header="0.31496062992125984" footer="0.31496062992125984"/>
  <pageSetup paperSize="9" scale="63" orientation="portrait" horizontalDpi="0" verticalDpi="0" r:id="rId1"/>
  <rowBreaks count="1" manualBreakCount="1">
    <brk id="10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13"/>
  <sheetViews>
    <sheetView topLeftCell="A71" workbookViewId="0">
      <selection activeCell="A98" sqref="A98:I98"/>
    </sheetView>
  </sheetViews>
  <sheetFormatPr defaultRowHeight="15"/>
  <cols>
    <col min="1" max="1" width="11.7109375" customWidth="1"/>
    <col min="2" max="2" width="54" customWidth="1"/>
    <col min="3" max="3" width="19.5703125" customWidth="1"/>
    <col min="4" max="4" width="23.140625" customWidth="1"/>
    <col min="5" max="6" width="0" hidden="1" customWidth="1"/>
    <col min="7" max="7" width="18.42578125" customWidth="1"/>
    <col min="8" max="8" width="0" hidden="1" customWidth="1"/>
    <col min="9" max="9" width="20.140625" customWidth="1"/>
  </cols>
  <sheetData>
    <row r="1" spans="1:9" ht="15.75">
      <c r="A1" s="28" t="s">
        <v>157</v>
      </c>
      <c r="I1" s="27"/>
    </row>
    <row r="2" spans="1:9" ht="15.75">
      <c r="A2" s="29" t="s">
        <v>59</v>
      </c>
    </row>
    <row r="3" spans="1:9" ht="15.75">
      <c r="A3" s="243" t="s">
        <v>158</v>
      </c>
      <c r="B3" s="243"/>
      <c r="C3" s="243"/>
      <c r="D3" s="243"/>
      <c r="E3" s="243"/>
      <c r="F3" s="243"/>
      <c r="G3" s="243"/>
      <c r="H3" s="243"/>
      <c r="I3" s="243"/>
    </row>
    <row r="4" spans="1:9" ht="33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9" ht="15.75">
      <c r="A5" s="243" t="s">
        <v>255</v>
      </c>
      <c r="B5" s="245"/>
      <c r="C5" s="245"/>
      <c r="D5" s="245"/>
      <c r="E5" s="245"/>
      <c r="F5" s="245"/>
      <c r="G5" s="245"/>
      <c r="H5" s="245"/>
      <c r="I5" s="245"/>
    </row>
    <row r="6" spans="1:9" ht="15.75">
      <c r="A6" s="2"/>
      <c r="B6" s="135"/>
      <c r="C6" s="135"/>
      <c r="D6" s="135"/>
      <c r="E6" s="135"/>
      <c r="F6" s="135"/>
      <c r="G6" s="135"/>
      <c r="H6" s="135"/>
      <c r="I6" s="31">
        <v>44043</v>
      </c>
    </row>
    <row r="7" spans="1:9" ht="15.75">
      <c r="B7" s="139"/>
      <c r="C7" s="139"/>
      <c r="D7" s="139"/>
      <c r="E7" s="3"/>
      <c r="F7" s="3"/>
      <c r="G7" s="3"/>
      <c r="H7" s="3"/>
    </row>
    <row r="8" spans="1:9" ht="84" customHeight="1">
      <c r="A8" s="246" t="s">
        <v>186</v>
      </c>
      <c r="B8" s="246"/>
      <c r="C8" s="246"/>
      <c r="D8" s="246"/>
      <c r="E8" s="246"/>
      <c r="F8" s="246"/>
      <c r="G8" s="246"/>
      <c r="H8" s="246"/>
      <c r="I8" s="246"/>
    </row>
    <row r="9" spans="1:9" ht="15.75">
      <c r="A9" s="4"/>
    </row>
    <row r="10" spans="1:9" ht="50.25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</row>
    <row r="11" spans="1:9" ht="15.75">
      <c r="A11" s="4"/>
    </row>
    <row r="12" spans="1:9" ht="58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7.25" customHeight="1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9.5" customHeight="1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5.75" customHeight="1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4" si="1">SUM(F19*G19/1000)</f>
        <v>0.48973100000000003</v>
      </c>
      <c r="I19" s="34">
        <f>2.11*G19</f>
        <v>489.73099999999994</v>
      </c>
    </row>
    <row r="20" spans="1:9" hidden="1">
      <c r="A20" s="30">
        <v>6</v>
      </c>
      <c r="B20" s="62" t="s">
        <v>91</v>
      </c>
      <c r="C20" s="63" t="s">
        <v>80</v>
      </c>
      <c r="D20" s="62" t="s">
        <v>40</v>
      </c>
      <c r="E20" s="128">
        <v>2.4</v>
      </c>
      <c r="F20" s="129">
        <f>SUM(E20*2/100)</f>
        <v>4.8000000000000001E-2</v>
      </c>
      <c r="G20" s="129">
        <v>294.77999999999997</v>
      </c>
      <c r="H20" s="130">
        <f t="shared" si="1"/>
        <v>1.4149439999999999E-2</v>
      </c>
      <c r="I20" s="34">
        <f>0.048/2*G20</f>
        <v>7.0747199999999992</v>
      </c>
    </row>
    <row r="21" spans="1:9" hidden="1">
      <c r="A21" s="30">
        <v>7</v>
      </c>
      <c r="B21" s="62" t="s">
        <v>92</v>
      </c>
      <c r="C21" s="63" t="s">
        <v>50</v>
      </c>
      <c r="D21" s="62" t="s">
        <v>89</v>
      </c>
      <c r="E21" s="128">
        <v>317</v>
      </c>
      <c r="F21" s="129">
        <f>SUM(E21/100)</f>
        <v>3.17</v>
      </c>
      <c r="G21" s="129">
        <v>367.27</v>
      </c>
      <c r="H21" s="130">
        <f t="shared" si="1"/>
        <v>1.1642458999999998</v>
      </c>
      <c r="I21" s="34">
        <f>3.17*G21</f>
        <v>1164.2458999999999</v>
      </c>
    </row>
    <row r="22" spans="1:9" hidden="1">
      <c r="A22" s="30">
        <v>8</v>
      </c>
      <c r="B22" s="62" t="s">
        <v>93</v>
      </c>
      <c r="C22" s="63" t="s">
        <v>50</v>
      </c>
      <c r="D22" s="62" t="s">
        <v>89</v>
      </c>
      <c r="E22" s="131">
        <v>24.15</v>
      </c>
      <c r="F22" s="129">
        <f>SUM(E22/100)</f>
        <v>0.24149999999999999</v>
      </c>
      <c r="G22" s="129">
        <v>60.41</v>
      </c>
      <c r="H22" s="130">
        <f t="shared" si="1"/>
        <v>1.4589014999999999E-2</v>
      </c>
      <c r="I22" s="34">
        <f>0.2415*G22</f>
        <v>14.589014999999998</v>
      </c>
    </row>
    <row r="23" spans="1:9" hidden="1">
      <c r="A23" s="30">
        <v>9</v>
      </c>
      <c r="B23" s="62" t="s">
        <v>94</v>
      </c>
      <c r="C23" s="63" t="s">
        <v>50</v>
      </c>
      <c r="D23" s="62" t="s">
        <v>51</v>
      </c>
      <c r="E23" s="128">
        <v>10</v>
      </c>
      <c r="F23" s="129">
        <f>SUM(E23/100)</f>
        <v>0.1</v>
      </c>
      <c r="G23" s="129">
        <v>531.55999999999995</v>
      </c>
      <c r="H23" s="130">
        <f t="shared" si="1"/>
        <v>5.3156000000000002E-2</v>
      </c>
      <c r="I23" s="34">
        <f>0.1*G23</f>
        <v>53.155999999999999</v>
      </c>
    </row>
    <row r="24" spans="1:9" hidden="1">
      <c r="A24" s="30">
        <v>10</v>
      </c>
      <c r="B24" s="62" t="s">
        <v>95</v>
      </c>
      <c r="C24" s="63" t="s">
        <v>50</v>
      </c>
      <c r="D24" s="62" t="s">
        <v>51</v>
      </c>
      <c r="E24" s="128">
        <v>4.25</v>
      </c>
      <c r="F24" s="129">
        <f>SUM(E24/100)</f>
        <v>4.2500000000000003E-2</v>
      </c>
      <c r="G24" s="129">
        <v>710.37</v>
      </c>
      <c r="H24" s="130">
        <f t="shared" si="1"/>
        <v>3.0190725000000005E-2</v>
      </c>
      <c r="I24" s="34">
        <f>0.0425*G24</f>
        <v>30.190725000000004</v>
      </c>
    </row>
    <row r="25" spans="1:9" hidden="1">
      <c r="A25" s="30">
        <v>11</v>
      </c>
      <c r="B25" s="62" t="s">
        <v>110</v>
      </c>
      <c r="C25" s="63" t="s">
        <v>50</v>
      </c>
      <c r="D25" s="62" t="s">
        <v>51</v>
      </c>
      <c r="E25" s="128">
        <v>9.5</v>
      </c>
      <c r="F25" s="129">
        <v>9.5000000000000001E-2</v>
      </c>
      <c r="G25" s="129">
        <v>294.77999999999997</v>
      </c>
      <c r="H25" s="130">
        <f>G25*F25/1000</f>
        <v>2.8004099999999997E-2</v>
      </c>
      <c r="I25" s="34">
        <f>0.095*G25</f>
        <v>28.004099999999998</v>
      </c>
    </row>
    <row r="26" spans="1:9" ht="18.75" customHeight="1">
      <c r="A26" s="30">
        <v>4</v>
      </c>
      <c r="B26" s="155" t="s">
        <v>174</v>
      </c>
      <c r="C26" s="182" t="s">
        <v>25</v>
      </c>
      <c r="D26" s="155" t="s">
        <v>175</v>
      </c>
      <c r="E26" s="205">
        <v>2.2400000000000002</v>
      </c>
      <c r="F26" s="129">
        <f>E26*258</f>
        <v>577.92000000000007</v>
      </c>
      <c r="G26" s="129">
        <v>10.39</v>
      </c>
      <c r="H26" s="66">
        <f>SUM(F26*G26/1000)</f>
        <v>6.0045888000000014</v>
      </c>
      <c r="I26" s="13">
        <f>F26/12*G26</f>
        <v>500.38240000000008</v>
      </c>
    </row>
    <row r="27" spans="1:9">
      <c r="A27" s="242" t="s">
        <v>78</v>
      </c>
      <c r="B27" s="242"/>
      <c r="C27" s="242"/>
      <c r="D27" s="242"/>
      <c r="E27" s="242"/>
      <c r="F27" s="242"/>
      <c r="G27" s="242"/>
      <c r="H27" s="242"/>
      <c r="I27" s="242"/>
    </row>
    <row r="28" spans="1:9" ht="18.75" customHeight="1">
      <c r="A28" s="30"/>
      <c r="B28" s="81" t="s">
        <v>28</v>
      </c>
      <c r="C28" s="63"/>
      <c r="D28" s="62"/>
      <c r="E28" s="64"/>
      <c r="F28" s="65"/>
      <c r="G28" s="65"/>
      <c r="H28" s="66"/>
      <c r="I28" s="13"/>
    </row>
    <row r="29" spans="1:9" ht="18" customHeight="1">
      <c r="A29" s="30">
        <v>5</v>
      </c>
      <c r="B29" s="62" t="s">
        <v>97</v>
      </c>
      <c r="C29" s="63" t="s">
        <v>82</v>
      </c>
      <c r="D29" s="155" t="s">
        <v>177</v>
      </c>
      <c r="E29" s="65">
        <v>372.4</v>
      </c>
      <c r="F29" s="65">
        <f>SUM(E29*52/1000)</f>
        <v>19.364799999999999</v>
      </c>
      <c r="G29" s="129">
        <v>212.62</v>
      </c>
      <c r="H29" s="66">
        <f t="shared" ref="H29:H32" si="2">SUM(F29*G29/1000)</f>
        <v>4.1173437759999993</v>
      </c>
      <c r="I29" s="13">
        <f>19.3648/6*G29</f>
        <v>686.22396266666669</v>
      </c>
    </row>
    <row r="30" spans="1:9" ht="46.5" customHeight="1">
      <c r="A30" s="30">
        <v>6</v>
      </c>
      <c r="B30" s="62" t="s">
        <v>108</v>
      </c>
      <c r="C30" s="63" t="s">
        <v>82</v>
      </c>
      <c r="D30" s="155" t="s">
        <v>176</v>
      </c>
      <c r="E30" s="65">
        <v>195.5</v>
      </c>
      <c r="F30" s="65">
        <f>SUM(E30*78/1000)</f>
        <v>15.249000000000001</v>
      </c>
      <c r="G30" s="129">
        <v>352.77</v>
      </c>
      <c r="H30" s="66">
        <f t="shared" si="2"/>
        <v>5.3793897299999998</v>
      </c>
      <c r="I30" s="13">
        <f>15.249/6*G30</f>
        <v>896.56495499999994</v>
      </c>
    </row>
    <row r="31" spans="1:9" ht="18" hidden="1" customHeight="1">
      <c r="A31" s="30">
        <v>13</v>
      </c>
      <c r="B31" s="62" t="s">
        <v>27</v>
      </c>
      <c r="C31" s="63" t="s">
        <v>82</v>
      </c>
      <c r="D31" s="155" t="s">
        <v>184</v>
      </c>
      <c r="E31" s="65">
        <v>372.4</v>
      </c>
      <c r="F31" s="65">
        <f>SUM(E31/1000)</f>
        <v>0.37239999999999995</v>
      </c>
      <c r="G31" s="129">
        <v>4119.68</v>
      </c>
      <c r="H31" s="66">
        <f t="shared" si="2"/>
        <v>1.5341688319999998</v>
      </c>
      <c r="I31" s="13">
        <f>0.3724*G31</f>
        <v>1534.1688320000001</v>
      </c>
    </row>
    <row r="32" spans="1:9" ht="18.75" customHeight="1">
      <c r="A32" s="30">
        <v>7</v>
      </c>
      <c r="B32" s="62" t="s">
        <v>136</v>
      </c>
      <c r="C32" s="63" t="s">
        <v>38</v>
      </c>
      <c r="D32" s="155" t="s">
        <v>180</v>
      </c>
      <c r="E32" s="65">
        <v>2</v>
      </c>
      <c r="F32" s="65">
        <f>E32*155/100</f>
        <v>3.1</v>
      </c>
      <c r="G32" s="129">
        <v>1775.94</v>
      </c>
      <c r="H32" s="66">
        <f t="shared" si="2"/>
        <v>5.5054140000000009</v>
      </c>
      <c r="I32" s="13">
        <f>3.1/6*G32</f>
        <v>917.56900000000007</v>
      </c>
    </row>
    <row r="33" spans="1:9" hidden="1">
      <c r="A33" s="30"/>
      <c r="B33" s="62" t="s">
        <v>61</v>
      </c>
      <c r="C33" s="63" t="s">
        <v>32</v>
      </c>
      <c r="D33" s="62" t="s">
        <v>63</v>
      </c>
      <c r="E33" s="64"/>
      <c r="F33" s="65">
        <v>2</v>
      </c>
      <c r="G33" s="65">
        <v>250.92</v>
      </c>
      <c r="H33" s="66">
        <f t="shared" ref="H33:H34" si="3">SUM(F33*G33/1000)</f>
        <v>0.50183999999999995</v>
      </c>
      <c r="I33" s="13">
        <v>0</v>
      </c>
    </row>
    <row r="34" spans="1:9" hidden="1">
      <c r="A34" s="30"/>
      <c r="B34" s="62" t="s">
        <v>62</v>
      </c>
      <c r="C34" s="63" t="s">
        <v>31</v>
      </c>
      <c r="D34" s="62" t="s">
        <v>63</v>
      </c>
      <c r="E34" s="64"/>
      <c r="F34" s="65">
        <v>1</v>
      </c>
      <c r="G34" s="65">
        <v>1490.31</v>
      </c>
      <c r="H34" s="66">
        <f t="shared" si="3"/>
        <v>1.49031</v>
      </c>
      <c r="I34" s="13">
        <v>0</v>
      </c>
    </row>
    <row r="35" spans="1:9" hidden="1">
      <c r="A35" s="30"/>
      <c r="B35" s="81" t="s">
        <v>5</v>
      </c>
      <c r="C35" s="63"/>
      <c r="D35" s="62"/>
      <c r="E35" s="64"/>
      <c r="F35" s="65"/>
      <c r="G35" s="65"/>
      <c r="H35" s="66" t="s">
        <v>122</v>
      </c>
      <c r="I35" s="13"/>
    </row>
    <row r="36" spans="1:9" hidden="1">
      <c r="A36" s="30">
        <v>7</v>
      </c>
      <c r="B36" s="62" t="s">
        <v>26</v>
      </c>
      <c r="C36" s="63" t="s">
        <v>31</v>
      </c>
      <c r="D36" s="62"/>
      <c r="E36" s="64"/>
      <c r="F36" s="65">
        <v>5</v>
      </c>
      <c r="G36" s="129">
        <v>2083</v>
      </c>
      <c r="H36" s="66">
        <f t="shared" ref="H36:H43" si="4">SUM(F36*G36/1000)</f>
        <v>10.414999999999999</v>
      </c>
      <c r="I36" s="13">
        <f>F36/6*G36</f>
        <v>1735.8333333333335</v>
      </c>
    </row>
    <row r="37" spans="1:9" hidden="1">
      <c r="A37" s="30">
        <v>9</v>
      </c>
      <c r="B37" s="62" t="s">
        <v>113</v>
      </c>
      <c r="C37" s="63" t="s">
        <v>114</v>
      </c>
      <c r="D37" s="62" t="s">
        <v>63</v>
      </c>
      <c r="E37" s="64"/>
      <c r="F37" s="65">
        <v>26</v>
      </c>
      <c r="G37" s="129">
        <v>314</v>
      </c>
      <c r="H37" s="66">
        <f>G37*F37/1000</f>
        <v>8.1639999999999997</v>
      </c>
      <c r="I37" s="13">
        <v>0</v>
      </c>
    </row>
    <row r="38" spans="1:9" hidden="1">
      <c r="A38" s="30">
        <v>8</v>
      </c>
      <c r="B38" s="62" t="s">
        <v>137</v>
      </c>
      <c r="C38" s="63" t="s">
        <v>29</v>
      </c>
      <c r="D38" s="62" t="s">
        <v>115</v>
      </c>
      <c r="E38" s="64">
        <v>88</v>
      </c>
      <c r="F38" s="65">
        <f>E38*30/1000</f>
        <v>2.64</v>
      </c>
      <c r="G38" s="129">
        <v>2868.09</v>
      </c>
      <c r="H38" s="66">
        <f>G38*F38/1000</f>
        <v>7.5717576000000006</v>
      </c>
      <c r="I38" s="13">
        <f>F38/6*G38</f>
        <v>1261.9596000000001</v>
      </c>
    </row>
    <row r="39" spans="1:9" hidden="1">
      <c r="A39" s="30">
        <v>9</v>
      </c>
      <c r="B39" s="62" t="s">
        <v>64</v>
      </c>
      <c r="C39" s="63" t="s">
        <v>29</v>
      </c>
      <c r="D39" s="62" t="s">
        <v>81</v>
      </c>
      <c r="E39" s="65">
        <v>93.3</v>
      </c>
      <c r="F39" s="65">
        <f>SUM(E39*155/1000)</f>
        <v>14.461499999999999</v>
      </c>
      <c r="G39" s="129">
        <v>478.42</v>
      </c>
      <c r="H39" s="66">
        <f t="shared" si="4"/>
        <v>6.9186708299999999</v>
      </c>
      <c r="I39" s="13">
        <f>F39/6*G39</f>
        <v>1153.111805</v>
      </c>
    </row>
    <row r="40" spans="1:9" ht="45" hidden="1">
      <c r="A40" s="30">
        <v>10</v>
      </c>
      <c r="B40" s="62" t="s">
        <v>76</v>
      </c>
      <c r="C40" s="63" t="s">
        <v>82</v>
      </c>
      <c r="D40" s="62" t="s">
        <v>116</v>
      </c>
      <c r="E40" s="65">
        <v>34</v>
      </c>
      <c r="F40" s="65">
        <f>SUM(E40*35/1000)</f>
        <v>1.19</v>
      </c>
      <c r="G40" s="129">
        <v>7915.6</v>
      </c>
      <c r="H40" s="66">
        <f t="shared" si="4"/>
        <v>9.4195640000000012</v>
      </c>
      <c r="I40" s="13">
        <f>F40/6*G40</f>
        <v>1569.9273333333333</v>
      </c>
    </row>
    <row r="41" spans="1:9" hidden="1">
      <c r="A41" s="30">
        <v>11</v>
      </c>
      <c r="B41" s="62" t="s">
        <v>83</v>
      </c>
      <c r="C41" s="63" t="s">
        <v>82</v>
      </c>
      <c r="D41" s="62" t="s">
        <v>65</v>
      </c>
      <c r="E41" s="65">
        <v>72</v>
      </c>
      <c r="F41" s="65">
        <f>SUM(E41*45/1000)</f>
        <v>3.24</v>
      </c>
      <c r="G41" s="129">
        <v>584.74</v>
      </c>
      <c r="H41" s="66">
        <f t="shared" si="4"/>
        <v>1.8945576000000002</v>
      </c>
      <c r="I41" s="13">
        <f>(F41/7.5*1.5)*G41</f>
        <v>378.91152000000011</v>
      </c>
    </row>
    <row r="42" spans="1:9" hidden="1">
      <c r="A42" s="30">
        <v>12</v>
      </c>
      <c r="B42" s="62" t="s">
        <v>66</v>
      </c>
      <c r="C42" s="63" t="s">
        <v>32</v>
      </c>
      <c r="D42" s="62"/>
      <c r="E42" s="64"/>
      <c r="F42" s="65">
        <v>0.9</v>
      </c>
      <c r="G42" s="132">
        <v>800</v>
      </c>
      <c r="H42" s="66">
        <f t="shared" si="4"/>
        <v>0.72</v>
      </c>
      <c r="I42" s="13">
        <f>(F42/7.5*1.5)*G42</f>
        <v>144.00000000000003</v>
      </c>
    </row>
    <row r="43" spans="1:9" ht="30" hidden="1">
      <c r="A43" s="30">
        <v>13</v>
      </c>
      <c r="B43" s="46" t="s">
        <v>138</v>
      </c>
      <c r="C43" s="49" t="s">
        <v>29</v>
      </c>
      <c r="D43" s="62" t="s">
        <v>139</v>
      </c>
      <c r="E43" s="64">
        <v>1.8</v>
      </c>
      <c r="F43" s="65">
        <f>SUM(E43*12/1000)</f>
        <v>2.1600000000000001E-2</v>
      </c>
      <c r="G43" s="132">
        <v>270.61</v>
      </c>
      <c r="H43" s="66">
        <f t="shared" si="4"/>
        <v>5.8451760000000005E-3</v>
      </c>
      <c r="I43" s="13">
        <f t="shared" ref="I43" si="5">F43/6*G43</f>
        <v>0.97419600000000017</v>
      </c>
    </row>
    <row r="44" spans="1:9" hidden="1">
      <c r="A44" s="249" t="s">
        <v>124</v>
      </c>
      <c r="B44" s="250"/>
      <c r="C44" s="250"/>
      <c r="D44" s="250"/>
      <c r="E44" s="250"/>
      <c r="F44" s="250"/>
      <c r="G44" s="250"/>
      <c r="H44" s="250"/>
      <c r="I44" s="251"/>
    </row>
    <row r="45" spans="1:9" hidden="1">
      <c r="A45" s="30">
        <v>19</v>
      </c>
      <c r="B45" s="62" t="s">
        <v>117</v>
      </c>
      <c r="C45" s="63" t="s">
        <v>82</v>
      </c>
      <c r="D45" s="62" t="s">
        <v>40</v>
      </c>
      <c r="E45" s="64">
        <v>670.4</v>
      </c>
      <c r="F45" s="65">
        <f>SUM(E45*2/1000)</f>
        <v>1.3408</v>
      </c>
      <c r="G45" s="34">
        <v>1158.7</v>
      </c>
      <c r="H45" s="66">
        <f t="shared" ref="H45:H53" si="6">SUM(F45*G45/1000)</f>
        <v>1.5535849600000002</v>
      </c>
      <c r="I45" s="13">
        <f t="shared" ref="I45:I47" si="7">F45/2*G45</f>
        <v>776.79248000000007</v>
      </c>
    </row>
    <row r="46" spans="1:9" hidden="1">
      <c r="A46" s="30">
        <v>20</v>
      </c>
      <c r="B46" s="62" t="s">
        <v>33</v>
      </c>
      <c r="C46" s="63" t="s">
        <v>82</v>
      </c>
      <c r="D46" s="62" t="s">
        <v>40</v>
      </c>
      <c r="E46" s="64">
        <v>26</v>
      </c>
      <c r="F46" s="65">
        <f t="shared" ref="F46:F48" si="8">SUM(E46*2/1000)</f>
        <v>5.1999999999999998E-2</v>
      </c>
      <c r="G46" s="34">
        <v>790.38</v>
      </c>
      <c r="H46" s="66">
        <f t="shared" si="6"/>
        <v>4.1099759999999999E-2</v>
      </c>
      <c r="I46" s="13">
        <f t="shared" si="7"/>
        <v>20.549879999999998</v>
      </c>
    </row>
    <row r="47" spans="1:9" hidden="1">
      <c r="A47" s="30">
        <v>21</v>
      </c>
      <c r="B47" s="62" t="s">
        <v>34</v>
      </c>
      <c r="C47" s="63" t="s">
        <v>82</v>
      </c>
      <c r="D47" s="62" t="s">
        <v>40</v>
      </c>
      <c r="E47" s="64">
        <v>760.4</v>
      </c>
      <c r="F47" s="65">
        <f t="shared" si="8"/>
        <v>1.5207999999999999</v>
      </c>
      <c r="G47" s="34">
        <v>790.38</v>
      </c>
      <c r="H47" s="66">
        <f t="shared" si="6"/>
        <v>1.2020099040000001</v>
      </c>
      <c r="I47" s="13">
        <f t="shared" si="7"/>
        <v>601.004952</v>
      </c>
    </row>
    <row r="48" spans="1:9" hidden="1">
      <c r="A48" s="30">
        <v>22</v>
      </c>
      <c r="B48" s="62" t="s">
        <v>35</v>
      </c>
      <c r="C48" s="63" t="s">
        <v>82</v>
      </c>
      <c r="D48" s="62" t="s">
        <v>40</v>
      </c>
      <c r="E48" s="64">
        <v>1440</v>
      </c>
      <c r="F48" s="65">
        <f t="shared" si="8"/>
        <v>2.88</v>
      </c>
      <c r="G48" s="34">
        <v>827.65</v>
      </c>
      <c r="H48" s="66">
        <f t="shared" si="6"/>
        <v>2.383632</v>
      </c>
      <c r="I48" s="13">
        <f>F48/2*G48</f>
        <v>1191.816</v>
      </c>
    </row>
    <row r="49" spans="1:9" hidden="1">
      <c r="A49" s="30">
        <v>23</v>
      </c>
      <c r="B49" s="62" t="s">
        <v>53</v>
      </c>
      <c r="C49" s="63" t="s">
        <v>82</v>
      </c>
      <c r="D49" s="62" t="s">
        <v>130</v>
      </c>
      <c r="E49" s="64">
        <v>2409</v>
      </c>
      <c r="F49" s="65">
        <f>SUM(E49*5/1000)</f>
        <v>12.045</v>
      </c>
      <c r="G49" s="34">
        <v>1655.27</v>
      </c>
      <c r="H49" s="66">
        <f t="shared" si="6"/>
        <v>19.937727149999997</v>
      </c>
      <c r="I49" s="13">
        <f>F49/5*G49</f>
        <v>3987.5454299999997</v>
      </c>
    </row>
    <row r="50" spans="1:9" ht="30" hidden="1">
      <c r="A50" s="30">
        <v>24</v>
      </c>
      <c r="B50" s="62" t="s">
        <v>84</v>
      </c>
      <c r="C50" s="63" t="s">
        <v>82</v>
      </c>
      <c r="D50" s="62" t="s">
        <v>40</v>
      </c>
      <c r="E50" s="64">
        <v>2409</v>
      </c>
      <c r="F50" s="65">
        <f>SUM(E50*2/1000)</f>
        <v>4.8179999999999996</v>
      </c>
      <c r="G50" s="34">
        <v>1655.27</v>
      </c>
      <c r="H50" s="66">
        <f t="shared" si="6"/>
        <v>7.975090859999999</v>
      </c>
      <c r="I50" s="13">
        <f>F50/2*G50</f>
        <v>3987.5454299999997</v>
      </c>
    </row>
    <row r="51" spans="1:9" ht="30" hidden="1">
      <c r="A51" s="30">
        <v>25</v>
      </c>
      <c r="B51" s="62" t="s">
        <v>85</v>
      </c>
      <c r="C51" s="63" t="s">
        <v>36</v>
      </c>
      <c r="D51" s="62" t="s">
        <v>40</v>
      </c>
      <c r="E51" s="64">
        <v>10</v>
      </c>
      <c r="F51" s="65">
        <f>SUM(E51*2/100)</f>
        <v>0.2</v>
      </c>
      <c r="G51" s="34">
        <v>3724.37</v>
      </c>
      <c r="H51" s="66">
        <f>SUM(F51*G51/1000)</f>
        <v>0.74487400000000004</v>
      </c>
      <c r="I51" s="13">
        <f t="shared" ref="I51:I52" si="9">F51/2*G51</f>
        <v>372.43700000000001</v>
      </c>
    </row>
    <row r="52" spans="1:9" hidden="1">
      <c r="A52" s="30">
        <v>26</v>
      </c>
      <c r="B52" s="62" t="s">
        <v>37</v>
      </c>
      <c r="C52" s="63" t="s">
        <v>38</v>
      </c>
      <c r="D52" s="62" t="s">
        <v>40</v>
      </c>
      <c r="E52" s="64">
        <v>1</v>
      </c>
      <c r="F52" s="65">
        <v>0.02</v>
      </c>
      <c r="G52" s="34">
        <v>7709.44</v>
      </c>
      <c r="H52" s="66">
        <f t="shared" si="6"/>
        <v>0.15418879999999999</v>
      </c>
      <c r="I52" s="13">
        <f t="shared" si="9"/>
        <v>77.094399999999993</v>
      </c>
    </row>
    <row r="53" spans="1:9" hidden="1">
      <c r="A53" s="30">
        <v>14</v>
      </c>
      <c r="B53" s="62" t="s">
        <v>39</v>
      </c>
      <c r="C53" s="63" t="s">
        <v>98</v>
      </c>
      <c r="D53" s="62" t="s">
        <v>67</v>
      </c>
      <c r="E53" s="64">
        <v>80</v>
      </c>
      <c r="F53" s="65">
        <f>SUM(E53)*3</f>
        <v>240</v>
      </c>
      <c r="G53" s="102">
        <v>89.59</v>
      </c>
      <c r="H53" s="66">
        <f t="shared" si="6"/>
        <v>21.501600000000003</v>
      </c>
      <c r="I53" s="13">
        <v>0</v>
      </c>
    </row>
    <row r="54" spans="1:9">
      <c r="A54" s="249" t="s">
        <v>151</v>
      </c>
      <c r="B54" s="250"/>
      <c r="C54" s="250"/>
      <c r="D54" s="250"/>
      <c r="E54" s="250"/>
      <c r="F54" s="250"/>
      <c r="G54" s="250"/>
      <c r="H54" s="250"/>
      <c r="I54" s="251"/>
    </row>
    <row r="55" spans="1:9" hidden="1">
      <c r="A55" s="30"/>
      <c r="B55" s="81" t="s">
        <v>41</v>
      </c>
      <c r="C55" s="63"/>
      <c r="D55" s="62"/>
      <c r="E55" s="64"/>
      <c r="F55" s="65"/>
      <c r="G55" s="65"/>
      <c r="H55" s="66"/>
      <c r="I55" s="13"/>
    </row>
    <row r="56" spans="1:9" hidden="1">
      <c r="A56" s="30">
        <v>15</v>
      </c>
      <c r="B56" s="71" t="s">
        <v>120</v>
      </c>
      <c r="C56" s="72" t="s">
        <v>121</v>
      </c>
      <c r="D56" s="71" t="s">
        <v>40</v>
      </c>
      <c r="E56" s="73">
        <v>2</v>
      </c>
      <c r="F56" s="74">
        <v>4</v>
      </c>
      <c r="G56" s="13">
        <v>237.1</v>
      </c>
      <c r="H56" s="66">
        <f t="shared" ref="H56" si="10">SUM(F56*G56/1000)</f>
        <v>0.94840000000000002</v>
      </c>
      <c r="I56" s="13">
        <f>F56/2*G56</f>
        <v>474.2</v>
      </c>
    </row>
    <row r="57" spans="1:9" hidden="1">
      <c r="A57" s="30">
        <v>16</v>
      </c>
      <c r="B57" s="62" t="s">
        <v>119</v>
      </c>
      <c r="C57" s="63" t="s">
        <v>80</v>
      </c>
      <c r="D57" s="62" t="s">
        <v>99</v>
      </c>
      <c r="E57" s="64">
        <v>3.8</v>
      </c>
      <c r="F57" s="65">
        <f>SUM(E57*6/100)</f>
        <v>0.22799999999999998</v>
      </c>
      <c r="G57" s="13">
        <v>2029.3</v>
      </c>
      <c r="H57" s="66">
        <f>SUM(F57*G57/1000)</f>
        <v>0.46268039999999994</v>
      </c>
      <c r="I57" s="13">
        <f>F57/6*G57</f>
        <v>77.113399999999999</v>
      </c>
    </row>
    <row r="58" spans="1:9" hidden="1">
      <c r="A58" s="30"/>
      <c r="B58" s="62" t="s">
        <v>140</v>
      </c>
      <c r="C58" s="63" t="s">
        <v>141</v>
      </c>
      <c r="D58" s="62" t="s">
        <v>63</v>
      </c>
      <c r="E58" s="64"/>
      <c r="F58" s="65">
        <v>3</v>
      </c>
      <c r="G58" s="13">
        <v>1582.05</v>
      </c>
      <c r="H58" s="66">
        <f>SUM(F58*G58/1000)</f>
        <v>4.7461499999999992</v>
      </c>
      <c r="I58" s="13">
        <v>0</v>
      </c>
    </row>
    <row r="59" spans="1:9" ht="15.75" customHeight="1">
      <c r="A59" s="30"/>
      <c r="B59" s="82" t="s">
        <v>42</v>
      </c>
      <c r="C59" s="72"/>
      <c r="D59" s="71"/>
      <c r="E59" s="73"/>
      <c r="F59" s="74"/>
      <c r="G59" s="13"/>
      <c r="H59" s="75"/>
      <c r="I59" s="13"/>
    </row>
    <row r="60" spans="1:9" hidden="1">
      <c r="A60" s="30"/>
      <c r="B60" s="71" t="s">
        <v>142</v>
      </c>
      <c r="C60" s="72" t="s">
        <v>50</v>
      </c>
      <c r="D60" s="71" t="s">
        <v>51</v>
      </c>
      <c r="E60" s="73">
        <v>110</v>
      </c>
      <c r="F60" s="74">
        <f>E60/100</f>
        <v>1.1000000000000001</v>
      </c>
      <c r="G60" s="13">
        <v>1040.8399999999999</v>
      </c>
      <c r="H60" s="75">
        <f>F60*G60/1000</f>
        <v>1.1449240000000001</v>
      </c>
      <c r="I60" s="13">
        <v>0</v>
      </c>
    </row>
    <row r="61" spans="1:9" ht="16.5" customHeight="1">
      <c r="A61" s="30">
        <v>8</v>
      </c>
      <c r="B61" s="71" t="s">
        <v>109</v>
      </c>
      <c r="C61" s="72" t="s">
        <v>25</v>
      </c>
      <c r="D61" s="71" t="s">
        <v>184</v>
      </c>
      <c r="E61" s="73">
        <v>100</v>
      </c>
      <c r="F61" s="76">
        <f>E61*12</f>
        <v>1200</v>
      </c>
      <c r="G61" s="56">
        <v>1.4</v>
      </c>
      <c r="H61" s="74">
        <f>F61*G61/1000</f>
        <v>1.68</v>
      </c>
      <c r="I61" s="13">
        <f>F61/12*G61</f>
        <v>140</v>
      </c>
    </row>
    <row r="62" spans="1:9">
      <c r="A62" s="30"/>
      <c r="B62" s="82" t="s">
        <v>43</v>
      </c>
      <c r="C62" s="72"/>
      <c r="D62" s="71"/>
      <c r="E62" s="73"/>
      <c r="F62" s="76"/>
      <c r="G62" s="76"/>
      <c r="H62" s="74" t="s">
        <v>122</v>
      </c>
      <c r="I62" s="13"/>
    </row>
    <row r="63" spans="1:9" hidden="1">
      <c r="A63" s="30">
        <v>18</v>
      </c>
      <c r="B63" s="14" t="s">
        <v>44</v>
      </c>
      <c r="C63" s="16" t="s">
        <v>98</v>
      </c>
      <c r="D63" s="14" t="s">
        <v>63</v>
      </c>
      <c r="E63" s="18">
        <v>8</v>
      </c>
      <c r="F63" s="65">
        <f>SUM(E63)</f>
        <v>8</v>
      </c>
      <c r="G63" s="34">
        <v>303.35000000000002</v>
      </c>
      <c r="H63" s="61">
        <f t="shared" ref="H63:H80" si="11">SUM(F63*G63/1000)</f>
        <v>2.4268000000000001</v>
      </c>
      <c r="I63" s="13">
        <f>G63</f>
        <v>303.35000000000002</v>
      </c>
    </row>
    <row r="64" spans="1:9" hidden="1">
      <c r="A64" s="30"/>
      <c r="B64" s="14" t="s">
        <v>45</v>
      </c>
      <c r="C64" s="16" t="s">
        <v>98</v>
      </c>
      <c r="D64" s="14" t="s">
        <v>63</v>
      </c>
      <c r="E64" s="18">
        <v>4</v>
      </c>
      <c r="F64" s="65">
        <f>SUM(E64)</f>
        <v>4</v>
      </c>
      <c r="G64" s="34">
        <v>104.01</v>
      </c>
      <c r="H64" s="61">
        <f t="shared" si="11"/>
        <v>0.41604000000000002</v>
      </c>
      <c r="I64" s="13">
        <v>0</v>
      </c>
    </row>
    <row r="65" spans="1:9">
      <c r="A65" s="30">
        <v>9</v>
      </c>
      <c r="B65" s="14" t="s">
        <v>46</v>
      </c>
      <c r="C65" s="16" t="s">
        <v>100</v>
      </c>
      <c r="D65" s="14"/>
      <c r="E65" s="64">
        <v>9962</v>
      </c>
      <c r="F65" s="13">
        <f>SUM(E65/100)</f>
        <v>99.62</v>
      </c>
      <c r="G65" s="34">
        <v>289.37</v>
      </c>
      <c r="H65" s="61">
        <f t="shared" si="11"/>
        <v>28.8270394</v>
      </c>
      <c r="I65" s="13">
        <f>F65*G65</f>
        <v>28827.039400000001</v>
      </c>
    </row>
    <row r="66" spans="1:9">
      <c r="A66" s="30">
        <v>10</v>
      </c>
      <c r="B66" s="14" t="s">
        <v>47</v>
      </c>
      <c r="C66" s="16" t="s">
        <v>101</v>
      </c>
      <c r="D66" s="14"/>
      <c r="E66" s="64">
        <v>9962</v>
      </c>
      <c r="F66" s="13">
        <f>SUM(E66/1000)</f>
        <v>9.9619999999999997</v>
      </c>
      <c r="G66" s="34">
        <v>225.35</v>
      </c>
      <c r="H66" s="61">
        <f t="shared" si="11"/>
        <v>2.2449366999999998</v>
      </c>
      <c r="I66" s="13">
        <f t="shared" ref="I66:I70" si="12">F66*G66</f>
        <v>2244.9366999999997</v>
      </c>
    </row>
    <row r="67" spans="1:9">
      <c r="A67" s="30">
        <v>11</v>
      </c>
      <c r="B67" s="14" t="s">
        <v>48</v>
      </c>
      <c r="C67" s="16" t="s">
        <v>72</v>
      </c>
      <c r="D67" s="14"/>
      <c r="E67" s="64">
        <v>806.3</v>
      </c>
      <c r="F67" s="13">
        <f>SUM(E67/100)</f>
        <v>8.0629999999999988</v>
      </c>
      <c r="G67" s="34">
        <v>2829.78</v>
      </c>
      <c r="H67" s="61">
        <f t="shared" si="11"/>
        <v>22.816516140000001</v>
      </c>
      <c r="I67" s="13">
        <f t="shared" si="12"/>
        <v>22816.51614</v>
      </c>
    </row>
    <row r="68" spans="1:9">
      <c r="A68" s="30">
        <v>12</v>
      </c>
      <c r="B68" s="89" t="s">
        <v>102</v>
      </c>
      <c r="C68" s="90" t="s">
        <v>32</v>
      </c>
      <c r="D68" s="91"/>
      <c r="E68" s="73">
        <v>9.4</v>
      </c>
      <c r="F68" s="92">
        <f>SUM(E68)</f>
        <v>9.4</v>
      </c>
      <c r="G68" s="133">
        <v>44.31</v>
      </c>
      <c r="H68" s="93">
        <f t="shared" si="11"/>
        <v>0.416514</v>
      </c>
      <c r="I68" s="13">
        <f t="shared" si="12"/>
        <v>416.51400000000001</v>
      </c>
    </row>
    <row r="69" spans="1:9">
      <c r="A69" s="30"/>
      <c r="B69" s="77" t="s">
        <v>103</v>
      </c>
      <c r="C69" s="16" t="s">
        <v>32</v>
      </c>
      <c r="D69" s="14"/>
      <c r="E69" s="18">
        <v>9.4</v>
      </c>
      <c r="F69" s="92">
        <f t="shared" ref="F69:F72" si="13">SUM(E69)</f>
        <v>9.4</v>
      </c>
      <c r="G69" s="34">
        <v>47.79</v>
      </c>
      <c r="H69" s="13">
        <f t="shared" si="11"/>
        <v>0.44922600000000001</v>
      </c>
      <c r="I69" s="13">
        <f t="shared" si="12"/>
        <v>449.226</v>
      </c>
    </row>
    <row r="70" spans="1:9" hidden="1">
      <c r="A70" s="30">
        <v>11</v>
      </c>
      <c r="B70" s="14" t="s">
        <v>54</v>
      </c>
      <c r="C70" s="16" t="s">
        <v>55</v>
      </c>
      <c r="D70" s="14" t="s">
        <v>51</v>
      </c>
      <c r="E70" s="18">
        <v>2</v>
      </c>
      <c r="F70" s="92">
        <f t="shared" si="13"/>
        <v>2</v>
      </c>
      <c r="G70" s="34">
        <v>68.040000000000006</v>
      </c>
      <c r="H70" s="13">
        <f t="shared" si="11"/>
        <v>0.13608000000000001</v>
      </c>
      <c r="I70" s="13">
        <f t="shared" si="12"/>
        <v>136.08000000000001</v>
      </c>
    </row>
    <row r="71" spans="1:9" ht="14.25" customHeight="1">
      <c r="A71" s="30"/>
      <c r="B71" s="136" t="s">
        <v>68</v>
      </c>
      <c r="C71" s="16"/>
      <c r="D71" s="14"/>
      <c r="E71" s="18"/>
      <c r="F71" s="13"/>
      <c r="G71" s="13"/>
      <c r="H71" s="13" t="s">
        <v>122</v>
      </c>
      <c r="I71" s="13"/>
    </row>
    <row r="72" spans="1:9" ht="30" hidden="1">
      <c r="A72" s="30"/>
      <c r="B72" s="14" t="s">
        <v>143</v>
      </c>
      <c r="C72" s="16" t="s">
        <v>98</v>
      </c>
      <c r="D72" s="14" t="s">
        <v>63</v>
      </c>
      <c r="E72" s="18">
        <v>2</v>
      </c>
      <c r="F72" s="92">
        <f t="shared" si="13"/>
        <v>2</v>
      </c>
      <c r="G72" s="13">
        <v>1543.4</v>
      </c>
      <c r="H72" s="13">
        <f t="shared" ref="H72:H74" si="14">SUM(F72*G72/1000)</f>
        <v>3.0868000000000002</v>
      </c>
      <c r="I72" s="13">
        <v>0</v>
      </c>
    </row>
    <row r="73" spans="1:9" ht="18.75" customHeight="1">
      <c r="A73" s="30">
        <v>13</v>
      </c>
      <c r="B73" s="14" t="s">
        <v>69</v>
      </c>
      <c r="C73" s="16" t="s">
        <v>70</v>
      </c>
      <c r="D73" s="14" t="s">
        <v>256</v>
      </c>
      <c r="E73" s="18">
        <v>2</v>
      </c>
      <c r="F73" s="13">
        <f>E73/10</f>
        <v>0.2</v>
      </c>
      <c r="G73" s="140">
        <v>684.19</v>
      </c>
      <c r="H73" s="13">
        <f t="shared" si="14"/>
        <v>0.13683800000000002</v>
      </c>
      <c r="I73" s="13">
        <f>G73*0.2</f>
        <v>136.83800000000002</v>
      </c>
    </row>
    <row r="74" spans="1:9" hidden="1">
      <c r="A74" s="30"/>
      <c r="B74" s="14" t="s">
        <v>144</v>
      </c>
      <c r="C74" s="16" t="s">
        <v>98</v>
      </c>
      <c r="D74" s="14" t="s">
        <v>63</v>
      </c>
      <c r="E74" s="18">
        <v>1</v>
      </c>
      <c r="F74" s="13">
        <f>SUM(E74)</f>
        <v>1</v>
      </c>
      <c r="G74" s="13">
        <v>1118.72</v>
      </c>
      <c r="H74" s="13">
        <f t="shared" si="14"/>
        <v>1.1187199999999999</v>
      </c>
      <c r="I74" s="13">
        <v>0</v>
      </c>
    </row>
    <row r="75" spans="1:9" hidden="1">
      <c r="A75" s="30"/>
      <c r="B75" s="46" t="s">
        <v>145</v>
      </c>
      <c r="C75" s="49" t="s">
        <v>98</v>
      </c>
      <c r="D75" s="14" t="s">
        <v>63</v>
      </c>
      <c r="E75" s="18">
        <v>1</v>
      </c>
      <c r="F75" s="13">
        <v>1</v>
      </c>
      <c r="G75" s="13">
        <v>1605.83</v>
      </c>
      <c r="H75" s="13">
        <f>SUM(F75*G75/1000)</f>
        <v>1.6058299999999999</v>
      </c>
      <c r="I75" s="13">
        <v>0</v>
      </c>
    </row>
    <row r="76" spans="1:9" ht="18" customHeight="1">
      <c r="A76" s="30">
        <v>14</v>
      </c>
      <c r="B76" s="46" t="s">
        <v>146</v>
      </c>
      <c r="C76" s="49" t="s">
        <v>98</v>
      </c>
      <c r="D76" s="14" t="s">
        <v>184</v>
      </c>
      <c r="E76" s="18">
        <v>1</v>
      </c>
      <c r="F76" s="13">
        <f>E76*12</f>
        <v>12</v>
      </c>
      <c r="G76" s="13">
        <v>55.55</v>
      </c>
      <c r="H76" s="13">
        <f t="shared" ref="H76" si="15">SUM(F76*G76/1000)</f>
        <v>0.66659999999999986</v>
      </c>
      <c r="I76" s="13">
        <f>F76/12*G76</f>
        <v>55.55</v>
      </c>
    </row>
    <row r="77" spans="1:9" ht="17.25" customHeight="1">
      <c r="A77" s="30"/>
      <c r="B77" s="100" t="s">
        <v>147</v>
      </c>
      <c r="C77" s="49"/>
      <c r="D77" s="14"/>
      <c r="E77" s="18"/>
      <c r="F77" s="13"/>
      <c r="G77" s="13"/>
      <c r="H77" s="61"/>
      <c r="I77" s="13"/>
    </row>
    <row r="78" spans="1:9" ht="19.5" customHeight="1">
      <c r="A78" s="30">
        <v>15</v>
      </c>
      <c r="B78" s="14" t="s">
        <v>148</v>
      </c>
      <c r="C78" s="30" t="s">
        <v>149</v>
      </c>
      <c r="D78" s="14"/>
      <c r="E78" s="18">
        <v>2409</v>
      </c>
      <c r="F78" s="13">
        <f>SUM(E78*12)</f>
        <v>28908</v>
      </c>
      <c r="G78" s="13">
        <v>2.37</v>
      </c>
      <c r="H78" s="61">
        <f t="shared" ref="H78" si="16">SUM(F78*G78/1000)</f>
        <v>68.511960000000002</v>
      </c>
      <c r="I78" s="13">
        <f>F78/12*G78</f>
        <v>5709.33</v>
      </c>
    </row>
    <row r="79" spans="1:9" hidden="1">
      <c r="A79" s="30"/>
      <c r="B79" s="79" t="s">
        <v>71</v>
      </c>
      <c r="C79" s="16"/>
      <c r="D79" s="14"/>
      <c r="E79" s="18"/>
      <c r="F79" s="13"/>
      <c r="G79" s="13" t="s">
        <v>122</v>
      </c>
      <c r="H79" s="13" t="s">
        <v>122</v>
      </c>
      <c r="I79" s="13"/>
    </row>
    <row r="80" spans="1:9" hidden="1">
      <c r="A80" s="30"/>
      <c r="B80" s="43" t="s">
        <v>111</v>
      </c>
      <c r="C80" s="16" t="s">
        <v>72</v>
      </c>
      <c r="D80" s="14"/>
      <c r="E80" s="18"/>
      <c r="F80" s="13">
        <v>0.1</v>
      </c>
      <c r="G80" s="13">
        <v>3619.09</v>
      </c>
      <c r="H80" s="13">
        <f t="shared" si="11"/>
        <v>0.36190900000000004</v>
      </c>
      <c r="I80" s="13">
        <v>0</v>
      </c>
    </row>
    <row r="81" spans="1:9" ht="28.5" hidden="1">
      <c r="A81" s="30"/>
      <c r="B81" s="101" t="s">
        <v>86</v>
      </c>
      <c r="C81" s="94"/>
      <c r="D81" s="95"/>
      <c r="E81" s="96"/>
      <c r="F81" s="97"/>
      <c r="G81" s="97"/>
      <c r="H81" s="98">
        <f>SUM(H56:H80)</f>
        <v>142.20396364000001</v>
      </c>
      <c r="I81" s="68"/>
    </row>
    <row r="82" spans="1:9" hidden="1">
      <c r="A82" s="30">
        <v>14</v>
      </c>
      <c r="B82" s="62" t="s">
        <v>104</v>
      </c>
      <c r="C82" s="16"/>
      <c r="D82" s="14"/>
      <c r="E82" s="57"/>
      <c r="F82" s="13">
        <v>1</v>
      </c>
      <c r="G82" s="13">
        <v>1428.4</v>
      </c>
      <c r="H82" s="61">
        <f>G82*F82/1000</f>
        <v>1.4284000000000001</v>
      </c>
      <c r="I82" s="13">
        <f>G82</f>
        <v>1428.4</v>
      </c>
    </row>
    <row r="83" spans="1:9">
      <c r="A83" s="225" t="s">
        <v>152</v>
      </c>
      <c r="B83" s="226"/>
      <c r="C83" s="226"/>
      <c r="D83" s="226"/>
      <c r="E83" s="226"/>
      <c r="F83" s="226"/>
      <c r="G83" s="226"/>
      <c r="H83" s="226"/>
      <c r="I83" s="227"/>
    </row>
    <row r="84" spans="1:9" ht="17.25" customHeight="1">
      <c r="A84" s="30">
        <v>16</v>
      </c>
      <c r="B84" s="62" t="s">
        <v>105</v>
      </c>
      <c r="C84" s="16" t="s">
        <v>52</v>
      </c>
      <c r="D84" s="99"/>
      <c r="E84" s="13">
        <v>2409</v>
      </c>
      <c r="F84" s="13">
        <f>SUM(E84*12)</f>
        <v>28908</v>
      </c>
      <c r="G84" s="13">
        <v>3.22</v>
      </c>
      <c r="H84" s="61">
        <f>SUM(F84*G84/1000)</f>
        <v>93.083760000000012</v>
      </c>
      <c r="I84" s="13">
        <f>F84/12*G84</f>
        <v>7756.9800000000005</v>
      </c>
    </row>
    <row r="85" spans="1:9" ht="33" customHeight="1">
      <c r="A85" s="30">
        <v>17</v>
      </c>
      <c r="B85" s="14" t="s">
        <v>73</v>
      </c>
      <c r="C85" s="16"/>
      <c r="D85" s="99"/>
      <c r="E85" s="64">
        <f>E84</f>
        <v>2409</v>
      </c>
      <c r="F85" s="13">
        <f>E85*12</f>
        <v>28908</v>
      </c>
      <c r="G85" s="13">
        <v>3.64</v>
      </c>
      <c r="H85" s="61">
        <f>F85*G85/1000</f>
        <v>105.22512</v>
      </c>
      <c r="I85" s="13">
        <f>F85/12*G85</f>
        <v>8768.76</v>
      </c>
    </row>
    <row r="86" spans="1:9">
      <c r="A86" s="30"/>
      <c r="B86" s="36" t="s">
        <v>75</v>
      </c>
      <c r="C86" s="79"/>
      <c r="D86" s="78"/>
      <c r="E86" s="68"/>
      <c r="F86" s="68"/>
      <c r="G86" s="68"/>
      <c r="H86" s="80">
        <f>H85</f>
        <v>105.22512</v>
      </c>
      <c r="I86" s="68">
        <f>I85+I84+I78+I76+I73+I69+I68+I67+I66+I65+I61+I32+I30+I29+I26+I18+I17+I16</f>
        <v>90400.53332433333</v>
      </c>
    </row>
    <row r="87" spans="1:9">
      <c r="A87" s="230" t="s">
        <v>57</v>
      </c>
      <c r="B87" s="231"/>
      <c r="C87" s="231"/>
      <c r="D87" s="231"/>
      <c r="E87" s="231"/>
      <c r="F87" s="231"/>
      <c r="G87" s="231"/>
      <c r="H87" s="231"/>
      <c r="I87" s="232"/>
    </row>
    <row r="88" spans="1:9">
      <c r="A88" s="222">
        <v>18</v>
      </c>
      <c r="B88" s="47" t="s">
        <v>227</v>
      </c>
      <c r="C88" s="48" t="s">
        <v>77</v>
      </c>
      <c r="D88" s="115" t="s">
        <v>258</v>
      </c>
      <c r="E88" s="34"/>
      <c r="F88" s="34">
        <v>4</v>
      </c>
      <c r="G88" s="34">
        <v>222.63</v>
      </c>
      <c r="H88" s="220"/>
      <c r="I88" s="221">
        <f>G88*1</f>
        <v>222.63</v>
      </c>
    </row>
    <row r="89" spans="1:9">
      <c r="A89" s="222">
        <v>19</v>
      </c>
      <c r="B89" s="47" t="s">
        <v>291</v>
      </c>
      <c r="C89" s="48" t="s">
        <v>77</v>
      </c>
      <c r="D89" s="115"/>
      <c r="E89" s="34"/>
      <c r="F89" s="34">
        <v>1</v>
      </c>
      <c r="G89" s="34">
        <v>222.63</v>
      </c>
      <c r="H89" s="220"/>
      <c r="I89" s="221">
        <v>0</v>
      </c>
    </row>
    <row r="90" spans="1:9" ht="17.25" customHeight="1">
      <c r="A90" s="30"/>
      <c r="B90" s="41" t="s">
        <v>49</v>
      </c>
      <c r="C90" s="37"/>
      <c r="D90" s="44"/>
      <c r="E90" s="37">
        <v>1</v>
      </c>
      <c r="F90" s="37"/>
      <c r="G90" s="37"/>
      <c r="H90" s="37"/>
      <c r="I90" s="32">
        <f>SUM(I88:I89)</f>
        <v>222.63</v>
      </c>
    </row>
    <row r="91" spans="1:9">
      <c r="A91" s="30"/>
      <c r="B91" s="43" t="s">
        <v>74</v>
      </c>
      <c r="C91" s="15"/>
      <c r="D91" s="15"/>
      <c r="E91" s="38"/>
      <c r="F91" s="38"/>
      <c r="G91" s="39"/>
      <c r="H91" s="39"/>
      <c r="I91" s="17">
        <v>0</v>
      </c>
    </row>
    <row r="92" spans="1:9">
      <c r="A92" s="45"/>
      <c r="B92" s="42" t="s">
        <v>133</v>
      </c>
      <c r="C92" s="33"/>
      <c r="D92" s="33"/>
      <c r="E92" s="33"/>
      <c r="F92" s="33"/>
      <c r="G92" s="33"/>
      <c r="H92" s="33"/>
      <c r="I92" s="40">
        <f>I86+I90</f>
        <v>90623.163324333334</v>
      </c>
    </row>
    <row r="93" spans="1:9" ht="15.75">
      <c r="A93" s="235" t="s">
        <v>292</v>
      </c>
      <c r="B93" s="235"/>
      <c r="C93" s="235"/>
      <c r="D93" s="235"/>
      <c r="E93" s="235"/>
      <c r="F93" s="235"/>
      <c r="G93" s="235"/>
      <c r="H93" s="235"/>
      <c r="I93" s="235"/>
    </row>
    <row r="94" spans="1:9" ht="15.75">
      <c r="A94" s="55"/>
      <c r="B94" s="236" t="s">
        <v>293</v>
      </c>
      <c r="C94" s="236"/>
      <c r="D94" s="236"/>
      <c r="E94" s="236"/>
      <c r="F94" s="236"/>
      <c r="G94" s="236"/>
      <c r="H94" s="60"/>
      <c r="I94" s="3"/>
    </row>
    <row r="95" spans="1:9">
      <c r="A95" s="134"/>
      <c r="B95" s="237" t="s">
        <v>6</v>
      </c>
      <c r="C95" s="237"/>
      <c r="D95" s="237"/>
      <c r="E95" s="237"/>
      <c r="F95" s="237"/>
      <c r="G95" s="237"/>
      <c r="H95" s="25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238" t="s">
        <v>7</v>
      </c>
      <c r="B97" s="238"/>
      <c r="C97" s="238"/>
      <c r="D97" s="238"/>
      <c r="E97" s="238"/>
      <c r="F97" s="238"/>
      <c r="G97" s="238"/>
      <c r="H97" s="238"/>
      <c r="I97" s="238"/>
    </row>
    <row r="98" spans="1:9" ht="15.75">
      <c r="A98" s="238" t="s">
        <v>8</v>
      </c>
      <c r="B98" s="238"/>
      <c r="C98" s="238"/>
      <c r="D98" s="238"/>
      <c r="E98" s="238"/>
      <c r="F98" s="238"/>
      <c r="G98" s="238"/>
      <c r="H98" s="238"/>
      <c r="I98" s="238"/>
    </row>
    <row r="99" spans="1:9" ht="15.75">
      <c r="A99" s="239" t="s">
        <v>58</v>
      </c>
      <c r="B99" s="239"/>
      <c r="C99" s="239"/>
      <c r="D99" s="239"/>
      <c r="E99" s="239"/>
      <c r="F99" s="239"/>
      <c r="G99" s="239"/>
      <c r="H99" s="239"/>
      <c r="I99" s="239"/>
    </row>
    <row r="100" spans="1:9" ht="15.75">
      <c r="A100" s="11"/>
    </row>
    <row r="101" spans="1:9" ht="15.75">
      <c r="A101" s="240" t="s">
        <v>9</v>
      </c>
      <c r="B101" s="240"/>
      <c r="C101" s="240"/>
      <c r="D101" s="240"/>
      <c r="E101" s="240"/>
      <c r="F101" s="240"/>
      <c r="G101" s="240"/>
      <c r="H101" s="240"/>
      <c r="I101" s="240"/>
    </row>
    <row r="102" spans="1:9" ht="15.75">
      <c r="A102" s="4"/>
    </row>
    <row r="103" spans="1:9" ht="15.75">
      <c r="B103" s="139" t="s">
        <v>10</v>
      </c>
      <c r="C103" s="241" t="s">
        <v>127</v>
      </c>
      <c r="D103" s="241"/>
      <c r="E103" s="241"/>
      <c r="F103" s="58"/>
      <c r="I103" s="137"/>
    </row>
    <row r="104" spans="1:9">
      <c r="A104" s="134"/>
      <c r="C104" s="237" t="s">
        <v>11</v>
      </c>
      <c r="D104" s="237"/>
      <c r="E104" s="237"/>
      <c r="F104" s="25"/>
      <c r="I104" s="138" t="s">
        <v>12</v>
      </c>
    </row>
    <row r="105" spans="1:9" ht="15.75">
      <c r="A105" s="26"/>
      <c r="C105" s="12"/>
      <c r="D105" s="12"/>
      <c r="G105" s="12"/>
      <c r="H105" s="12"/>
    </row>
    <row r="106" spans="1:9" ht="15.75">
      <c r="B106" s="139" t="s">
        <v>13</v>
      </c>
      <c r="C106" s="233"/>
      <c r="D106" s="233"/>
      <c r="E106" s="233"/>
      <c r="F106" s="59"/>
      <c r="I106" s="137"/>
    </row>
    <row r="107" spans="1:9">
      <c r="A107" s="134"/>
      <c r="C107" s="234" t="s">
        <v>11</v>
      </c>
      <c r="D107" s="234"/>
      <c r="E107" s="234"/>
      <c r="F107" s="134"/>
      <c r="I107" s="138" t="s">
        <v>12</v>
      </c>
    </row>
    <row r="108" spans="1:9" ht="15.75">
      <c r="A108" s="4" t="s">
        <v>14</v>
      </c>
    </row>
    <row r="109" spans="1:9">
      <c r="A109" s="228" t="s">
        <v>15</v>
      </c>
      <c r="B109" s="228"/>
      <c r="C109" s="228"/>
      <c r="D109" s="228"/>
      <c r="E109" s="228"/>
      <c r="F109" s="228"/>
      <c r="G109" s="228"/>
      <c r="H109" s="228"/>
      <c r="I109" s="228"/>
    </row>
    <row r="110" spans="1:9" ht="43.5" customHeight="1">
      <c r="A110" s="229" t="s">
        <v>16</v>
      </c>
      <c r="B110" s="229"/>
      <c r="C110" s="229"/>
      <c r="D110" s="229"/>
      <c r="E110" s="229"/>
      <c r="F110" s="229"/>
      <c r="G110" s="229"/>
      <c r="H110" s="229"/>
      <c r="I110" s="229"/>
    </row>
    <row r="111" spans="1:9" ht="37.5" customHeight="1">
      <c r="A111" s="229" t="s">
        <v>17</v>
      </c>
      <c r="B111" s="229"/>
      <c r="C111" s="229"/>
      <c r="D111" s="229"/>
      <c r="E111" s="229"/>
      <c r="F111" s="229"/>
      <c r="G111" s="229"/>
      <c r="H111" s="229"/>
      <c r="I111" s="229"/>
    </row>
    <row r="112" spans="1:9" ht="33.75" customHeight="1">
      <c r="A112" s="229" t="s">
        <v>21</v>
      </c>
      <c r="B112" s="229"/>
      <c r="C112" s="229"/>
      <c r="D112" s="229"/>
      <c r="E112" s="229"/>
      <c r="F112" s="229"/>
      <c r="G112" s="229"/>
      <c r="H112" s="229"/>
      <c r="I112" s="229"/>
    </row>
    <row r="113" spans="1:9" ht="15.75">
      <c r="A113" s="229" t="s">
        <v>20</v>
      </c>
      <c r="B113" s="229"/>
      <c r="C113" s="229"/>
      <c r="D113" s="229"/>
      <c r="E113" s="229"/>
      <c r="F113" s="229"/>
      <c r="G113" s="229"/>
      <c r="H113" s="229"/>
      <c r="I113" s="229"/>
    </row>
  </sheetData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7:I27"/>
    <mergeCell ref="A44:I44"/>
    <mergeCell ref="A54:I54"/>
    <mergeCell ref="A83:I83"/>
    <mergeCell ref="A87:I87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31496062992125984" right="0.11811023622047245" top="0.15748031496062992" bottom="0.15748031496062992" header="0.31496062992125984" footer="0.31496062992125984"/>
  <pageSetup paperSize="9" scale="6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3"/>
  <sheetViews>
    <sheetView topLeftCell="A54" workbookViewId="0">
      <selection activeCell="A93" sqref="A93:I93"/>
    </sheetView>
  </sheetViews>
  <sheetFormatPr defaultRowHeight="15"/>
  <cols>
    <col min="1" max="1" width="10.5703125" customWidth="1"/>
    <col min="2" max="2" width="46.85546875" customWidth="1"/>
    <col min="3" max="3" width="18.28515625" customWidth="1"/>
    <col min="4" max="4" width="25.7109375" customWidth="1"/>
    <col min="5" max="6" width="0" hidden="1" customWidth="1"/>
    <col min="7" max="7" width="17.85546875" customWidth="1"/>
    <col min="8" max="8" width="0" hidden="1" customWidth="1"/>
    <col min="9" max="9" width="18" customWidth="1"/>
  </cols>
  <sheetData>
    <row r="1" spans="1:9" ht="15.75">
      <c r="A1" s="28" t="s">
        <v>157</v>
      </c>
      <c r="I1" s="27"/>
    </row>
    <row r="2" spans="1:9" ht="15.75">
      <c r="A2" s="29" t="s">
        <v>59</v>
      </c>
    </row>
    <row r="3" spans="1:9" ht="15.75">
      <c r="A3" s="243" t="s">
        <v>160</v>
      </c>
      <c r="B3" s="243"/>
      <c r="C3" s="243"/>
      <c r="D3" s="243"/>
      <c r="E3" s="243"/>
      <c r="F3" s="243"/>
      <c r="G3" s="243"/>
      <c r="H3" s="243"/>
      <c r="I3" s="243"/>
    </row>
    <row r="4" spans="1:9" ht="30.75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9" ht="15.75">
      <c r="A5" s="243" t="s">
        <v>259</v>
      </c>
      <c r="B5" s="245"/>
      <c r="C5" s="245"/>
      <c r="D5" s="245"/>
      <c r="E5" s="245"/>
      <c r="F5" s="245"/>
      <c r="G5" s="245"/>
      <c r="H5" s="245"/>
      <c r="I5" s="245"/>
    </row>
    <row r="6" spans="1:9" ht="15.75">
      <c r="A6" s="2"/>
      <c r="B6" s="142"/>
      <c r="C6" s="142"/>
      <c r="D6" s="142"/>
      <c r="E6" s="142"/>
      <c r="F6" s="142"/>
      <c r="G6" s="142"/>
      <c r="H6" s="142"/>
      <c r="I6" s="31">
        <v>44074</v>
      </c>
    </row>
    <row r="7" spans="1:9" ht="15.75">
      <c r="B7" s="146"/>
      <c r="C7" s="146"/>
      <c r="D7" s="146"/>
      <c r="E7" s="3"/>
      <c r="F7" s="3"/>
      <c r="G7" s="3"/>
      <c r="H7" s="3"/>
    </row>
    <row r="8" spans="1:9" ht="97.5" customHeight="1">
      <c r="A8" s="252" t="s">
        <v>186</v>
      </c>
      <c r="B8" s="252"/>
      <c r="C8" s="252"/>
      <c r="D8" s="252"/>
      <c r="E8" s="252"/>
      <c r="F8" s="252"/>
      <c r="G8" s="252"/>
      <c r="H8" s="252"/>
      <c r="I8" s="252"/>
    </row>
    <row r="9" spans="1:9" ht="15.75">
      <c r="A9" s="4"/>
    </row>
    <row r="10" spans="1:9" ht="54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8" customHeight="1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8" customHeight="1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5" customHeight="1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4" si="1">SUM(F19*G19/1000)</f>
        <v>0.48973100000000003</v>
      </c>
      <c r="I19" s="34">
        <f>2.11*G19</f>
        <v>489.73099999999994</v>
      </c>
    </row>
    <row r="20" spans="1:9" hidden="1">
      <c r="A20" s="30">
        <v>6</v>
      </c>
      <c r="B20" s="62" t="s">
        <v>91</v>
      </c>
      <c r="C20" s="63" t="s">
        <v>80</v>
      </c>
      <c r="D20" s="62" t="s">
        <v>40</v>
      </c>
      <c r="E20" s="128">
        <v>2.4</v>
      </c>
      <c r="F20" s="129">
        <f>SUM(E20*2/100)</f>
        <v>4.8000000000000001E-2</v>
      </c>
      <c r="G20" s="129">
        <v>294.77999999999997</v>
      </c>
      <c r="H20" s="130">
        <f t="shared" si="1"/>
        <v>1.4149439999999999E-2</v>
      </c>
      <c r="I20" s="34">
        <f>0.048/2*G20</f>
        <v>7.0747199999999992</v>
      </c>
    </row>
    <row r="21" spans="1:9" hidden="1">
      <c r="A21" s="30">
        <v>7</v>
      </c>
      <c r="B21" s="62" t="s">
        <v>92</v>
      </c>
      <c r="C21" s="63" t="s">
        <v>50</v>
      </c>
      <c r="D21" s="62" t="s">
        <v>89</v>
      </c>
      <c r="E21" s="128">
        <v>317</v>
      </c>
      <c r="F21" s="129">
        <f>SUM(E21/100)</f>
        <v>3.17</v>
      </c>
      <c r="G21" s="129">
        <v>367.27</v>
      </c>
      <c r="H21" s="130">
        <f t="shared" si="1"/>
        <v>1.1642458999999998</v>
      </c>
      <c r="I21" s="34">
        <f>3.17*G21</f>
        <v>1164.2458999999999</v>
      </c>
    </row>
    <row r="22" spans="1:9" hidden="1">
      <c r="A22" s="30">
        <v>8</v>
      </c>
      <c r="B22" s="62" t="s">
        <v>93</v>
      </c>
      <c r="C22" s="63" t="s">
        <v>50</v>
      </c>
      <c r="D22" s="62" t="s">
        <v>89</v>
      </c>
      <c r="E22" s="131">
        <v>24.15</v>
      </c>
      <c r="F22" s="129">
        <f>SUM(E22/100)</f>
        <v>0.24149999999999999</v>
      </c>
      <c r="G22" s="129">
        <v>60.41</v>
      </c>
      <c r="H22" s="130">
        <f t="shared" si="1"/>
        <v>1.4589014999999999E-2</v>
      </c>
      <c r="I22" s="34">
        <f>0.2415*G22</f>
        <v>14.589014999999998</v>
      </c>
    </row>
    <row r="23" spans="1:9" hidden="1">
      <c r="A23" s="30">
        <v>9</v>
      </c>
      <c r="B23" s="62" t="s">
        <v>94</v>
      </c>
      <c r="C23" s="63" t="s">
        <v>50</v>
      </c>
      <c r="D23" s="62" t="s">
        <v>51</v>
      </c>
      <c r="E23" s="128">
        <v>10</v>
      </c>
      <c r="F23" s="129">
        <f>SUM(E23/100)</f>
        <v>0.1</v>
      </c>
      <c r="G23" s="129">
        <v>531.55999999999995</v>
      </c>
      <c r="H23" s="130">
        <f t="shared" si="1"/>
        <v>5.3156000000000002E-2</v>
      </c>
      <c r="I23" s="34">
        <f>0.1*G23</f>
        <v>53.155999999999999</v>
      </c>
    </row>
    <row r="24" spans="1:9" hidden="1">
      <c r="A24" s="30">
        <v>10</v>
      </c>
      <c r="B24" s="62" t="s">
        <v>95</v>
      </c>
      <c r="C24" s="63" t="s">
        <v>50</v>
      </c>
      <c r="D24" s="62" t="s">
        <v>51</v>
      </c>
      <c r="E24" s="128">
        <v>4.25</v>
      </c>
      <c r="F24" s="129">
        <f>SUM(E24/100)</f>
        <v>4.2500000000000003E-2</v>
      </c>
      <c r="G24" s="129">
        <v>710.37</v>
      </c>
      <c r="H24" s="130">
        <f t="shared" si="1"/>
        <v>3.0190725000000005E-2</v>
      </c>
      <c r="I24" s="34">
        <f>0.0425*G24</f>
        <v>30.190725000000004</v>
      </c>
    </row>
    <row r="25" spans="1:9" ht="30" hidden="1">
      <c r="A25" s="30">
        <v>11</v>
      </c>
      <c r="B25" s="62" t="s">
        <v>110</v>
      </c>
      <c r="C25" s="63" t="s">
        <v>50</v>
      </c>
      <c r="D25" s="62" t="s">
        <v>51</v>
      </c>
      <c r="E25" s="128">
        <v>9.5</v>
      </c>
      <c r="F25" s="129">
        <v>9.5000000000000001E-2</v>
      </c>
      <c r="G25" s="129">
        <v>294.77999999999997</v>
      </c>
      <c r="H25" s="130">
        <f>G25*F25/1000</f>
        <v>2.8004099999999997E-2</v>
      </c>
      <c r="I25" s="34">
        <f>0.095*G25</f>
        <v>28.004099999999998</v>
      </c>
    </row>
    <row r="26" spans="1:9" ht="22.5" customHeight="1">
      <c r="A26" s="30">
        <v>4</v>
      </c>
      <c r="B26" s="155" t="s">
        <v>174</v>
      </c>
      <c r="C26" s="182" t="s">
        <v>25</v>
      </c>
      <c r="D26" s="155" t="s">
        <v>175</v>
      </c>
      <c r="E26" s="205">
        <v>2.2400000000000002</v>
      </c>
      <c r="F26" s="129">
        <f>E26*258</f>
        <v>577.92000000000007</v>
      </c>
      <c r="G26" s="129">
        <v>10.39</v>
      </c>
      <c r="H26" s="66">
        <f>SUM(F26*G26/1000)</f>
        <v>6.0045888000000014</v>
      </c>
      <c r="I26" s="13">
        <f>F26/12*G26</f>
        <v>500.38240000000008</v>
      </c>
    </row>
    <row r="27" spans="1:9">
      <c r="A27" s="242" t="s">
        <v>78</v>
      </c>
      <c r="B27" s="242"/>
      <c r="C27" s="242"/>
      <c r="D27" s="242"/>
      <c r="E27" s="242"/>
      <c r="F27" s="242"/>
      <c r="G27" s="242"/>
      <c r="H27" s="242"/>
      <c r="I27" s="242"/>
    </row>
    <row r="28" spans="1:9" ht="16.5" customHeight="1">
      <c r="A28" s="30"/>
      <c r="B28" s="81" t="s">
        <v>28</v>
      </c>
      <c r="C28" s="63"/>
      <c r="D28" s="62"/>
      <c r="E28" s="64"/>
      <c r="F28" s="65"/>
      <c r="G28" s="65"/>
      <c r="H28" s="66"/>
      <c r="I28" s="13"/>
    </row>
    <row r="29" spans="1:9" ht="18.75" customHeight="1">
      <c r="A29" s="30">
        <v>5</v>
      </c>
      <c r="B29" s="62" t="s">
        <v>97</v>
      </c>
      <c r="C29" s="63" t="s">
        <v>82</v>
      </c>
      <c r="D29" s="155" t="s">
        <v>177</v>
      </c>
      <c r="E29" s="65">
        <v>372.4</v>
      </c>
      <c r="F29" s="65">
        <f>SUM(E29*52/1000)</f>
        <v>19.364799999999999</v>
      </c>
      <c r="G29" s="129">
        <v>212.62</v>
      </c>
      <c r="H29" s="66">
        <f t="shared" ref="H29:H34" si="2">SUM(F29*G29/1000)</f>
        <v>4.1173437759999993</v>
      </c>
      <c r="I29" s="13">
        <f>19.3648/6*G29</f>
        <v>686.22396266666669</v>
      </c>
    </row>
    <row r="30" spans="1:9" ht="33.75" customHeight="1">
      <c r="A30" s="30">
        <v>6</v>
      </c>
      <c r="B30" s="62" t="s">
        <v>108</v>
      </c>
      <c r="C30" s="63" t="s">
        <v>82</v>
      </c>
      <c r="D30" s="155" t="s">
        <v>176</v>
      </c>
      <c r="E30" s="65">
        <v>195.5</v>
      </c>
      <c r="F30" s="65">
        <f>SUM(E30*78/1000)</f>
        <v>15.249000000000001</v>
      </c>
      <c r="G30" s="129">
        <v>352.77</v>
      </c>
      <c r="H30" s="66">
        <f t="shared" si="2"/>
        <v>5.3793897299999998</v>
      </c>
      <c r="I30" s="13">
        <f>15.249/6*G30</f>
        <v>896.56495499999994</v>
      </c>
    </row>
    <row r="31" spans="1:9" hidden="1">
      <c r="A31" s="30">
        <v>13</v>
      </c>
      <c r="B31" s="62" t="s">
        <v>27</v>
      </c>
      <c r="C31" s="63" t="s">
        <v>82</v>
      </c>
      <c r="D31" s="155" t="s">
        <v>184</v>
      </c>
      <c r="E31" s="65">
        <v>372.4</v>
      </c>
      <c r="F31" s="65">
        <f>SUM(E31/1000)</f>
        <v>0.37239999999999995</v>
      </c>
      <c r="G31" s="129">
        <v>4119.68</v>
      </c>
      <c r="H31" s="66">
        <f t="shared" si="2"/>
        <v>1.5341688319999998</v>
      </c>
      <c r="I31" s="13">
        <f>0.3724*G31</f>
        <v>1534.1688320000001</v>
      </c>
    </row>
    <row r="32" spans="1:9" ht="19.5" customHeight="1">
      <c r="A32" s="30">
        <v>7</v>
      </c>
      <c r="B32" s="62" t="s">
        <v>136</v>
      </c>
      <c r="C32" s="63" t="s">
        <v>38</v>
      </c>
      <c r="D32" s="155" t="s">
        <v>180</v>
      </c>
      <c r="E32" s="65">
        <v>2</v>
      </c>
      <c r="F32" s="65">
        <f>E32*155/100</f>
        <v>3.1</v>
      </c>
      <c r="G32" s="129">
        <v>1775.94</v>
      </c>
      <c r="H32" s="66">
        <f t="shared" si="2"/>
        <v>5.5054140000000009</v>
      </c>
      <c r="I32" s="13">
        <f>3.1/6*G32</f>
        <v>917.56900000000007</v>
      </c>
    </row>
    <row r="33" spans="1:9" hidden="1">
      <c r="A33" s="30"/>
      <c r="B33" s="62" t="s">
        <v>61</v>
      </c>
      <c r="C33" s="63" t="s">
        <v>32</v>
      </c>
      <c r="D33" s="62" t="s">
        <v>63</v>
      </c>
      <c r="E33" s="64"/>
      <c r="F33" s="65">
        <v>2</v>
      </c>
      <c r="G33" s="65">
        <v>250.92</v>
      </c>
      <c r="H33" s="66">
        <f t="shared" si="2"/>
        <v>0.50183999999999995</v>
      </c>
      <c r="I33" s="13">
        <v>0</v>
      </c>
    </row>
    <row r="34" spans="1:9" hidden="1">
      <c r="A34" s="30"/>
      <c r="B34" s="62" t="s">
        <v>62</v>
      </c>
      <c r="C34" s="63" t="s">
        <v>31</v>
      </c>
      <c r="D34" s="62" t="s">
        <v>63</v>
      </c>
      <c r="E34" s="64"/>
      <c r="F34" s="65">
        <v>1</v>
      </c>
      <c r="G34" s="65">
        <v>1490.31</v>
      </c>
      <c r="H34" s="66">
        <f t="shared" si="2"/>
        <v>1.49031</v>
      </c>
      <c r="I34" s="13">
        <v>0</v>
      </c>
    </row>
    <row r="35" spans="1:9" hidden="1">
      <c r="A35" s="30"/>
      <c r="B35" s="81" t="s">
        <v>5</v>
      </c>
      <c r="C35" s="63"/>
      <c r="D35" s="62"/>
      <c r="E35" s="64"/>
      <c r="F35" s="65"/>
      <c r="G35" s="65"/>
      <c r="H35" s="66" t="s">
        <v>122</v>
      </c>
      <c r="I35" s="13"/>
    </row>
    <row r="36" spans="1:9" hidden="1">
      <c r="A36" s="30">
        <v>7</v>
      </c>
      <c r="B36" s="62" t="s">
        <v>26</v>
      </c>
      <c r="C36" s="63" t="s">
        <v>31</v>
      </c>
      <c r="D36" s="62"/>
      <c r="E36" s="64"/>
      <c r="F36" s="65">
        <v>5</v>
      </c>
      <c r="G36" s="129">
        <v>2083</v>
      </c>
      <c r="H36" s="66">
        <f t="shared" ref="H36:H43" si="3">SUM(F36*G36/1000)</f>
        <v>10.414999999999999</v>
      </c>
      <c r="I36" s="13">
        <f>F36/6*G36</f>
        <v>1735.8333333333335</v>
      </c>
    </row>
    <row r="37" spans="1:9" hidden="1">
      <c r="A37" s="30">
        <v>9</v>
      </c>
      <c r="B37" s="62" t="s">
        <v>113</v>
      </c>
      <c r="C37" s="63" t="s">
        <v>114</v>
      </c>
      <c r="D37" s="62" t="s">
        <v>63</v>
      </c>
      <c r="E37" s="64"/>
      <c r="F37" s="65">
        <v>26</v>
      </c>
      <c r="G37" s="129">
        <v>314</v>
      </c>
      <c r="H37" s="66">
        <f>G37*F37/1000</f>
        <v>8.1639999999999997</v>
      </c>
      <c r="I37" s="13">
        <v>0</v>
      </c>
    </row>
    <row r="38" spans="1:9" hidden="1">
      <c r="A38" s="30">
        <v>8</v>
      </c>
      <c r="B38" s="62" t="s">
        <v>137</v>
      </c>
      <c r="C38" s="63" t="s">
        <v>29</v>
      </c>
      <c r="D38" s="62" t="s">
        <v>115</v>
      </c>
      <c r="E38" s="64">
        <v>88</v>
      </c>
      <c r="F38" s="65">
        <f>E38*30/1000</f>
        <v>2.64</v>
      </c>
      <c r="G38" s="129">
        <v>2868.09</v>
      </c>
      <c r="H38" s="66">
        <f>G38*F38/1000</f>
        <v>7.5717576000000006</v>
      </c>
      <c r="I38" s="13">
        <f>F38/6*G38</f>
        <v>1261.9596000000001</v>
      </c>
    </row>
    <row r="39" spans="1:9" ht="30" hidden="1">
      <c r="A39" s="30">
        <v>9</v>
      </c>
      <c r="B39" s="62" t="s">
        <v>64</v>
      </c>
      <c r="C39" s="63" t="s">
        <v>29</v>
      </c>
      <c r="D39" s="62" t="s">
        <v>81</v>
      </c>
      <c r="E39" s="65">
        <v>93.3</v>
      </c>
      <c r="F39" s="65">
        <f>SUM(E39*155/1000)</f>
        <v>14.461499999999999</v>
      </c>
      <c r="G39" s="129">
        <v>478.42</v>
      </c>
      <c r="H39" s="66">
        <f t="shared" si="3"/>
        <v>6.9186708299999999</v>
      </c>
      <c r="I39" s="13">
        <f>F39/6*G39</f>
        <v>1153.111805</v>
      </c>
    </row>
    <row r="40" spans="1:9" ht="60" hidden="1">
      <c r="A40" s="30">
        <v>10</v>
      </c>
      <c r="B40" s="62" t="s">
        <v>76</v>
      </c>
      <c r="C40" s="63" t="s">
        <v>82</v>
      </c>
      <c r="D40" s="62" t="s">
        <v>116</v>
      </c>
      <c r="E40" s="65">
        <v>34</v>
      </c>
      <c r="F40" s="65">
        <f>SUM(E40*35/1000)</f>
        <v>1.19</v>
      </c>
      <c r="G40" s="129">
        <v>7915.6</v>
      </c>
      <c r="H40" s="66">
        <f t="shared" si="3"/>
        <v>9.4195640000000012</v>
      </c>
      <c r="I40" s="13">
        <f>F40/6*G40</f>
        <v>1569.9273333333333</v>
      </c>
    </row>
    <row r="41" spans="1:9" hidden="1">
      <c r="A41" s="30">
        <v>11</v>
      </c>
      <c r="B41" s="62" t="s">
        <v>83</v>
      </c>
      <c r="C41" s="63" t="s">
        <v>82</v>
      </c>
      <c r="D41" s="62" t="s">
        <v>65</v>
      </c>
      <c r="E41" s="65">
        <v>72</v>
      </c>
      <c r="F41" s="65">
        <f>SUM(E41*45/1000)</f>
        <v>3.24</v>
      </c>
      <c r="G41" s="129">
        <v>584.74</v>
      </c>
      <c r="H41" s="66">
        <f t="shared" si="3"/>
        <v>1.8945576000000002</v>
      </c>
      <c r="I41" s="13">
        <f>(F41/7.5*1.5)*G41</f>
        <v>378.91152000000011</v>
      </c>
    </row>
    <row r="42" spans="1:9" hidden="1">
      <c r="A42" s="30">
        <v>12</v>
      </c>
      <c r="B42" s="62" t="s">
        <v>66</v>
      </c>
      <c r="C42" s="63" t="s">
        <v>32</v>
      </c>
      <c r="D42" s="62"/>
      <c r="E42" s="64"/>
      <c r="F42" s="65">
        <v>0.9</v>
      </c>
      <c r="G42" s="132">
        <v>800</v>
      </c>
      <c r="H42" s="66">
        <f t="shared" si="3"/>
        <v>0.72</v>
      </c>
      <c r="I42" s="13">
        <f>(F42/7.5*1.5)*G42</f>
        <v>144.00000000000003</v>
      </c>
    </row>
    <row r="43" spans="1:9" ht="30" hidden="1">
      <c r="A43" s="30">
        <v>13</v>
      </c>
      <c r="B43" s="46" t="s">
        <v>138</v>
      </c>
      <c r="C43" s="49" t="s">
        <v>29</v>
      </c>
      <c r="D43" s="62" t="s">
        <v>139</v>
      </c>
      <c r="E43" s="64">
        <v>1.8</v>
      </c>
      <c r="F43" s="65">
        <f>SUM(E43*12/1000)</f>
        <v>2.1600000000000001E-2</v>
      </c>
      <c r="G43" s="132">
        <v>270.61</v>
      </c>
      <c r="H43" s="66">
        <f t="shared" si="3"/>
        <v>5.8451760000000005E-3</v>
      </c>
      <c r="I43" s="13">
        <f t="shared" ref="I43" si="4">F43/6*G43</f>
        <v>0.97419600000000017</v>
      </c>
    </row>
    <row r="44" spans="1:9" hidden="1">
      <c r="A44" s="249" t="s">
        <v>124</v>
      </c>
      <c r="B44" s="250"/>
      <c r="C44" s="250"/>
      <c r="D44" s="250"/>
      <c r="E44" s="250"/>
      <c r="F44" s="250"/>
      <c r="G44" s="250"/>
      <c r="H44" s="250"/>
      <c r="I44" s="251"/>
    </row>
    <row r="45" spans="1:9" hidden="1">
      <c r="A45" s="30">
        <v>19</v>
      </c>
      <c r="B45" s="62" t="s">
        <v>117</v>
      </c>
      <c r="C45" s="63" t="s">
        <v>82</v>
      </c>
      <c r="D45" s="62" t="s">
        <v>40</v>
      </c>
      <c r="E45" s="64">
        <v>670.4</v>
      </c>
      <c r="F45" s="65">
        <f>SUM(E45*2/1000)</f>
        <v>1.3408</v>
      </c>
      <c r="G45" s="34">
        <v>1158.7</v>
      </c>
      <c r="H45" s="66">
        <f t="shared" ref="H45:H53" si="5">SUM(F45*G45/1000)</f>
        <v>1.5535849600000002</v>
      </c>
      <c r="I45" s="13">
        <f t="shared" ref="I45:I47" si="6">F45/2*G45</f>
        <v>776.79248000000007</v>
      </c>
    </row>
    <row r="46" spans="1:9" hidden="1">
      <c r="A46" s="30">
        <v>20</v>
      </c>
      <c r="B46" s="62" t="s">
        <v>33</v>
      </c>
      <c r="C46" s="63" t="s">
        <v>82</v>
      </c>
      <c r="D46" s="62" t="s">
        <v>40</v>
      </c>
      <c r="E46" s="64">
        <v>26</v>
      </c>
      <c r="F46" s="65">
        <f t="shared" ref="F46:F48" si="7">SUM(E46*2/1000)</f>
        <v>5.1999999999999998E-2</v>
      </c>
      <c r="G46" s="34">
        <v>790.38</v>
      </c>
      <c r="H46" s="66">
        <f t="shared" si="5"/>
        <v>4.1099759999999999E-2</v>
      </c>
      <c r="I46" s="13">
        <f t="shared" si="6"/>
        <v>20.549879999999998</v>
      </c>
    </row>
    <row r="47" spans="1:9" hidden="1">
      <c r="A47" s="30">
        <v>21</v>
      </c>
      <c r="B47" s="62" t="s">
        <v>34</v>
      </c>
      <c r="C47" s="63" t="s">
        <v>82</v>
      </c>
      <c r="D47" s="62" t="s">
        <v>40</v>
      </c>
      <c r="E47" s="64">
        <v>760.4</v>
      </c>
      <c r="F47" s="65">
        <f t="shared" si="7"/>
        <v>1.5207999999999999</v>
      </c>
      <c r="G47" s="34">
        <v>790.38</v>
      </c>
      <c r="H47" s="66">
        <f t="shared" si="5"/>
        <v>1.2020099040000001</v>
      </c>
      <c r="I47" s="13">
        <f t="shared" si="6"/>
        <v>601.004952</v>
      </c>
    </row>
    <row r="48" spans="1:9" hidden="1">
      <c r="A48" s="30">
        <v>22</v>
      </c>
      <c r="B48" s="62" t="s">
        <v>35</v>
      </c>
      <c r="C48" s="63" t="s">
        <v>82</v>
      </c>
      <c r="D48" s="62" t="s">
        <v>40</v>
      </c>
      <c r="E48" s="64">
        <v>1440</v>
      </c>
      <c r="F48" s="65">
        <f t="shared" si="7"/>
        <v>2.88</v>
      </c>
      <c r="G48" s="34">
        <v>827.65</v>
      </c>
      <c r="H48" s="66">
        <f t="shared" si="5"/>
        <v>2.383632</v>
      </c>
      <c r="I48" s="13">
        <f>F48/2*G48</f>
        <v>1191.816</v>
      </c>
    </row>
    <row r="49" spans="1:9" hidden="1">
      <c r="A49" s="30">
        <v>23</v>
      </c>
      <c r="B49" s="62" t="s">
        <v>53</v>
      </c>
      <c r="C49" s="63" t="s">
        <v>82</v>
      </c>
      <c r="D49" s="62" t="s">
        <v>130</v>
      </c>
      <c r="E49" s="64">
        <v>2409</v>
      </c>
      <c r="F49" s="65">
        <f>SUM(E49*5/1000)</f>
        <v>12.045</v>
      </c>
      <c r="G49" s="34">
        <v>1655.27</v>
      </c>
      <c r="H49" s="66">
        <f t="shared" si="5"/>
        <v>19.937727149999997</v>
      </c>
      <c r="I49" s="13">
        <f>F49/5*G49</f>
        <v>3987.5454299999997</v>
      </c>
    </row>
    <row r="50" spans="1:9" ht="45" hidden="1">
      <c r="A50" s="30">
        <v>24</v>
      </c>
      <c r="B50" s="62" t="s">
        <v>84</v>
      </c>
      <c r="C50" s="63" t="s">
        <v>82</v>
      </c>
      <c r="D50" s="62" t="s">
        <v>40</v>
      </c>
      <c r="E50" s="64">
        <v>2409</v>
      </c>
      <c r="F50" s="65">
        <f>SUM(E50*2/1000)</f>
        <v>4.8179999999999996</v>
      </c>
      <c r="G50" s="34">
        <v>1655.27</v>
      </c>
      <c r="H50" s="66">
        <f t="shared" si="5"/>
        <v>7.975090859999999</v>
      </c>
      <c r="I50" s="13">
        <f>F50/2*G50</f>
        <v>3987.5454299999997</v>
      </c>
    </row>
    <row r="51" spans="1:9" ht="30" hidden="1">
      <c r="A51" s="30">
        <v>25</v>
      </c>
      <c r="B51" s="62" t="s">
        <v>85</v>
      </c>
      <c r="C51" s="63" t="s">
        <v>36</v>
      </c>
      <c r="D51" s="62" t="s">
        <v>40</v>
      </c>
      <c r="E51" s="64">
        <v>10</v>
      </c>
      <c r="F51" s="65">
        <f>SUM(E51*2/100)</f>
        <v>0.2</v>
      </c>
      <c r="G51" s="34">
        <v>3724.37</v>
      </c>
      <c r="H51" s="66">
        <f>SUM(F51*G51/1000)</f>
        <v>0.74487400000000004</v>
      </c>
      <c r="I51" s="13">
        <f t="shared" ref="I51:I52" si="8">F51/2*G51</f>
        <v>372.43700000000001</v>
      </c>
    </row>
    <row r="52" spans="1:9" hidden="1">
      <c r="A52" s="30">
        <v>26</v>
      </c>
      <c r="B52" s="62" t="s">
        <v>37</v>
      </c>
      <c r="C52" s="63" t="s">
        <v>38</v>
      </c>
      <c r="D52" s="62" t="s">
        <v>40</v>
      </c>
      <c r="E52" s="64">
        <v>1</v>
      </c>
      <c r="F52" s="65">
        <v>0.02</v>
      </c>
      <c r="G52" s="34">
        <v>7709.44</v>
      </c>
      <c r="H52" s="66">
        <f t="shared" si="5"/>
        <v>0.15418879999999999</v>
      </c>
      <c r="I52" s="13">
        <f t="shared" si="8"/>
        <v>77.094399999999993</v>
      </c>
    </row>
    <row r="53" spans="1:9" ht="18" hidden="1" customHeight="1">
      <c r="A53" s="30">
        <v>14</v>
      </c>
      <c r="B53" s="62" t="s">
        <v>39</v>
      </c>
      <c r="C53" s="63" t="s">
        <v>98</v>
      </c>
      <c r="D53" s="62" t="s">
        <v>67</v>
      </c>
      <c r="E53" s="64">
        <v>80</v>
      </c>
      <c r="F53" s="65">
        <f>SUM(E53)*3</f>
        <v>240</v>
      </c>
      <c r="G53" s="102">
        <v>89.59</v>
      </c>
      <c r="H53" s="66">
        <f t="shared" si="5"/>
        <v>21.501600000000003</v>
      </c>
      <c r="I53" s="13">
        <f>G53*240/3</f>
        <v>7167.2000000000007</v>
      </c>
    </row>
    <row r="54" spans="1:9" ht="15.75" customHeight="1">
      <c r="A54" s="249" t="s">
        <v>151</v>
      </c>
      <c r="B54" s="250"/>
      <c r="C54" s="250"/>
      <c r="D54" s="250"/>
      <c r="E54" s="250"/>
      <c r="F54" s="250"/>
      <c r="G54" s="250"/>
      <c r="H54" s="250"/>
      <c r="I54" s="251"/>
    </row>
    <row r="55" spans="1:9" hidden="1">
      <c r="A55" s="30"/>
      <c r="B55" s="81" t="s">
        <v>41</v>
      </c>
      <c r="C55" s="63"/>
      <c r="D55" s="62"/>
      <c r="E55" s="64"/>
      <c r="F55" s="65"/>
      <c r="G55" s="65"/>
      <c r="H55" s="66"/>
      <c r="I55" s="13"/>
    </row>
    <row r="56" spans="1:9" hidden="1">
      <c r="A56" s="30">
        <v>15</v>
      </c>
      <c r="B56" s="71" t="s">
        <v>120</v>
      </c>
      <c r="C56" s="72" t="s">
        <v>121</v>
      </c>
      <c r="D56" s="71" t="s">
        <v>40</v>
      </c>
      <c r="E56" s="73">
        <v>2</v>
      </c>
      <c r="F56" s="74">
        <v>4</v>
      </c>
      <c r="G56" s="13">
        <v>237.1</v>
      </c>
      <c r="H56" s="66">
        <f t="shared" ref="H56" si="9">SUM(F56*G56/1000)</f>
        <v>0.94840000000000002</v>
      </c>
      <c r="I56" s="13">
        <f>F56/2*G56</f>
        <v>474.2</v>
      </c>
    </row>
    <row r="57" spans="1:9" hidden="1">
      <c r="A57" s="30">
        <v>16</v>
      </c>
      <c r="B57" s="62" t="s">
        <v>119</v>
      </c>
      <c r="C57" s="63" t="s">
        <v>80</v>
      </c>
      <c r="D57" s="62" t="s">
        <v>99</v>
      </c>
      <c r="E57" s="64">
        <v>3.8</v>
      </c>
      <c r="F57" s="65">
        <f>SUM(E57*6/100)</f>
        <v>0.22799999999999998</v>
      </c>
      <c r="G57" s="13">
        <v>2029.3</v>
      </c>
      <c r="H57" s="66">
        <f>SUM(F57*G57/1000)</f>
        <v>0.46268039999999994</v>
      </c>
      <c r="I57" s="13">
        <f>F57/6*G57</f>
        <v>77.113399999999999</v>
      </c>
    </row>
    <row r="58" spans="1:9" hidden="1">
      <c r="A58" s="30">
        <v>8</v>
      </c>
      <c r="B58" s="62" t="s">
        <v>140</v>
      </c>
      <c r="C58" s="63" t="s">
        <v>141</v>
      </c>
      <c r="D58" s="62" t="s">
        <v>187</v>
      </c>
      <c r="E58" s="64"/>
      <c r="F58" s="65">
        <v>3</v>
      </c>
      <c r="G58" s="140">
        <v>1645</v>
      </c>
      <c r="H58" s="66">
        <f>SUM(F58*G58/1000)</f>
        <v>4.9349999999999996</v>
      </c>
      <c r="I58" s="13">
        <f>G58*1.5</f>
        <v>2467.5</v>
      </c>
    </row>
    <row r="59" spans="1:9" ht="16.5" customHeight="1">
      <c r="A59" s="30"/>
      <c r="B59" s="82" t="s">
        <v>42</v>
      </c>
      <c r="C59" s="72"/>
      <c r="D59" s="71"/>
      <c r="E59" s="73"/>
      <c r="F59" s="74"/>
      <c r="G59" s="13"/>
      <c r="H59" s="75"/>
      <c r="I59" s="13"/>
    </row>
    <row r="60" spans="1:9" hidden="1">
      <c r="A60" s="30"/>
      <c r="B60" s="71" t="s">
        <v>142</v>
      </c>
      <c r="C60" s="72" t="s">
        <v>50</v>
      </c>
      <c r="D60" s="71" t="s">
        <v>51</v>
      </c>
      <c r="E60" s="73">
        <v>110</v>
      </c>
      <c r="F60" s="74">
        <f>E60/100</f>
        <v>1.1000000000000001</v>
      </c>
      <c r="G60" s="13">
        <v>1040.8399999999999</v>
      </c>
      <c r="H60" s="75">
        <f>F60*G60/1000</f>
        <v>1.1449240000000001</v>
      </c>
      <c r="I60" s="13">
        <v>0</v>
      </c>
    </row>
    <row r="61" spans="1:9" ht="21" customHeight="1">
      <c r="A61" s="30">
        <v>8</v>
      </c>
      <c r="B61" s="71" t="s">
        <v>109</v>
      </c>
      <c r="C61" s="72" t="s">
        <v>25</v>
      </c>
      <c r="D61" s="71" t="s">
        <v>184</v>
      </c>
      <c r="E61" s="73">
        <v>100</v>
      </c>
      <c r="F61" s="76">
        <f>E61*12</f>
        <v>1200</v>
      </c>
      <c r="G61" s="56">
        <v>1.4</v>
      </c>
      <c r="H61" s="74">
        <f>F61*G61/1000</f>
        <v>1.68</v>
      </c>
      <c r="I61" s="13">
        <f>F61/12*G61</f>
        <v>140</v>
      </c>
    </row>
    <row r="62" spans="1:9" hidden="1">
      <c r="A62" s="30"/>
      <c r="B62" s="82" t="s">
        <v>43</v>
      </c>
      <c r="C62" s="72"/>
      <c r="D62" s="71"/>
      <c r="E62" s="73"/>
      <c r="F62" s="76"/>
      <c r="G62" s="76"/>
      <c r="H62" s="74" t="s">
        <v>122</v>
      </c>
      <c r="I62" s="13"/>
    </row>
    <row r="63" spans="1:9" hidden="1">
      <c r="A63" s="30">
        <v>18</v>
      </c>
      <c r="B63" s="14" t="s">
        <v>44</v>
      </c>
      <c r="C63" s="16" t="s">
        <v>98</v>
      </c>
      <c r="D63" s="14" t="s">
        <v>63</v>
      </c>
      <c r="E63" s="18">
        <v>8</v>
      </c>
      <c r="F63" s="65">
        <f>SUM(E63)</f>
        <v>8</v>
      </c>
      <c r="G63" s="34">
        <v>303.35000000000002</v>
      </c>
      <c r="H63" s="61">
        <f t="shared" ref="H63:H80" si="10">SUM(F63*G63/1000)</f>
        <v>2.4268000000000001</v>
      </c>
      <c r="I63" s="13">
        <f>G63</f>
        <v>303.35000000000002</v>
      </c>
    </row>
    <row r="64" spans="1:9" hidden="1">
      <c r="A64" s="30"/>
      <c r="B64" s="14" t="s">
        <v>45</v>
      </c>
      <c r="C64" s="16" t="s">
        <v>98</v>
      </c>
      <c r="D64" s="14" t="s">
        <v>63</v>
      </c>
      <c r="E64" s="18">
        <v>4</v>
      </c>
      <c r="F64" s="65">
        <f>SUM(E64)</f>
        <v>4</v>
      </c>
      <c r="G64" s="34">
        <v>104.01</v>
      </c>
      <c r="H64" s="61">
        <f t="shared" si="10"/>
        <v>0.41604000000000002</v>
      </c>
      <c r="I64" s="13">
        <v>0</v>
      </c>
    </row>
    <row r="65" spans="1:9" hidden="1">
      <c r="A65" s="30">
        <v>28</v>
      </c>
      <c r="B65" s="14" t="s">
        <v>46</v>
      </c>
      <c r="C65" s="16" t="s">
        <v>100</v>
      </c>
      <c r="D65" s="14" t="s">
        <v>51</v>
      </c>
      <c r="E65" s="64">
        <v>9962</v>
      </c>
      <c r="F65" s="13">
        <f>SUM(E65/100)</f>
        <v>99.62</v>
      </c>
      <c r="G65" s="34">
        <v>289.37</v>
      </c>
      <c r="H65" s="61">
        <f t="shared" si="10"/>
        <v>28.8270394</v>
      </c>
      <c r="I65" s="13">
        <f>F65*G65</f>
        <v>28827.039400000001</v>
      </c>
    </row>
    <row r="66" spans="1:9" hidden="1">
      <c r="A66" s="30">
        <v>29</v>
      </c>
      <c r="B66" s="14" t="s">
        <v>47</v>
      </c>
      <c r="C66" s="16" t="s">
        <v>101</v>
      </c>
      <c r="D66" s="14"/>
      <c r="E66" s="64">
        <v>9962</v>
      </c>
      <c r="F66" s="13">
        <f>SUM(E66/1000)</f>
        <v>9.9619999999999997</v>
      </c>
      <c r="G66" s="34">
        <v>225.35</v>
      </c>
      <c r="H66" s="61">
        <f t="shared" si="10"/>
        <v>2.2449366999999998</v>
      </c>
      <c r="I66" s="13">
        <f t="shared" ref="I66:I70" si="11">F66*G66</f>
        <v>2244.9366999999997</v>
      </c>
    </row>
    <row r="67" spans="1:9" hidden="1">
      <c r="A67" s="30">
        <v>30</v>
      </c>
      <c r="B67" s="14" t="s">
        <v>48</v>
      </c>
      <c r="C67" s="16" t="s">
        <v>72</v>
      </c>
      <c r="D67" s="14" t="s">
        <v>51</v>
      </c>
      <c r="E67" s="64">
        <v>806.3</v>
      </c>
      <c r="F67" s="13">
        <f>SUM(E67/100)</f>
        <v>8.0629999999999988</v>
      </c>
      <c r="G67" s="34">
        <v>2829.78</v>
      </c>
      <c r="H67" s="61">
        <f t="shared" si="10"/>
        <v>22.816516140000001</v>
      </c>
      <c r="I67" s="13">
        <f t="shared" si="11"/>
        <v>22816.51614</v>
      </c>
    </row>
    <row r="68" spans="1:9" hidden="1">
      <c r="A68" s="30">
        <v>31</v>
      </c>
      <c r="B68" s="89" t="s">
        <v>102</v>
      </c>
      <c r="C68" s="90" t="s">
        <v>32</v>
      </c>
      <c r="D68" s="91"/>
      <c r="E68" s="73">
        <v>9.4</v>
      </c>
      <c r="F68" s="92">
        <f>SUM(E68)</f>
        <v>9.4</v>
      </c>
      <c r="G68" s="133">
        <v>44.31</v>
      </c>
      <c r="H68" s="93">
        <f t="shared" si="10"/>
        <v>0.416514</v>
      </c>
      <c r="I68" s="13">
        <f t="shared" si="11"/>
        <v>416.51400000000001</v>
      </c>
    </row>
    <row r="69" spans="1:9" hidden="1">
      <c r="A69" s="30"/>
      <c r="B69" s="77" t="s">
        <v>103</v>
      </c>
      <c r="C69" s="16" t="s">
        <v>32</v>
      </c>
      <c r="D69" s="14"/>
      <c r="E69" s="18">
        <v>9.4</v>
      </c>
      <c r="F69" s="92">
        <f t="shared" ref="F69:F72" si="12">SUM(E69)</f>
        <v>9.4</v>
      </c>
      <c r="G69" s="34">
        <v>47.79</v>
      </c>
      <c r="H69" s="13">
        <f t="shared" si="10"/>
        <v>0.44922600000000001</v>
      </c>
      <c r="I69" s="13">
        <f t="shared" si="11"/>
        <v>449.226</v>
      </c>
    </row>
    <row r="70" spans="1:9" hidden="1">
      <c r="A70" s="30">
        <v>11</v>
      </c>
      <c r="B70" s="14" t="s">
        <v>54</v>
      </c>
      <c r="C70" s="16" t="s">
        <v>55</v>
      </c>
      <c r="D70" s="14" t="s">
        <v>51</v>
      </c>
      <c r="E70" s="18">
        <v>2</v>
      </c>
      <c r="F70" s="92">
        <f t="shared" si="12"/>
        <v>2</v>
      </c>
      <c r="G70" s="34">
        <v>68.040000000000006</v>
      </c>
      <c r="H70" s="13">
        <f t="shared" si="10"/>
        <v>0.13608000000000001</v>
      </c>
      <c r="I70" s="13">
        <f t="shared" si="11"/>
        <v>136.08000000000001</v>
      </c>
    </row>
    <row r="71" spans="1:9" ht="18" customHeight="1">
      <c r="A71" s="30"/>
      <c r="B71" s="143" t="s">
        <v>68</v>
      </c>
      <c r="C71" s="16"/>
      <c r="D71" s="14"/>
      <c r="E71" s="18"/>
      <c r="F71" s="13"/>
      <c r="G71" s="13"/>
      <c r="H71" s="13" t="s">
        <v>122</v>
      </c>
      <c r="I71" s="13"/>
    </row>
    <row r="72" spans="1:9" ht="30" hidden="1">
      <c r="A72" s="30"/>
      <c r="B72" s="14" t="s">
        <v>143</v>
      </c>
      <c r="C72" s="16" t="s">
        <v>98</v>
      </c>
      <c r="D72" s="14" t="s">
        <v>63</v>
      </c>
      <c r="E72" s="18">
        <v>2</v>
      </c>
      <c r="F72" s="92">
        <f t="shared" si="12"/>
        <v>2</v>
      </c>
      <c r="G72" s="13">
        <v>1543.4</v>
      </c>
      <c r="H72" s="13">
        <f t="shared" ref="H72:H74" si="13">SUM(F72*G72/1000)</f>
        <v>3.0868000000000002</v>
      </c>
      <c r="I72" s="13">
        <v>0</v>
      </c>
    </row>
    <row r="73" spans="1:9" ht="15.75" hidden="1" customHeight="1">
      <c r="A73" s="30">
        <v>11</v>
      </c>
      <c r="B73" s="14" t="s">
        <v>69</v>
      </c>
      <c r="C73" s="16" t="s">
        <v>70</v>
      </c>
      <c r="D73" s="14" t="s">
        <v>63</v>
      </c>
      <c r="E73" s="18">
        <v>2</v>
      </c>
      <c r="F73" s="13">
        <f>E73/10</f>
        <v>0.2</v>
      </c>
      <c r="G73" s="140">
        <v>684.19</v>
      </c>
      <c r="H73" s="13">
        <f t="shared" si="13"/>
        <v>0.13683800000000002</v>
      </c>
      <c r="I73" s="13">
        <f>G73*0.2</f>
        <v>136.83800000000002</v>
      </c>
    </row>
    <row r="74" spans="1:9" hidden="1">
      <c r="A74" s="30"/>
      <c r="B74" s="14" t="s">
        <v>144</v>
      </c>
      <c r="C74" s="16" t="s">
        <v>98</v>
      </c>
      <c r="D74" s="14" t="s">
        <v>63</v>
      </c>
      <c r="E74" s="18">
        <v>1</v>
      </c>
      <c r="F74" s="13">
        <f>SUM(E74)</f>
        <v>1</v>
      </c>
      <c r="G74" s="13">
        <v>1118.72</v>
      </c>
      <c r="H74" s="13">
        <f t="shared" si="13"/>
        <v>1.1187199999999999</v>
      </c>
      <c r="I74" s="13">
        <v>0</v>
      </c>
    </row>
    <row r="75" spans="1:9" hidden="1">
      <c r="A75" s="30"/>
      <c r="B75" s="46" t="s">
        <v>145</v>
      </c>
      <c r="C75" s="49" t="s">
        <v>98</v>
      </c>
      <c r="D75" s="14" t="s">
        <v>63</v>
      </c>
      <c r="E75" s="18">
        <v>1</v>
      </c>
      <c r="F75" s="13">
        <v>1</v>
      </c>
      <c r="G75" s="13">
        <v>1605.83</v>
      </c>
      <c r="H75" s="13">
        <f>SUM(F75*G75/1000)</f>
        <v>1.6058299999999999</v>
      </c>
      <c r="I75" s="13">
        <v>0</v>
      </c>
    </row>
    <row r="76" spans="1:9" ht="17.25" customHeight="1">
      <c r="A76" s="30">
        <v>9</v>
      </c>
      <c r="B76" s="46" t="s">
        <v>146</v>
      </c>
      <c r="C76" s="49" t="s">
        <v>98</v>
      </c>
      <c r="D76" s="14" t="s">
        <v>184</v>
      </c>
      <c r="E76" s="18">
        <v>1</v>
      </c>
      <c r="F76" s="13">
        <f>E76*12</f>
        <v>12</v>
      </c>
      <c r="G76" s="13">
        <v>55.55</v>
      </c>
      <c r="H76" s="13">
        <f t="shared" ref="H76" si="14">SUM(F76*G76/1000)</f>
        <v>0.66659999999999986</v>
      </c>
      <c r="I76" s="13">
        <f>F76/12*G76</f>
        <v>55.55</v>
      </c>
    </row>
    <row r="77" spans="1:9" ht="18" customHeight="1">
      <c r="A77" s="30"/>
      <c r="B77" s="100" t="s">
        <v>147</v>
      </c>
      <c r="C77" s="49"/>
      <c r="D77" s="14"/>
      <c r="E77" s="18"/>
      <c r="F77" s="13"/>
      <c r="G77" s="13"/>
      <c r="H77" s="61"/>
      <c r="I77" s="13"/>
    </row>
    <row r="78" spans="1:9" ht="18" customHeight="1">
      <c r="A78" s="30">
        <v>10</v>
      </c>
      <c r="B78" s="14" t="s">
        <v>148</v>
      </c>
      <c r="C78" s="30" t="s">
        <v>149</v>
      </c>
      <c r="D78" s="14"/>
      <c r="E78" s="18">
        <v>2409</v>
      </c>
      <c r="F78" s="13">
        <f>SUM(E78*12)</f>
        <v>28908</v>
      </c>
      <c r="G78" s="13">
        <v>2.37</v>
      </c>
      <c r="H78" s="61">
        <f t="shared" ref="H78" si="15">SUM(F78*G78/1000)</f>
        <v>68.511960000000002</v>
      </c>
      <c r="I78" s="13">
        <f>F78/12*G78</f>
        <v>5709.33</v>
      </c>
    </row>
    <row r="79" spans="1:9" hidden="1">
      <c r="A79" s="30"/>
      <c r="B79" s="79" t="s">
        <v>71</v>
      </c>
      <c r="C79" s="16"/>
      <c r="D79" s="14"/>
      <c r="E79" s="18"/>
      <c r="F79" s="13"/>
      <c r="G79" s="13" t="s">
        <v>122</v>
      </c>
      <c r="H79" s="13" t="s">
        <v>122</v>
      </c>
      <c r="I79" s="13"/>
    </row>
    <row r="80" spans="1:9" hidden="1">
      <c r="A80" s="30"/>
      <c r="B80" s="43" t="s">
        <v>111</v>
      </c>
      <c r="C80" s="16" t="s">
        <v>72</v>
      </c>
      <c r="D80" s="14"/>
      <c r="E80" s="18"/>
      <c r="F80" s="13">
        <v>0.1</v>
      </c>
      <c r="G80" s="13">
        <v>3619.09</v>
      </c>
      <c r="H80" s="13">
        <f t="shared" si="10"/>
        <v>0.36190900000000004</v>
      </c>
      <c r="I80" s="13">
        <v>0</v>
      </c>
    </row>
    <row r="81" spans="1:9" ht="28.5" hidden="1">
      <c r="A81" s="30"/>
      <c r="B81" s="101" t="s">
        <v>86</v>
      </c>
      <c r="C81" s="94"/>
      <c r="D81" s="95"/>
      <c r="E81" s="96"/>
      <c r="F81" s="97"/>
      <c r="G81" s="97"/>
      <c r="H81" s="98">
        <f>SUM(H56:H80)</f>
        <v>142.39281364000001</v>
      </c>
      <c r="I81" s="68"/>
    </row>
    <row r="82" spans="1:9" hidden="1">
      <c r="A82" s="30">
        <v>14</v>
      </c>
      <c r="B82" s="62" t="s">
        <v>104</v>
      </c>
      <c r="C82" s="16"/>
      <c r="D82" s="14"/>
      <c r="E82" s="57"/>
      <c r="F82" s="13">
        <v>1</v>
      </c>
      <c r="G82" s="13">
        <v>1428.4</v>
      </c>
      <c r="H82" s="61">
        <f>G82*F82/1000</f>
        <v>1.4284000000000001</v>
      </c>
      <c r="I82" s="13">
        <f>G82</f>
        <v>1428.4</v>
      </c>
    </row>
    <row r="83" spans="1:9">
      <c r="A83" s="225" t="s">
        <v>152</v>
      </c>
      <c r="B83" s="226"/>
      <c r="C83" s="226"/>
      <c r="D83" s="226"/>
      <c r="E83" s="226"/>
      <c r="F83" s="226"/>
      <c r="G83" s="226"/>
      <c r="H83" s="226"/>
      <c r="I83" s="227"/>
    </row>
    <row r="84" spans="1:9" ht="15.75" customHeight="1">
      <c r="A84" s="30">
        <v>11</v>
      </c>
      <c r="B84" s="62" t="s">
        <v>105</v>
      </c>
      <c r="C84" s="16" t="s">
        <v>52</v>
      </c>
      <c r="D84" s="99"/>
      <c r="E84" s="13">
        <v>2409</v>
      </c>
      <c r="F84" s="13">
        <f>SUM(E84*12)</f>
        <v>28908</v>
      </c>
      <c r="G84" s="13">
        <v>3.22</v>
      </c>
      <c r="H84" s="61">
        <f>SUM(F84*G84/1000)</f>
        <v>93.083760000000012</v>
      </c>
      <c r="I84" s="13">
        <f>F84/12*G84</f>
        <v>7756.9800000000005</v>
      </c>
    </row>
    <row r="85" spans="1:9" ht="28.5" customHeight="1">
      <c r="A85" s="30">
        <v>12</v>
      </c>
      <c r="B85" s="14" t="s">
        <v>73</v>
      </c>
      <c r="C85" s="16"/>
      <c r="D85" s="99"/>
      <c r="E85" s="64">
        <f>E84</f>
        <v>2409</v>
      </c>
      <c r="F85" s="13">
        <f>E85*12</f>
        <v>28908</v>
      </c>
      <c r="G85" s="13">
        <v>3.64</v>
      </c>
      <c r="H85" s="61">
        <f>F85*G85/1000</f>
        <v>105.22512</v>
      </c>
      <c r="I85" s="13">
        <f>F85/12*G85</f>
        <v>8768.76</v>
      </c>
    </row>
    <row r="86" spans="1:9">
      <c r="A86" s="30"/>
      <c r="B86" s="36" t="s">
        <v>75</v>
      </c>
      <c r="C86" s="79"/>
      <c r="D86" s="78"/>
      <c r="E86" s="68"/>
      <c r="F86" s="68"/>
      <c r="G86" s="68"/>
      <c r="H86" s="80">
        <f>H85</f>
        <v>105.22512</v>
      </c>
      <c r="I86" s="68">
        <f>I85+I84+I78+I76+I61+I32+I30+I29+I26+I18+I17+I16</f>
        <v>35509.463084333336</v>
      </c>
    </row>
    <row r="87" spans="1:9">
      <c r="A87" s="230" t="s">
        <v>57</v>
      </c>
      <c r="B87" s="231"/>
      <c r="C87" s="231"/>
      <c r="D87" s="231"/>
      <c r="E87" s="231"/>
      <c r="F87" s="231"/>
      <c r="G87" s="231"/>
      <c r="H87" s="231"/>
      <c r="I87" s="232"/>
    </row>
    <row r="88" spans="1:9" ht="30">
      <c r="A88" s="30">
        <v>13</v>
      </c>
      <c r="B88" s="47" t="s">
        <v>156</v>
      </c>
      <c r="C88" s="48" t="s">
        <v>36</v>
      </c>
      <c r="D88" s="115" t="s">
        <v>178</v>
      </c>
      <c r="E88" s="34"/>
      <c r="F88" s="34">
        <v>0.01</v>
      </c>
      <c r="G88" s="34">
        <v>4070.89</v>
      </c>
      <c r="H88" s="34">
        <f t="shared" ref="H88" si="16">G88*F88/1000</f>
        <v>4.0708899999999999E-2</v>
      </c>
      <c r="I88" s="13">
        <v>0</v>
      </c>
    </row>
    <row r="89" spans="1:9">
      <c r="A89" s="30">
        <v>14</v>
      </c>
      <c r="B89" s="47" t="s">
        <v>257</v>
      </c>
      <c r="C89" s="48" t="s">
        <v>38</v>
      </c>
      <c r="D89" s="115" t="s">
        <v>178</v>
      </c>
      <c r="E89" s="34"/>
      <c r="F89" s="34">
        <v>0.02</v>
      </c>
      <c r="G89" s="34">
        <v>27139.18</v>
      </c>
      <c r="H89" s="34"/>
      <c r="I89" s="13">
        <v>0</v>
      </c>
    </row>
    <row r="90" spans="1:9" ht="15.75" customHeight="1">
      <c r="A90" s="30"/>
      <c r="B90" s="41" t="s">
        <v>49</v>
      </c>
      <c r="C90" s="37"/>
      <c r="D90" s="44"/>
      <c r="E90" s="37">
        <v>1</v>
      </c>
      <c r="F90" s="37"/>
      <c r="G90" s="37"/>
      <c r="H90" s="37"/>
      <c r="I90" s="32">
        <f>SUM(I88:I89)</f>
        <v>0</v>
      </c>
    </row>
    <row r="91" spans="1:9">
      <c r="A91" s="30"/>
      <c r="B91" s="43" t="s">
        <v>74</v>
      </c>
      <c r="C91" s="15"/>
      <c r="D91" s="15"/>
      <c r="E91" s="38"/>
      <c r="F91" s="38"/>
      <c r="G91" s="39"/>
      <c r="H91" s="39"/>
      <c r="I91" s="17">
        <v>0</v>
      </c>
    </row>
    <row r="92" spans="1:9">
      <c r="A92" s="45"/>
      <c r="B92" s="42" t="s">
        <v>133</v>
      </c>
      <c r="C92" s="33"/>
      <c r="D92" s="33"/>
      <c r="E92" s="33"/>
      <c r="F92" s="33"/>
      <c r="G92" s="33"/>
      <c r="H92" s="33"/>
      <c r="I92" s="40">
        <f>I86+I90</f>
        <v>35509.463084333336</v>
      </c>
    </row>
    <row r="93" spans="1:9" ht="15.75">
      <c r="A93" s="235" t="s">
        <v>294</v>
      </c>
      <c r="B93" s="235"/>
      <c r="C93" s="235"/>
      <c r="D93" s="235"/>
      <c r="E93" s="235"/>
      <c r="F93" s="235"/>
      <c r="G93" s="235"/>
      <c r="H93" s="235"/>
      <c r="I93" s="235"/>
    </row>
    <row r="94" spans="1:9" ht="15.75">
      <c r="A94" s="55"/>
      <c r="B94" s="236" t="s">
        <v>295</v>
      </c>
      <c r="C94" s="236"/>
      <c r="D94" s="236"/>
      <c r="E94" s="236"/>
      <c r="F94" s="236"/>
      <c r="G94" s="236"/>
      <c r="H94" s="60"/>
      <c r="I94" s="3"/>
    </row>
    <row r="95" spans="1:9">
      <c r="A95" s="141"/>
      <c r="B95" s="237" t="s">
        <v>6</v>
      </c>
      <c r="C95" s="237"/>
      <c r="D95" s="237"/>
      <c r="E95" s="237"/>
      <c r="F95" s="237"/>
      <c r="G95" s="237"/>
      <c r="H95" s="25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238" t="s">
        <v>7</v>
      </c>
      <c r="B97" s="238"/>
      <c r="C97" s="238"/>
      <c r="D97" s="238"/>
      <c r="E97" s="238"/>
      <c r="F97" s="238"/>
      <c r="G97" s="238"/>
      <c r="H97" s="238"/>
      <c r="I97" s="238"/>
    </row>
    <row r="98" spans="1:9" ht="15.75">
      <c r="A98" s="238" t="s">
        <v>8</v>
      </c>
      <c r="B98" s="238"/>
      <c r="C98" s="238"/>
      <c r="D98" s="238"/>
      <c r="E98" s="238"/>
      <c r="F98" s="238"/>
      <c r="G98" s="238"/>
      <c r="H98" s="238"/>
      <c r="I98" s="238"/>
    </row>
    <row r="99" spans="1:9" ht="15.75">
      <c r="A99" s="239" t="s">
        <v>58</v>
      </c>
      <c r="B99" s="239"/>
      <c r="C99" s="239"/>
      <c r="D99" s="239"/>
      <c r="E99" s="239"/>
      <c r="F99" s="239"/>
      <c r="G99" s="239"/>
      <c r="H99" s="239"/>
      <c r="I99" s="239"/>
    </row>
    <row r="100" spans="1:9" ht="15.75">
      <c r="A100" s="11"/>
    </row>
    <row r="101" spans="1:9" ht="15.75">
      <c r="A101" s="240" t="s">
        <v>9</v>
      </c>
      <c r="B101" s="240"/>
      <c r="C101" s="240"/>
      <c r="D101" s="240"/>
      <c r="E101" s="240"/>
      <c r="F101" s="240"/>
      <c r="G101" s="240"/>
      <c r="H101" s="240"/>
      <c r="I101" s="240"/>
    </row>
    <row r="102" spans="1:9" ht="15.75">
      <c r="A102" s="4"/>
    </row>
    <row r="103" spans="1:9" ht="15.75">
      <c r="B103" s="146" t="s">
        <v>10</v>
      </c>
      <c r="C103" s="241" t="s">
        <v>127</v>
      </c>
      <c r="D103" s="241"/>
      <c r="E103" s="241"/>
      <c r="F103" s="58"/>
      <c r="I103" s="144"/>
    </row>
    <row r="104" spans="1:9">
      <c r="A104" s="141"/>
      <c r="C104" s="237" t="s">
        <v>11</v>
      </c>
      <c r="D104" s="237"/>
      <c r="E104" s="237"/>
      <c r="F104" s="25"/>
      <c r="I104" s="145" t="s">
        <v>12</v>
      </c>
    </row>
    <row r="105" spans="1:9" ht="15.75">
      <c r="A105" s="26"/>
      <c r="C105" s="12"/>
      <c r="D105" s="12"/>
      <c r="G105" s="12"/>
      <c r="H105" s="12"/>
    </row>
    <row r="106" spans="1:9" ht="15.75">
      <c r="B106" s="146" t="s">
        <v>13</v>
      </c>
      <c r="C106" s="233"/>
      <c r="D106" s="233"/>
      <c r="E106" s="233"/>
      <c r="F106" s="59"/>
      <c r="I106" s="144"/>
    </row>
    <row r="107" spans="1:9">
      <c r="A107" s="141"/>
      <c r="C107" s="234" t="s">
        <v>11</v>
      </c>
      <c r="D107" s="234"/>
      <c r="E107" s="234"/>
      <c r="F107" s="141"/>
      <c r="I107" s="145" t="s">
        <v>12</v>
      </c>
    </row>
    <row r="108" spans="1:9" ht="15.75">
      <c r="A108" s="4" t="s">
        <v>14</v>
      </c>
    </row>
    <row r="109" spans="1:9">
      <c r="A109" s="228" t="s">
        <v>15</v>
      </c>
      <c r="B109" s="228"/>
      <c r="C109" s="228"/>
      <c r="D109" s="228"/>
      <c r="E109" s="228"/>
      <c r="F109" s="228"/>
      <c r="G109" s="228"/>
      <c r="H109" s="228"/>
      <c r="I109" s="228"/>
    </row>
    <row r="110" spans="1:9" ht="41.25" customHeight="1">
      <c r="A110" s="229" t="s">
        <v>16</v>
      </c>
      <c r="B110" s="229"/>
      <c r="C110" s="229"/>
      <c r="D110" s="229"/>
      <c r="E110" s="229"/>
      <c r="F110" s="229"/>
      <c r="G110" s="229"/>
      <c r="H110" s="229"/>
      <c r="I110" s="229"/>
    </row>
    <row r="111" spans="1:9" ht="43.5" customHeight="1">
      <c r="A111" s="229" t="s">
        <v>17</v>
      </c>
      <c r="B111" s="229"/>
      <c r="C111" s="229"/>
      <c r="D111" s="229"/>
      <c r="E111" s="229"/>
      <c r="F111" s="229"/>
      <c r="G111" s="229"/>
      <c r="H111" s="229"/>
      <c r="I111" s="229"/>
    </row>
    <row r="112" spans="1:9" ht="36.75" customHeight="1">
      <c r="A112" s="229" t="s">
        <v>21</v>
      </c>
      <c r="B112" s="229"/>
      <c r="C112" s="229"/>
      <c r="D112" s="229"/>
      <c r="E112" s="229"/>
      <c r="F112" s="229"/>
      <c r="G112" s="229"/>
      <c r="H112" s="229"/>
      <c r="I112" s="229"/>
    </row>
    <row r="113" spans="1:9" ht="15.75">
      <c r="A113" s="229" t="s">
        <v>20</v>
      </c>
      <c r="B113" s="229"/>
      <c r="C113" s="229"/>
      <c r="D113" s="229"/>
      <c r="E113" s="229"/>
      <c r="F113" s="229"/>
      <c r="G113" s="229"/>
      <c r="H113" s="229"/>
      <c r="I113" s="229"/>
    </row>
  </sheetData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7:I27"/>
    <mergeCell ref="A44:I44"/>
    <mergeCell ref="A54:I54"/>
    <mergeCell ref="A83:I83"/>
    <mergeCell ref="A87:I87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31496062992125984" top="0.35433070866141736" bottom="0.35433070866141736" header="0.31496062992125984" footer="0.31496062992125984"/>
  <pageSetup paperSize="9" scale="6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9"/>
  <sheetViews>
    <sheetView topLeftCell="A63" workbookViewId="0">
      <selection activeCell="K103" sqref="K103"/>
    </sheetView>
  </sheetViews>
  <sheetFormatPr defaultRowHeight="15"/>
  <cols>
    <col min="1" max="1" width="9.5703125" customWidth="1"/>
    <col min="2" max="2" width="50.28515625" customWidth="1"/>
    <col min="3" max="3" width="17.42578125" customWidth="1"/>
    <col min="4" max="4" width="18" customWidth="1"/>
    <col min="5" max="5" width="0" hidden="1" customWidth="1"/>
    <col min="6" max="6" width="12" hidden="1" customWidth="1"/>
    <col min="7" max="7" width="16.5703125" customWidth="1"/>
    <col min="8" max="8" width="0" hidden="1" customWidth="1"/>
    <col min="9" max="9" width="15.7109375" customWidth="1"/>
  </cols>
  <sheetData>
    <row r="1" spans="1:9" ht="15.75">
      <c r="A1" s="28" t="s">
        <v>157</v>
      </c>
      <c r="I1" s="27"/>
    </row>
    <row r="2" spans="1:9" ht="15.75">
      <c r="A2" s="29" t="s">
        <v>59</v>
      </c>
    </row>
    <row r="3" spans="1:9" ht="15.75">
      <c r="A3" s="243" t="s">
        <v>162</v>
      </c>
      <c r="B3" s="243"/>
      <c r="C3" s="243"/>
      <c r="D3" s="243"/>
      <c r="E3" s="243"/>
      <c r="F3" s="243"/>
      <c r="G3" s="243"/>
      <c r="H3" s="243"/>
      <c r="I3" s="243"/>
    </row>
    <row r="4" spans="1:9" ht="33" customHeight="1">
      <c r="A4" s="244" t="s">
        <v>159</v>
      </c>
      <c r="B4" s="244"/>
      <c r="C4" s="244"/>
      <c r="D4" s="244"/>
      <c r="E4" s="244"/>
      <c r="F4" s="244"/>
      <c r="G4" s="244"/>
      <c r="H4" s="244"/>
      <c r="I4" s="244"/>
    </row>
    <row r="5" spans="1:9" ht="15.75">
      <c r="A5" s="243" t="s">
        <v>260</v>
      </c>
      <c r="B5" s="245"/>
      <c r="C5" s="245"/>
      <c r="D5" s="245"/>
      <c r="E5" s="245"/>
      <c r="F5" s="245"/>
      <c r="G5" s="245"/>
      <c r="H5" s="245"/>
      <c r="I5" s="245"/>
    </row>
    <row r="6" spans="1:9" ht="15.75">
      <c r="A6" s="2"/>
      <c r="B6" s="152"/>
      <c r="C6" s="152"/>
      <c r="D6" s="152"/>
      <c r="E6" s="152"/>
      <c r="F6" s="152"/>
      <c r="G6" s="152"/>
      <c r="H6" s="152"/>
      <c r="I6" s="31">
        <v>44104</v>
      </c>
    </row>
    <row r="7" spans="1:9" ht="15.75">
      <c r="B7" s="151"/>
      <c r="C7" s="151"/>
      <c r="D7" s="151"/>
      <c r="E7" s="3"/>
      <c r="F7" s="3"/>
      <c r="G7" s="3"/>
      <c r="H7" s="3"/>
    </row>
    <row r="8" spans="1:9" ht="104.25" customHeight="1">
      <c r="A8" s="246" t="s">
        <v>186</v>
      </c>
      <c r="B8" s="246"/>
      <c r="C8" s="246"/>
      <c r="D8" s="246"/>
      <c r="E8" s="246"/>
      <c r="F8" s="246"/>
      <c r="G8" s="246"/>
      <c r="H8" s="246"/>
      <c r="I8" s="246"/>
    </row>
    <row r="9" spans="1:9" ht="15.75">
      <c r="A9" s="4"/>
    </row>
    <row r="10" spans="1:9" ht="68.25" customHeight="1">
      <c r="A10" s="247" t="s">
        <v>132</v>
      </c>
      <c r="B10" s="247"/>
      <c r="C10" s="247"/>
      <c r="D10" s="247"/>
      <c r="E10" s="247"/>
      <c r="F10" s="247"/>
      <c r="G10" s="247"/>
      <c r="H10" s="247"/>
      <c r="I10" s="247"/>
    </row>
    <row r="11" spans="1:9" ht="15.75">
      <c r="A11" s="4"/>
    </row>
    <row r="12" spans="1:9" ht="82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8" t="s">
        <v>56</v>
      </c>
      <c r="B14" s="248"/>
      <c r="C14" s="248"/>
      <c r="D14" s="248"/>
      <c r="E14" s="248"/>
      <c r="F14" s="248"/>
      <c r="G14" s="248"/>
      <c r="H14" s="248"/>
      <c r="I14" s="248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5.75" customHeight="1">
      <c r="A16" s="30">
        <v>1</v>
      </c>
      <c r="B16" s="155" t="s">
        <v>79</v>
      </c>
      <c r="C16" s="182" t="s">
        <v>80</v>
      </c>
      <c r="D16" s="155" t="s">
        <v>176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5.75" customHeight="1">
      <c r="A17" s="30">
        <v>2</v>
      </c>
      <c r="B17" s="155" t="s">
        <v>106</v>
      </c>
      <c r="C17" s="182" t="s">
        <v>80</v>
      </c>
      <c r="D17" s="155" t="s">
        <v>177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5.75" customHeight="1">
      <c r="A18" s="30">
        <v>3</v>
      </c>
      <c r="B18" s="155" t="s">
        <v>107</v>
      </c>
      <c r="C18" s="182" t="s">
        <v>80</v>
      </c>
      <c r="D18" s="155" t="s">
        <v>178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t="16.5" hidden="1" customHeight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5" si="1">SUM(F19*G19/1000)</f>
        <v>0.48973100000000003</v>
      </c>
      <c r="I19" s="34">
        <f>2.11*G19</f>
        <v>489.73099999999994</v>
      </c>
    </row>
    <row r="20" spans="1:9" ht="16.5" customHeight="1">
      <c r="A20" s="30">
        <v>4</v>
      </c>
      <c r="B20" s="155" t="s">
        <v>90</v>
      </c>
      <c r="C20" s="182" t="s">
        <v>80</v>
      </c>
      <c r="D20" s="155" t="s">
        <v>178</v>
      </c>
      <c r="E20" s="128">
        <v>7</v>
      </c>
      <c r="F20" s="129">
        <v>0.14000000000000001</v>
      </c>
      <c r="G20" s="129">
        <v>297.19</v>
      </c>
      <c r="H20" s="130"/>
      <c r="I20" s="34">
        <f>F20/2*G20</f>
        <v>20.8033</v>
      </c>
    </row>
    <row r="21" spans="1:9" ht="15.75" customHeight="1">
      <c r="A21" s="30">
        <v>5</v>
      </c>
      <c r="B21" s="155" t="s">
        <v>91</v>
      </c>
      <c r="C21" s="182" t="s">
        <v>80</v>
      </c>
      <c r="D21" s="155" t="s">
        <v>178</v>
      </c>
      <c r="E21" s="128">
        <v>2.4</v>
      </c>
      <c r="F21" s="129">
        <f>SUM(E21*2/100)</f>
        <v>4.8000000000000001E-2</v>
      </c>
      <c r="G21" s="129">
        <v>294.77999999999997</v>
      </c>
      <c r="H21" s="130">
        <f t="shared" si="1"/>
        <v>1.4149439999999999E-2</v>
      </c>
      <c r="I21" s="34">
        <f>0.048/2*G21</f>
        <v>7.0747199999999992</v>
      </c>
    </row>
    <row r="22" spans="1:9" ht="15.75" hidden="1" customHeight="1">
      <c r="A22" s="30">
        <v>7</v>
      </c>
      <c r="B22" s="62" t="s">
        <v>92</v>
      </c>
      <c r="C22" s="63" t="s">
        <v>50</v>
      </c>
      <c r="D22" s="62" t="s">
        <v>89</v>
      </c>
      <c r="E22" s="128">
        <v>317</v>
      </c>
      <c r="F22" s="129">
        <f>SUM(E22/100)</f>
        <v>3.17</v>
      </c>
      <c r="G22" s="129">
        <v>367.27</v>
      </c>
      <c r="H22" s="130">
        <f t="shared" si="1"/>
        <v>1.1642458999999998</v>
      </c>
      <c r="I22" s="34">
        <f>3.17*G22</f>
        <v>1164.2458999999999</v>
      </c>
    </row>
    <row r="23" spans="1:9" ht="15.75" hidden="1" customHeight="1">
      <c r="A23" s="30">
        <v>8</v>
      </c>
      <c r="B23" s="62" t="s">
        <v>93</v>
      </c>
      <c r="C23" s="63" t="s">
        <v>50</v>
      </c>
      <c r="D23" s="62" t="s">
        <v>89</v>
      </c>
      <c r="E23" s="131">
        <v>24.15</v>
      </c>
      <c r="F23" s="129">
        <f>SUM(E23/100)</f>
        <v>0.24149999999999999</v>
      </c>
      <c r="G23" s="129">
        <v>60.41</v>
      </c>
      <c r="H23" s="130">
        <f t="shared" si="1"/>
        <v>1.4589014999999999E-2</v>
      </c>
      <c r="I23" s="34">
        <f>0.2415*G23</f>
        <v>14.589014999999998</v>
      </c>
    </row>
    <row r="24" spans="1:9" ht="16.5" hidden="1" customHeight="1">
      <c r="A24" s="30">
        <v>9</v>
      </c>
      <c r="B24" s="62" t="s">
        <v>94</v>
      </c>
      <c r="C24" s="63" t="s">
        <v>50</v>
      </c>
      <c r="D24" s="62" t="s">
        <v>51</v>
      </c>
      <c r="E24" s="128">
        <v>10</v>
      </c>
      <c r="F24" s="129">
        <f>SUM(E24/100)</f>
        <v>0.1</v>
      </c>
      <c r="G24" s="129">
        <v>531.55999999999995</v>
      </c>
      <c r="H24" s="130">
        <f t="shared" si="1"/>
        <v>5.3156000000000002E-2</v>
      </c>
      <c r="I24" s="34">
        <f>0.1*G24</f>
        <v>53.155999999999999</v>
      </c>
    </row>
    <row r="25" spans="1:9" ht="13.5" hidden="1" customHeight="1">
      <c r="A25" s="30">
        <v>10</v>
      </c>
      <c r="B25" s="62" t="s">
        <v>95</v>
      </c>
      <c r="C25" s="63" t="s">
        <v>50</v>
      </c>
      <c r="D25" s="62" t="s">
        <v>51</v>
      </c>
      <c r="E25" s="128">
        <v>4.25</v>
      </c>
      <c r="F25" s="129">
        <f>SUM(E25/100)</f>
        <v>4.2500000000000003E-2</v>
      </c>
      <c r="G25" s="129">
        <v>710.37</v>
      </c>
      <c r="H25" s="130">
        <f t="shared" si="1"/>
        <v>3.0190725000000005E-2</v>
      </c>
      <c r="I25" s="34">
        <f>0.0425*G25</f>
        <v>30.190725000000004</v>
      </c>
    </row>
    <row r="26" spans="1:9" ht="15" hidden="1" customHeight="1">
      <c r="A26" s="30">
        <v>11</v>
      </c>
      <c r="B26" s="62" t="s">
        <v>110</v>
      </c>
      <c r="C26" s="63" t="s">
        <v>50</v>
      </c>
      <c r="D26" s="62" t="s">
        <v>51</v>
      </c>
      <c r="E26" s="128">
        <v>9.5</v>
      </c>
      <c r="F26" s="129">
        <v>9.5000000000000001E-2</v>
      </c>
      <c r="G26" s="129">
        <v>294.77999999999997</v>
      </c>
      <c r="H26" s="130">
        <f>G26*F26/1000</f>
        <v>2.8004099999999997E-2</v>
      </c>
      <c r="I26" s="34">
        <f>0.095*G26</f>
        <v>28.004099999999998</v>
      </c>
    </row>
    <row r="27" spans="1:9" ht="17.25" customHeight="1">
      <c r="A27" s="30">
        <v>6</v>
      </c>
      <c r="B27" s="155" t="s">
        <v>174</v>
      </c>
      <c r="C27" s="182" t="s">
        <v>25</v>
      </c>
      <c r="D27" s="155" t="s">
        <v>175</v>
      </c>
      <c r="E27" s="205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>
      <c r="A28" s="242" t="s">
        <v>78</v>
      </c>
      <c r="B28" s="242"/>
      <c r="C28" s="242"/>
      <c r="D28" s="242"/>
      <c r="E28" s="242"/>
      <c r="F28" s="242"/>
      <c r="G28" s="242"/>
      <c r="H28" s="242"/>
      <c r="I28" s="242"/>
    </row>
    <row r="29" spans="1:9" ht="15.75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</row>
    <row r="30" spans="1:9" ht="18" customHeight="1">
      <c r="A30" s="30">
        <v>7</v>
      </c>
      <c r="B30" s="62" t="s">
        <v>97</v>
      </c>
      <c r="C30" s="63" t="s">
        <v>82</v>
      </c>
      <c r="D30" s="155" t="s">
        <v>177</v>
      </c>
      <c r="E30" s="65">
        <v>372.4</v>
      </c>
      <c r="F30" s="65">
        <f>SUM(E30*52/1000)</f>
        <v>19.364799999999999</v>
      </c>
      <c r="G30" s="129">
        <v>212.62</v>
      </c>
      <c r="H30" s="66">
        <f t="shared" ref="H30:H35" si="2">SUM(F30*G30/1000)</f>
        <v>4.1173437759999993</v>
      </c>
      <c r="I30" s="13">
        <f>19.3648/6*G30</f>
        <v>686.22396266666669</v>
      </c>
    </row>
    <row r="31" spans="1:9" ht="50.25" customHeight="1">
      <c r="A31" s="30">
        <v>8</v>
      </c>
      <c r="B31" s="62" t="s">
        <v>108</v>
      </c>
      <c r="C31" s="63" t="s">
        <v>82</v>
      </c>
      <c r="D31" s="155" t="s">
        <v>176</v>
      </c>
      <c r="E31" s="65">
        <v>195.5</v>
      </c>
      <c r="F31" s="65">
        <f>SUM(E31*78/1000)</f>
        <v>15.249000000000001</v>
      </c>
      <c r="G31" s="129">
        <v>352.77</v>
      </c>
      <c r="H31" s="66">
        <f t="shared" si="2"/>
        <v>5.3793897299999998</v>
      </c>
      <c r="I31" s="13">
        <f>15.249/6*G31</f>
        <v>896.56495499999994</v>
      </c>
    </row>
    <row r="32" spans="1:9" hidden="1">
      <c r="A32" s="30">
        <v>13</v>
      </c>
      <c r="B32" s="62" t="s">
        <v>27</v>
      </c>
      <c r="C32" s="63" t="s">
        <v>82</v>
      </c>
      <c r="D32" s="155" t="s">
        <v>184</v>
      </c>
      <c r="E32" s="65">
        <v>372.4</v>
      </c>
      <c r="F32" s="65">
        <f>SUM(E32/1000)</f>
        <v>0.37239999999999995</v>
      </c>
      <c r="G32" s="129">
        <v>4119.68</v>
      </c>
      <c r="H32" s="66">
        <f t="shared" si="2"/>
        <v>1.5341688319999998</v>
      </c>
      <c r="I32" s="13">
        <f>0.3724*G32</f>
        <v>1534.1688320000001</v>
      </c>
    </row>
    <row r="33" spans="1:9" ht="15.75" customHeight="1">
      <c r="A33" s="30">
        <v>9</v>
      </c>
      <c r="B33" s="62" t="s">
        <v>136</v>
      </c>
      <c r="C33" s="63" t="s">
        <v>38</v>
      </c>
      <c r="D33" s="155" t="s">
        <v>180</v>
      </c>
      <c r="E33" s="65">
        <v>2</v>
      </c>
      <c r="F33" s="65">
        <f>E33*155/100</f>
        <v>3.1</v>
      </c>
      <c r="G33" s="129">
        <v>1775.94</v>
      </c>
      <c r="H33" s="66">
        <f t="shared" si="2"/>
        <v>5.5054140000000009</v>
      </c>
      <c r="I33" s="13">
        <f>3.1/6*G33</f>
        <v>917.56900000000007</v>
      </c>
    </row>
    <row r="34" spans="1:9" hidden="1">
      <c r="A34" s="30"/>
      <c r="B34" s="62" t="s">
        <v>61</v>
      </c>
      <c r="C34" s="63" t="s">
        <v>32</v>
      </c>
      <c r="D34" s="62" t="s">
        <v>63</v>
      </c>
      <c r="E34" s="64"/>
      <c r="F34" s="65">
        <v>2</v>
      </c>
      <c r="G34" s="65">
        <v>250.92</v>
      </c>
      <c r="H34" s="66">
        <f t="shared" si="2"/>
        <v>0.50183999999999995</v>
      </c>
      <c r="I34" s="13">
        <v>0</v>
      </c>
    </row>
    <row r="35" spans="1:9" hidden="1">
      <c r="A35" s="30"/>
      <c r="B35" s="62" t="s">
        <v>62</v>
      </c>
      <c r="C35" s="63" t="s">
        <v>31</v>
      </c>
      <c r="D35" s="62" t="s">
        <v>63</v>
      </c>
      <c r="E35" s="64"/>
      <c r="F35" s="65">
        <v>1</v>
      </c>
      <c r="G35" s="65">
        <v>1490.31</v>
      </c>
      <c r="H35" s="66">
        <f t="shared" si="2"/>
        <v>1.49031</v>
      </c>
      <c r="I35" s="13">
        <v>0</v>
      </c>
    </row>
    <row r="36" spans="1:9" hidden="1">
      <c r="A36" s="30"/>
      <c r="B36" s="81" t="s">
        <v>5</v>
      </c>
      <c r="C36" s="63"/>
      <c r="D36" s="62"/>
      <c r="E36" s="64"/>
      <c r="F36" s="65"/>
      <c r="G36" s="65"/>
      <c r="H36" s="66" t="s">
        <v>122</v>
      </c>
      <c r="I36" s="13"/>
    </row>
    <row r="37" spans="1:9" hidden="1">
      <c r="A37" s="30">
        <v>7</v>
      </c>
      <c r="B37" s="62" t="s">
        <v>26</v>
      </c>
      <c r="C37" s="63" t="s">
        <v>31</v>
      </c>
      <c r="D37" s="62"/>
      <c r="E37" s="64"/>
      <c r="F37" s="65">
        <v>5</v>
      </c>
      <c r="G37" s="129">
        <v>2083</v>
      </c>
      <c r="H37" s="66">
        <f t="shared" ref="H37:H44" si="3">SUM(F37*G37/1000)</f>
        <v>10.414999999999999</v>
      </c>
      <c r="I37" s="13">
        <f>F37/6*G37</f>
        <v>1735.8333333333335</v>
      </c>
    </row>
    <row r="38" spans="1:9" hidden="1">
      <c r="A38" s="30">
        <v>9</v>
      </c>
      <c r="B38" s="62" t="s">
        <v>113</v>
      </c>
      <c r="C38" s="63" t="s">
        <v>114</v>
      </c>
      <c r="D38" s="62" t="s">
        <v>63</v>
      </c>
      <c r="E38" s="64"/>
      <c r="F38" s="65">
        <v>26</v>
      </c>
      <c r="G38" s="129">
        <v>314</v>
      </c>
      <c r="H38" s="66">
        <f>G38*F38/1000</f>
        <v>8.1639999999999997</v>
      </c>
      <c r="I38" s="13">
        <v>0</v>
      </c>
    </row>
    <row r="39" spans="1:9" hidden="1">
      <c r="A39" s="30">
        <v>8</v>
      </c>
      <c r="B39" s="62" t="s">
        <v>137</v>
      </c>
      <c r="C39" s="63" t="s">
        <v>29</v>
      </c>
      <c r="D39" s="62" t="s">
        <v>115</v>
      </c>
      <c r="E39" s="64">
        <v>88</v>
      </c>
      <c r="F39" s="65">
        <f>E39*30/1000</f>
        <v>2.64</v>
      </c>
      <c r="G39" s="129">
        <v>2868.09</v>
      </c>
      <c r="H39" s="66">
        <f>G39*F39/1000</f>
        <v>7.5717576000000006</v>
      </c>
      <c r="I39" s="13">
        <f>F39/6*G39</f>
        <v>1261.9596000000001</v>
      </c>
    </row>
    <row r="40" spans="1:9" ht="30" hidden="1">
      <c r="A40" s="30">
        <v>9</v>
      </c>
      <c r="B40" s="62" t="s">
        <v>64</v>
      </c>
      <c r="C40" s="63" t="s">
        <v>29</v>
      </c>
      <c r="D40" s="62" t="s">
        <v>81</v>
      </c>
      <c r="E40" s="65">
        <v>93.3</v>
      </c>
      <c r="F40" s="65">
        <f>SUM(E40*155/1000)</f>
        <v>14.461499999999999</v>
      </c>
      <c r="G40" s="129">
        <v>478.42</v>
      </c>
      <c r="H40" s="66">
        <f t="shared" si="3"/>
        <v>6.9186708299999999</v>
      </c>
      <c r="I40" s="13">
        <f>F40/6*G40</f>
        <v>1153.111805</v>
      </c>
    </row>
    <row r="41" spans="1:9" ht="60" hidden="1">
      <c r="A41" s="30">
        <v>10</v>
      </c>
      <c r="B41" s="62" t="s">
        <v>76</v>
      </c>
      <c r="C41" s="63" t="s">
        <v>82</v>
      </c>
      <c r="D41" s="62" t="s">
        <v>116</v>
      </c>
      <c r="E41" s="65">
        <v>34</v>
      </c>
      <c r="F41" s="65">
        <f>SUM(E41*35/1000)</f>
        <v>1.19</v>
      </c>
      <c r="G41" s="129">
        <v>7915.6</v>
      </c>
      <c r="H41" s="66">
        <f t="shared" si="3"/>
        <v>9.4195640000000012</v>
      </c>
      <c r="I41" s="13">
        <f>F41/6*G41</f>
        <v>1569.9273333333333</v>
      </c>
    </row>
    <row r="42" spans="1:9" hidden="1">
      <c r="A42" s="30">
        <v>11</v>
      </c>
      <c r="B42" s="62" t="s">
        <v>83</v>
      </c>
      <c r="C42" s="63" t="s">
        <v>82</v>
      </c>
      <c r="D42" s="62" t="s">
        <v>65</v>
      </c>
      <c r="E42" s="65">
        <v>72</v>
      </c>
      <c r="F42" s="65">
        <f>SUM(E42*45/1000)</f>
        <v>3.24</v>
      </c>
      <c r="G42" s="129">
        <v>584.74</v>
      </c>
      <c r="H42" s="66">
        <f t="shared" si="3"/>
        <v>1.8945576000000002</v>
      </c>
      <c r="I42" s="13">
        <f>(F42/7.5*1.5)*G42</f>
        <v>378.91152000000011</v>
      </c>
    </row>
    <row r="43" spans="1:9" hidden="1">
      <c r="A43" s="30">
        <v>12</v>
      </c>
      <c r="B43" s="62" t="s">
        <v>66</v>
      </c>
      <c r="C43" s="63" t="s">
        <v>32</v>
      </c>
      <c r="D43" s="62"/>
      <c r="E43" s="64"/>
      <c r="F43" s="65">
        <v>0.9</v>
      </c>
      <c r="G43" s="132">
        <v>800</v>
      </c>
      <c r="H43" s="66">
        <f t="shared" si="3"/>
        <v>0.72</v>
      </c>
      <c r="I43" s="13">
        <f>(F43/7.5*1.5)*G43</f>
        <v>144.00000000000003</v>
      </c>
    </row>
    <row r="44" spans="1:9" ht="30" hidden="1">
      <c r="A44" s="30">
        <v>13</v>
      </c>
      <c r="B44" s="46" t="s">
        <v>138</v>
      </c>
      <c r="C44" s="49" t="s">
        <v>29</v>
      </c>
      <c r="D44" s="62" t="s">
        <v>139</v>
      </c>
      <c r="E44" s="64">
        <v>1.8</v>
      </c>
      <c r="F44" s="65">
        <f>SUM(E44*12/1000)</f>
        <v>2.1600000000000001E-2</v>
      </c>
      <c r="G44" s="132">
        <v>270.61</v>
      </c>
      <c r="H44" s="66">
        <f t="shared" si="3"/>
        <v>5.8451760000000005E-3</v>
      </c>
      <c r="I44" s="13">
        <f t="shared" ref="I44" si="4">F44/6*G44</f>
        <v>0.97419600000000017</v>
      </c>
    </row>
    <row r="45" spans="1:9">
      <c r="A45" s="249" t="s">
        <v>124</v>
      </c>
      <c r="B45" s="250"/>
      <c r="C45" s="250"/>
      <c r="D45" s="250"/>
      <c r="E45" s="250"/>
      <c r="F45" s="250"/>
      <c r="G45" s="250"/>
      <c r="H45" s="250"/>
      <c r="I45" s="251"/>
    </row>
    <row r="46" spans="1:9" ht="19.5" customHeight="1">
      <c r="A46" s="30">
        <v>10</v>
      </c>
      <c r="B46" s="62" t="s">
        <v>117</v>
      </c>
      <c r="C46" s="63" t="s">
        <v>82</v>
      </c>
      <c r="D46" s="62" t="s">
        <v>178</v>
      </c>
      <c r="E46" s="64">
        <v>670.4</v>
      </c>
      <c r="F46" s="65">
        <f>SUM(E46*2/1000)</f>
        <v>1.3408</v>
      </c>
      <c r="G46" s="34">
        <v>1158.7</v>
      </c>
      <c r="H46" s="66">
        <f t="shared" ref="H46:H54" si="5">SUM(F46*G46/1000)</f>
        <v>1.5535849600000002</v>
      </c>
      <c r="I46" s="13">
        <f t="shared" ref="I46:I48" si="6">F46/2*G46</f>
        <v>776.79248000000007</v>
      </c>
    </row>
    <row r="47" spans="1:9" ht="21" customHeight="1">
      <c r="A47" s="30">
        <v>11</v>
      </c>
      <c r="B47" s="62" t="s">
        <v>33</v>
      </c>
      <c r="C47" s="63" t="s">
        <v>82</v>
      </c>
      <c r="D47" s="62" t="s">
        <v>178</v>
      </c>
      <c r="E47" s="64">
        <v>26</v>
      </c>
      <c r="F47" s="65">
        <f t="shared" ref="F47:F49" si="7">SUM(E47*2/1000)</f>
        <v>5.1999999999999998E-2</v>
      </c>
      <c r="G47" s="34">
        <v>790.38</v>
      </c>
      <c r="H47" s="66">
        <f t="shared" si="5"/>
        <v>4.1099759999999999E-2</v>
      </c>
      <c r="I47" s="13">
        <f t="shared" si="6"/>
        <v>20.549879999999998</v>
      </c>
    </row>
    <row r="48" spans="1:9" ht="21.75" customHeight="1">
      <c r="A48" s="30">
        <v>12</v>
      </c>
      <c r="B48" s="62" t="s">
        <v>34</v>
      </c>
      <c r="C48" s="63" t="s">
        <v>82</v>
      </c>
      <c r="D48" s="62" t="s">
        <v>178</v>
      </c>
      <c r="E48" s="64">
        <v>760.4</v>
      </c>
      <c r="F48" s="65">
        <f t="shared" si="7"/>
        <v>1.5207999999999999</v>
      </c>
      <c r="G48" s="34">
        <v>790.38</v>
      </c>
      <c r="H48" s="66">
        <f t="shared" si="5"/>
        <v>1.2020099040000001</v>
      </c>
      <c r="I48" s="13">
        <f t="shared" si="6"/>
        <v>601.004952</v>
      </c>
    </row>
    <row r="49" spans="1:9" ht="18.75" customHeight="1">
      <c r="A49" s="30">
        <v>13</v>
      </c>
      <c r="B49" s="62" t="s">
        <v>35</v>
      </c>
      <c r="C49" s="63" t="s">
        <v>82</v>
      </c>
      <c r="D49" s="62" t="s">
        <v>178</v>
      </c>
      <c r="E49" s="64">
        <v>1440</v>
      </c>
      <c r="F49" s="65">
        <f t="shared" si="7"/>
        <v>2.88</v>
      </c>
      <c r="G49" s="34">
        <v>827.65</v>
      </c>
      <c r="H49" s="66">
        <f t="shared" si="5"/>
        <v>2.383632</v>
      </c>
      <c r="I49" s="13">
        <f>F49/2*G49</f>
        <v>1191.816</v>
      </c>
    </row>
    <row r="50" spans="1:9" ht="16.5" customHeight="1">
      <c r="A50" s="30">
        <v>14</v>
      </c>
      <c r="B50" s="62" t="s">
        <v>53</v>
      </c>
      <c r="C50" s="63" t="s">
        <v>82</v>
      </c>
      <c r="D50" s="62" t="s">
        <v>178</v>
      </c>
      <c r="E50" s="64">
        <v>2409</v>
      </c>
      <c r="F50" s="65">
        <v>4.8179999999999996</v>
      </c>
      <c r="G50" s="34">
        <v>1655.27</v>
      </c>
      <c r="H50" s="66">
        <f t="shared" si="5"/>
        <v>7.975090859999999</v>
      </c>
      <c r="I50" s="13">
        <f>F50/5*G50</f>
        <v>1595.0181719999998</v>
      </c>
    </row>
    <row r="51" spans="1:9" ht="48" customHeight="1">
      <c r="A51" s="30">
        <v>15</v>
      </c>
      <c r="B51" s="62" t="s">
        <v>84</v>
      </c>
      <c r="C51" s="63" t="s">
        <v>82</v>
      </c>
      <c r="D51" s="62" t="s">
        <v>178</v>
      </c>
      <c r="E51" s="64">
        <v>2409</v>
      </c>
      <c r="F51" s="65">
        <f>SUM(E51*2/1000)</f>
        <v>4.8179999999999996</v>
      </c>
      <c r="G51" s="34">
        <v>1655.27</v>
      </c>
      <c r="H51" s="66">
        <f t="shared" si="5"/>
        <v>7.975090859999999</v>
      </c>
      <c r="I51" s="13">
        <f>F51/2*G51</f>
        <v>3987.5454299999997</v>
      </c>
    </row>
    <row r="52" spans="1:9" ht="35.25" customHeight="1">
      <c r="A52" s="30">
        <v>16</v>
      </c>
      <c r="B52" s="62" t="s">
        <v>85</v>
      </c>
      <c r="C52" s="63" t="s">
        <v>36</v>
      </c>
      <c r="D52" s="62" t="s">
        <v>178</v>
      </c>
      <c r="E52" s="64">
        <v>10</v>
      </c>
      <c r="F52" s="65">
        <f>SUM(E52*2/100)</f>
        <v>0.2</v>
      </c>
      <c r="G52" s="34">
        <v>3724.37</v>
      </c>
      <c r="H52" s="66">
        <f>SUM(F52*G52/1000)</f>
        <v>0.74487400000000004</v>
      </c>
      <c r="I52" s="13">
        <f t="shared" ref="I52:I53" si="8">F52/2*G52</f>
        <v>372.43700000000001</v>
      </c>
    </row>
    <row r="53" spans="1:9" ht="15.75" customHeight="1">
      <c r="A53" s="30">
        <v>17</v>
      </c>
      <c r="B53" s="62" t="s">
        <v>37</v>
      </c>
      <c r="C53" s="63" t="s">
        <v>38</v>
      </c>
      <c r="D53" s="62" t="s">
        <v>178</v>
      </c>
      <c r="E53" s="64">
        <v>1</v>
      </c>
      <c r="F53" s="65">
        <v>0.02</v>
      </c>
      <c r="G53" s="34">
        <v>7709.44</v>
      </c>
      <c r="H53" s="66">
        <f t="shared" si="5"/>
        <v>0.15418879999999999</v>
      </c>
      <c r="I53" s="13">
        <f t="shared" si="8"/>
        <v>77.094399999999993</v>
      </c>
    </row>
    <row r="54" spans="1:9">
      <c r="A54" s="30">
        <v>18</v>
      </c>
      <c r="B54" s="62" t="s">
        <v>39</v>
      </c>
      <c r="C54" s="63" t="s">
        <v>98</v>
      </c>
      <c r="D54" s="214">
        <v>44078</v>
      </c>
      <c r="E54" s="64">
        <v>80</v>
      </c>
      <c r="F54" s="65">
        <f>SUM(E54)*3</f>
        <v>240</v>
      </c>
      <c r="G54" s="102">
        <v>89.59</v>
      </c>
      <c r="H54" s="66">
        <f t="shared" si="5"/>
        <v>21.501600000000003</v>
      </c>
      <c r="I54" s="13">
        <f>G54*240/3</f>
        <v>7167.2000000000007</v>
      </c>
    </row>
    <row r="55" spans="1:9">
      <c r="A55" s="249" t="s">
        <v>125</v>
      </c>
      <c r="B55" s="250"/>
      <c r="C55" s="250"/>
      <c r="D55" s="250"/>
      <c r="E55" s="250"/>
      <c r="F55" s="250"/>
      <c r="G55" s="250"/>
      <c r="H55" s="250"/>
      <c r="I55" s="251"/>
    </row>
    <row r="56" spans="1:9" hidden="1">
      <c r="A56" s="30"/>
      <c r="B56" s="81" t="s">
        <v>41</v>
      </c>
      <c r="C56" s="63"/>
      <c r="D56" s="62"/>
      <c r="E56" s="64"/>
      <c r="F56" s="65"/>
      <c r="G56" s="65"/>
      <c r="H56" s="66"/>
      <c r="I56" s="13"/>
    </row>
    <row r="57" spans="1:9" hidden="1">
      <c r="A57" s="30">
        <v>15</v>
      </c>
      <c r="B57" s="71" t="s">
        <v>120</v>
      </c>
      <c r="C57" s="72" t="s">
        <v>121</v>
      </c>
      <c r="D57" s="71" t="s">
        <v>40</v>
      </c>
      <c r="E57" s="73">
        <v>2</v>
      </c>
      <c r="F57" s="74">
        <v>4</v>
      </c>
      <c r="G57" s="13">
        <v>237.1</v>
      </c>
      <c r="H57" s="66">
        <f t="shared" ref="H57" si="9">SUM(F57*G57/1000)</f>
        <v>0.94840000000000002</v>
      </c>
      <c r="I57" s="13">
        <f>F57/2*G57</f>
        <v>474.2</v>
      </c>
    </row>
    <row r="58" spans="1:9" hidden="1">
      <c r="A58" s="30">
        <v>16</v>
      </c>
      <c r="B58" s="62" t="s">
        <v>119</v>
      </c>
      <c r="C58" s="63" t="s">
        <v>80</v>
      </c>
      <c r="D58" s="62" t="s">
        <v>99</v>
      </c>
      <c r="E58" s="64">
        <v>3.8</v>
      </c>
      <c r="F58" s="65">
        <f>SUM(E58*6/100)</f>
        <v>0.22799999999999998</v>
      </c>
      <c r="G58" s="13">
        <v>2029.3</v>
      </c>
      <c r="H58" s="66">
        <f>SUM(F58*G58/1000)</f>
        <v>0.46268039999999994</v>
      </c>
      <c r="I58" s="13">
        <f>F58/6*G58</f>
        <v>77.113399999999999</v>
      </c>
    </row>
    <row r="59" spans="1:9" hidden="1">
      <c r="A59" s="30"/>
      <c r="B59" s="62" t="s">
        <v>140</v>
      </c>
      <c r="C59" s="63" t="s">
        <v>141</v>
      </c>
      <c r="D59" s="62" t="s">
        <v>63</v>
      </c>
      <c r="E59" s="64"/>
      <c r="F59" s="65">
        <v>3</v>
      </c>
      <c r="G59" s="13">
        <v>1582.05</v>
      </c>
      <c r="H59" s="66">
        <f>SUM(F59*G59/1000)</f>
        <v>4.7461499999999992</v>
      </c>
      <c r="I59" s="13">
        <v>0</v>
      </c>
    </row>
    <row r="60" spans="1:9" ht="16.5" customHeight="1">
      <c r="A60" s="30"/>
      <c r="B60" s="82" t="s">
        <v>42</v>
      </c>
      <c r="C60" s="72"/>
      <c r="D60" s="71"/>
      <c r="E60" s="73"/>
      <c r="F60" s="74"/>
      <c r="G60" s="13"/>
      <c r="H60" s="75"/>
      <c r="I60" s="13"/>
    </row>
    <row r="61" spans="1:9" hidden="1">
      <c r="A61" s="30"/>
      <c r="B61" s="71" t="s">
        <v>142</v>
      </c>
      <c r="C61" s="72" t="s">
        <v>50</v>
      </c>
      <c r="D61" s="71" t="s">
        <v>51</v>
      </c>
      <c r="E61" s="73">
        <v>110</v>
      </c>
      <c r="F61" s="74">
        <f>E61/100</f>
        <v>1.1000000000000001</v>
      </c>
      <c r="G61" s="13">
        <v>1040.8399999999999</v>
      </c>
      <c r="H61" s="75">
        <f>F61*G61/1000</f>
        <v>1.1449240000000001</v>
      </c>
      <c r="I61" s="13">
        <v>0</v>
      </c>
    </row>
    <row r="62" spans="1:9" ht="18.75" customHeight="1">
      <c r="A62" s="30">
        <v>19</v>
      </c>
      <c r="B62" s="71" t="s">
        <v>109</v>
      </c>
      <c r="C62" s="72" t="s">
        <v>25</v>
      </c>
      <c r="D62" s="71" t="s">
        <v>178</v>
      </c>
      <c r="E62" s="73">
        <v>100</v>
      </c>
      <c r="F62" s="76">
        <f>E62*12</f>
        <v>1200</v>
      </c>
      <c r="G62" s="56">
        <v>1.4</v>
      </c>
      <c r="H62" s="74">
        <f>F62*G62/1000</f>
        <v>1.68</v>
      </c>
      <c r="I62" s="13">
        <f>F62/12*G62</f>
        <v>140</v>
      </c>
    </row>
    <row r="63" spans="1:9" ht="15.75" customHeight="1">
      <c r="A63" s="30"/>
      <c r="B63" s="82" t="s">
        <v>43</v>
      </c>
      <c r="C63" s="72"/>
      <c r="D63" s="71"/>
      <c r="E63" s="73"/>
      <c r="F63" s="76"/>
      <c r="G63" s="76"/>
      <c r="H63" s="74" t="s">
        <v>122</v>
      </c>
      <c r="I63" s="13"/>
    </row>
    <row r="64" spans="1:9">
      <c r="A64" s="30">
        <v>20</v>
      </c>
      <c r="B64" s="14" t="s">
        <v>44</v>
      </c>
      <c r="C64" s="16" t="s">
        <v>98</v>
      </c>
      <c r="D64" s="14" t="s">
        <v>261</v>
      </c>
      <c r="E64" s="18">
        <v>8</v>
      </c>
      <c r="F64" s="65">
        <f>SUM(E64)</f>
        <v>8</v>
      </c>
      <c r="G64" s="34">
        <v>303.35000000000002</v>
      </c>
      <c r="H64" s="61">
        <f t="shared" ref="H64:H81" si="10">SUM(F64*G64/1000)</f>
        <v>2.4268000000000001</v>
      </c>
      <c r="I64" s="13">
        <f>G64*3</f>
        <v>910.05000000000007</v>
      </c>
    </row>
    <row r="65" spans="1:9" hidden="1">
      <c r="A65" s="30"/>
      <c r="B65" s="14" t="s">
        <v>45</v>
      </c>
      <c r="C65" s="16" t="s">
        <v>98</v>
      </c>
      <c r="D65" s="14" t="s">
        <v>63</v>
      </c>
      <c r="E65" s="18">
        <v>4</v>
      </c>
      <c r="F65" s="65">
        <f>SUM(E65)</f>
        <v>4</v>
      </c>
      <c r="G65" s="34">
        <v>104.01</v>
      </c>
      <c r="H65" s="61">
        <f t="shared" si="10"/>
        <v>0.41604000000000002</v>
      </c>
      <c r="I65" s="13">
        <v>0</v>
      </c>
    </row>
    <row r="66" spans="1:9" hidden="1">
      <c r="A66" s="30">
        <v>28</v>
      </c>
      <c r="B66" s="14" t="s">
        <v>46</v>
      </c>
      <c r="C66" s="16" t="s">
        <v>100</v>
      </c>
      <c r="D66" s="14" t="s">
        <v>51</v>
      </c>
      <c r="E66" s="64">
        <v>9962</v>
      </c>
      <c r="F66" s="13">
        <f>SUM(E66/100)</f>
        <v>99.62</v>
      </c>
      <c r="G66" s="34">
        <v>289.37</v>
      </c>
      <c r="H66" s="61">
        <f t="shared" si="10"/>
        <v>28.8270394</v>
      </c>
      <c r="I66" s="13">
        <f>F66*G66</f>
        <v>28827.039400000001</v>
      </c>
    </row>
    <row r="67" spans="1:9" hidden="1">
      <c r="A67" s="30">
        <v>29</v>
      </c>
      <c r="B67" s="14" t="s">
        <v>47</v>
      </c>
      <c r="C67" s="16" t="s">
        <v>101</v>
      </c>
      <c r="D67" s="14"/>
      <c r="E67" s="64">
        <v>9962</v>
      </c>
      <c r="F67" s="13">
        <f>SUM(E67/1000)</f>
        <v>9.9619999999999997</v>
      </c>
      <c r="G67" s="34">
        <v>225.35</v>
      </c>
      <c r="H67" s="61">
        <f t="shared" si="10"/>
        <v>2.2449366999999998</v>
      </c>
      <c r="I67" s="13">
        <f t="shared" ref="I67:I71" si="11">F67*G67</f>
        <v>2244.9366999999997</v>
      </c>
    </row>
    <row r="68" spans="1:9" hidden="1">
      <c r="A68" s="30">
        <v>30</v>
      </c>
      <c r="B68" s="14" t="s">
        <v>48</v>
      </c>
      <c r="C68" s="16" t="s">
        <v>72</v>
      </c>
      <c r="D68" s="14" t="s">
        <v>51</v>
      </c>
      <c r="E68" s="64">
        <v>806.3</v>
      </c>
      <c r="F68" s="13">
        <f>SUM(E68/100)</f>
        <v>8.0629999999999988</v>
      </c>
      <c r="G68" s="34">
        <v>2829.78</v>
      </c>
      <c r="H68" s="61">
        <f t="shared" si="10"/>
        <v>22.816516140000001</v>
      </c>
      <c r="I68" s="13">
        <f t="shared" si="11"/>
        <v>22816.51614</v>
      </c>
    </row>
    <row r="69" spans="1:9" hidden="1">
      <c r="A69" s="30">
        <v>31</v>
      </c>
      <c r="B69" s="89" t="s">
        <v>102</v>
      </c>
      <c r="C69" s="90" t="s">
        <v>32</v>
      </c>
      <c r="D69" s="91"/>
      <c r="E69" s="73">
        <v>9.4</v>
      </c>
      <c r="F69" s="92">
        <f>SUM(E69)</f>
        <v>9.4</v>
      </c>
      <c r="G69" s="133">
        <v>44.31</v>
      </c>
      <c r="H69" s="93">
        <f t="shared" si="10"/>
        <v>0.416514</v>
      </c>
      <c r="I69" s="13">
        <f t="shared" si="11"/>
        <v>416.51400000000001</v>
      </c>
    </row>
    <row r="70" spans="1:9" hidden="1">
      <c r="A70" s="30"/>
      <c r="B70" s="77" t="s">
        <v>103</v>
      </c>
      <c r="C70" s="16" t="s">
        <v>32</v>
      </c>
      <c r="D70" s="14"/>
      <c r="E70" s="18">
        <v>9.4</v>
      </c>
      <c r="F70" s="92">
        <f t="shared" ref="F70:F73" si="12">SUM(E70)</f>
        <v>9.4</v>
      </c>
      <c r="G70" s="34">
        <v>47.79</v>
      </c>
      <c r="H70" s="13">
        <f t="shared" si="10"/>
        <v>0.44922600000000001</v>
      </c>
      <c r="I70" s="13">
        <f t="shared" si="11"/>
        <v>449.226</v>
      </c>
    </row>
    <row r="71" spans="1:9" ht="16.5" customHeight="1">
      <c r="A71" s="30">
        <v>21</v>
      </c>
      <c r="B71" s="14" t="s">
        <v>54</v>
      </c>
      <c r="C71" s="16" t="s">
        <v>55</v>
      </c>
      <c r="D71" s="14" t="s">
        <v>184</v>
      </c>
      <c r="E71" s="18">
        <v>2</v>
      </c>
      <c r="F71" s="92">
        <f t="shared" si="12"/>
        <v>2</v>
      </c>
      <c r="G71" s="34">
        <v>68.040000000000006</v>
      </c>
      <c r="H71" s="13">
        <f t="shared" si="10"/>
        <v>0.13608000000000001</v>
      </c>
      <c r="I71" s="13">
        <f t="shared" si="11"/>
        <v>136.08000000000001</v>
      </c>
    </row>
    <row r="72" spans="1:9" ht="15.75" customHeight="1">
      <c r="A72" s="30"/>
      <c r="B72" s="153" t="s">
        <v>68</v>
      </c>
      <c r="C72" s="16"/>
      <c r="D72" s="14"/>
      <c r="E72" s="18"/>
      <c r="F72" s="13"/>
      <c r="G72" s="13"/>
      <c r="H72" s="13" t="s">
        <v>122</v>
      </c>
      <c r="I72" s="13"/>
    </row>
    <row r="73" spans="1:9" ht="30" hidden="1">
      <c r="A73" s="30"/>
      <c r="B73" s="14" t="s">
        <v>143</v>
      </c>
      <c r="C73" s="16" t="s">
        <v>98</v>
      </c>
      <c r="D73" s="14" t="s">
        <v>63</v>
      </c>
      <c r="E73" s="18">
        <v>2</v>
      </c>
      <c r="F73" s="92">
        <f t="shared" si="12"/>
        <v>2</v>
      </c>
      <c r="G73" s="13">
        <v>1543.4</v>
      </c>
      <c r="H73" s="13">
        <f t="shared" ref="H73:H75" si="13">SUM(F73*G73/1000)</f>
        <v>3.0868000000000002</v>
      </c>
      <c r="I73" s="13">
        <v>0</v>
      </c>
    </row>
    <row r="74" spans="1:9" hidden="1">
      <c r="A74" s="30">
        <v>11</v>
      </c>
      <c r="B74" s="14" t="s">
        <v>69</v>
      </c>
      <c r="C74" s="16" t="s">
        <v>70</v>
      </c>
      <c r="D74" s="14" t="s">
        <v>63</v>
      </c>
      <c r="E74" s="18">
        <v>2</v>
      </c>
      <c r="F74" s="13">
        <f>E74/10</f>
        <v>0.2</v>
      </c>
      <c r="G74" s="140">
        <v>684.19</v>
      </c>
      <c r="H74" s="13">
        <f t="shared" si="13"/>
        <v>0.13683800000000002</v>
      </c>
      <c r="I74" s="13">
        <f>G74*0.2</f>
        <v>136.83800000000002</v>
      </c>
    </row>
    <row r="75" spans="1:9" hidden="1">
      <c r="A75" s="30"/>
      <c r="B75" s="14" t="s">
        <v>144</v>
      </c>
      <c r="C75" s="16" t="s">
        <v>98</v>
      </c>
      <c r="D75" s="14" t="s">
        <v>63</v>
      </c>
      <c r="E75" s="18">
        <v>1</v>
      </c>
      <c r="F75" s="13">
        <f>SUM(E75)</f>
        <v>1</v>
      </c>
      <c r="G75" s="13">
        <v>1118.72</v>
      </c>
      <c r="H75" s="13">
        <f t="shared" si="13"/>
        <v>1.1187199999999999</v>
      </c>
      <c r="I75" s="13">
        <v>0</v>
      </c>
    </row>
    <row r="76" spans="1:9" hidden="1">
      <c r="A76" s="30"/>
      <c r="B76" s="46" t="s">
        <v>145</v>
      </c>
      <c r="C76" s="49" t="s">
        <v>98</v>
      </c>
      <c r="D76" s="14" t="s">
        <v>63</v>
      </c>
      <c r="E76" s="18">
        <v>1</v>
      </c>
      <c r="F76" s="13">
        <v>1</v>
      </c>
      <c r="G76" s="13">
        <v>1605.83</v>
      </c>
      <c r="H76" s="13">
        <f>SUM(F76*G76/1000)</f>
        <v>1.6058299999999999</v>
      </c>
      <c r="I76" s="13">
        <v>0</v>
      </c>
    </row>
    <row r="77" spans="1:9" ht="16.5" customHeight="1">
      <c r="A77" s="30">
        <v>22</v>
      </c>
      <c r="B77" s="46" t="s">
        <v>146</v>
      </c>
      <c r="C77" s="49" t="s">
        <v>98</v>
      </c>
      <c r="D77" s="14" t="s">
        <v>184</v>
      </c>
      <c r="E77" s="18">
        <v>1</v>
      </c>
      <c r="F77" s="13">
        <f>E77*12</f>
        <v>12</v>
      </c>
      <c r="G77" s="13">
        <v>55.55</v>
      </c>
      <c r="H77" s="13">
        <f t="shared" ref="H77" si="14">SUM(F77*G77/1000)</f>
        <v>0.66659999999999986</v>
      </c>
      <c r="I77" s="13">
        <f>F77/12*G77</f>
        <v>55.55</v>
      </c>
    </row>
    <row r="78" spans="1:9" ht="17.25" customHeight="1">
      <c r="A78" s="30"/>
      <c r="B78" s="100" t="s">
        <v>147</v>
      </c>
      <c r="C78" s="49"/>
      <c r="D78" s="14"/>
      <c r="E78" s="18"/>
      <c r="F78" s="13"/>
      <c r="G78" s="13"/>
      <c r="H78" s="61"/>
      <c r="I78" s="13"/>
    </row>
    <row r="79" spans="1:9" ht="16.5" customHeight="1">
      <c r="A79" s="30">
        <v>23</v>
      </c>
      <c r="B79" s="14" t="s">
        <v>148</v>
      </c>
      <c r="C79" s="30" t="s">
        <v>149</v>
      </c>
      <c r="D79" s="14"/>
      <c r="E79" s="18">
        <v>2409</v>
      </c>
      <c r="F79" s="13">
        <f>SUM(E79*12)</f>
        <v>28908</v>
      </c>
      <c r="G79" s="13">
        <v>2.37</v>
      </c>
      <c r="H79" s="61">
        <f t="shared" ref="H79" si="15">SUM(F79*G79/1000)</f>
        <v>68.511960000000002</v>
      </c>
      <c r="I79" s="13">
        <f>F79/12*G79</f>
        <v>5709.33</v>
      </c>
    </row>
    <row r="80" spans="1:9" hidden="1">
      <c r="A80" s="30"/>
      <c r="B80" s="79" t="s">
        <v>71</v>
      </c>
      <c r="C80" s="16"/>
      <c r="D80" s="14"/>
      <c r="E80" s="18"/>
      <c r="F80" s="13"/>
      <c r="G80" s="13" t="s">
        <v>122</v>
      </c>
      <c r="H80" s="13" t="s">
        <v>122</v>
      </c>
      <c r="I80" s="13"/>
    </row>
    <row r="81" spans="1:9" hidden="1">
      <c r="A81" s="30"/>
      <c r="B81" s="43" t="s">
        <v>111</v>
      </c>
      <c r="C81" s="16" t="s">
        <v>72</v>
      </c>
      <c r="D81" s="14"/>
      <c r="E81" s="18"/>
      <c r="F81" s="13">
        <v>0.1</v>
      </c>
      <c r="G81" s="13">
        <v>3619.09</v>
      </c>
      <c r="H81" s="13">
        <f t="shared" si="10"/>
        <v>0.36190900000000004</v>
      </c>
      <c r="I81" s="13">
        <v>0</v>
      </c>
    </row>
    <row r="82" spans="1:9" ht="28.5" hidden="1">
      <c r="A82" s="30"/>
      <c r="B82" s="101" t="s">
        <v>86</v>
      </c>
      <c r="C82" s="94"/>
      <c r="D82" s="95"/>
      <c r="E82" s="96"/>
      <c r="F82" s="97"/>
      <c r="G82" s="97"/>
      <c r="H82" s="98">
        <f>SUM(H57:H81)</f>
        <v>142.20396364000001</v>
      </c>
      <c r="I82" s="68"/>
    </row>
    <row r="83" spans="1:9" hidden="1">
      <c r="A83" s="30">
        <v>14</v>
      </c>
      <c r="B83" s="62" t="s">
        <v>104</v>
      </c>
      <c r="C83" s="16"/>
      <c r="D83" s="14"/>
      <c r="E83" s="57"/>
      <c r="F83" s="13">
        <v>1</v>
      </c>
      <c r="G83" s="13">
        <v>1428.4</v>
      </c>
      <c r="H83" s="61">
        <f>G83*F83/1000</f>
        <v>1.4284000000000001</v>
      </c>
      <c r="I83" s="13">
        <f>G83</f>
        <v>1428.4</v>
      </c>
    </row>
    <row r="84" spans="1:9">
      <c r="A84" s="225" t="s">
        <v>126</v>
      </c>
      <c r="B84" s="226"/>
      <c r="C84" s="226"/>
      <c r="D84" s="226"/>
      <c r="E84" s="226"/>
      <c r="F84" s="226"/>
      <c r="G84" s="226"/>
      <c r="H84" s="226"/>
      <c r="I84" s="227"/>
    </row>
    <row r="85" spans="1:9" ht="15" customHeight="1">
      <c r="A85" s="30">
        <v>24</v>
      </c>
      <c r="B85" s="62" t="s">
        <v>105</v>
      </c>
      <c r="C85" s="16" t="s">
        <v>52</v>
      </c>
      <c r="D85" s="99"/>
      <c r="E85" s="13">
        <v>2409</v>
      </c>
      <c r="F85" s="13">
        <f>SUM(E85*12)</f>
        <v>28908</v>
      </c>
      <c r="G85" s="13">
        <v>3.22</v>
      </c>
      <c r="H85" s="61">
        <f>SUM(F85*G85/1000)</f>
        <v>93.083760000000012</v>
      </c>
      <c r="I85" s="13">
        <f>F85/12*G85</f>
        <v>7756.9800000000005</v>
      </c>
    </row>
    <row r="86" spans="1:9" ht="35.25" customHeight="1">
      <c r="A86" s="30">
        <v>25</v>
      </c>
      <c r="B86" s="14" t="s">
        <v>73</v>
      </c>
      <c r="C86" s="16"/>
      <c r="D86" s="99"/>
      <c r="E86" s="64">
        <f>E85</f>
        <v>2409</v>
      </c>
      <c r="F86" s="13">
        <f>E86*12</f>
        <v>28908</v>
      </c>
      <c r="G86" s="13">
        <v>3.64</v>
      </c>
      <c r="H86" s="61">
        <f>F86*G86/1000</f>
        <v>105.22512</v>
      </c>
      <c r="I86" s="13">
        <f>F86/12*G86</f>
        <v>8768.76</v>
      </c>
    </row>
    <row r="87" spans="1:9">
      <c r="A87" s="30"/>
      <c r="B87" s="36" t="s">
        <v>75</v>
      </c>
      <c r="C87" s="79"/>
      <c r="D87" s="78"/>
      <c r="E87" s="68"/>
      <c r="F87" s="68"/>
      <c r="G87" s="68"/>
      <c r="H87" s="80">
        <f>H86</f>
        <v>105.22512</v>
      </c>
      <c r="I87" s="68">
        <f>I86+I85+I79+I77+I71+I64+I62+I54+I53+I52+I51+I50+I49+I48+I47+I46+I33+I31+I30+I27+I21+I20+I18+I17+I16</f>
        <v>52372.92941833334</v>
      </c>
    </row>
    <row r="88" spans="1:9">
      <c r="A88" s="230" t="s">
        <v>57</v>
      </c>
      <c r="B88" s="231"/>
      <c r="C88" s="231"/>
      <c r="D88" s="231"/>
      <c r="E88" s="231"/>
      <c r="F88" s="231"/>
      <c r="G88" s="231"/>
      <c r="H88" s="231"/>
      <c r="I88" s="232"/>
    </row>
    <row r="89" spans="1:9" hidden="1">
      <c r="A89" s="30"/>
      <c r="B89" s="164"/>
      <c r="C89" s="165"/>
      <c r="D89" s="43"/>
      <c r="E89" s="13"/>
      <c r="F89" s="13"/>
      <c r="G89" s="140"/>
      <c r="H89" s="61"/>
      <c r="I89" s="13"/>
    </row>
    <row r="90" spans="1:9" hidden="1">
      <c r="A90" s="30"/>
      <c r="B90" s="164"/>
      <c r="C90" s="165"/>
      <c r="D90" s="43"/>
      <c r="E90" s="13"/>
      <c r="F90" s="13"/>
      <c r="G90" s="140"/>
      <c r="H90" s="61"/>
      <c r="I90" s="13"/>
    </row>
    <row r="91" spans="1:9" hidden="1">
      <c r="A91" s="30"/>
      <c r="B91" s="164"/>
      <c r="C91" s="165"/>
      <c r="D91" s="43"/>
      <c r="E91" s="13"/>
      <c r="F91" s="13"/>
      <c r="G91" s="140"/>
      <c r="H91" s="61"/>
      <c r="I91" s="13"/>
    </row>
    <row r="92" spans="1:9" hidden="1">
      <c r="A92" s="30"/>
      <c r="B92" s="164"/>
      <c r="C92" s="165"/>
      <c r="D92" s="43"/>
      <c r="E92" s="13"/>
      <c r="F92" s="13"/>
      <c r="G92" s="140"/>
      <c r="H92" s="61"/>
      <c r="I92" s="13"/>
    </row>
    <row r="93" spans="1:9" hidden="1">
      <c r="A93" s="30"/>
      <c r="B93" s="164"/>
      <c r="C93" s="165"/>
      <c r="D93" s="43"/>
      <c r="E93" s="13"/>
      <c r="F93" s="13"/>
      <c r="G93" s="140"/>
      <c r="H93" s="61"/>
      <c r="I93" s="13"/>
    </row>
    <row r="94" spans="1:9">
      <c r="A94" s="30">
        <v>26</v>
      </c>
      <c r="B94" s="47" t="s">
        <v>262</v>
      </c>
      <c r="C94" s="48" t="s">
        <v>188</v>
      </c>
      <c r="D94" s="115" t="s">
        <v>264</v>
      </c>
      <c r="E94" s="34"/>
      <c r="F94" s="34">
        <v>1</v>
      </c>
      <c r="G94" s="34">
        <v>9251.33</v>
      </c>
      <c r="H94" s="61"/>
      <c r="I94" s="13">
        <f>G94*1</f>
        <v>9251.33</v>
      </c>
    </row>
    <row r="95" spans="1:9" ht="30">
      <c r="A95" s="30">
        <v>27</v>
      </c>
      <c r="B95" s="47" t="s">
        <v>263</v>
      </c>
      <c r="C95" s="48" t="s">
        <v>29</v>
      </c>
      <c r="D95" s="115" t="s">
        <v>178</v>
      </c>
      <c r="E95" s="34"/>
      <c r="F95" s="34">
        <v>0.1</v>
      </c>
      <c r="G95" s="34">
        <v>1809.27</v>
      </c>
      <c r="H95" s="61"/>
      <c r="I95" s="13">
        <v>0</v>
      </c>
    </row>
    <row r="96" spans="1:9" ht="14.25" customHeight="1">
      <c r="A96" s="30"/>
      <c r="B96" s="41" t="s">
        <v>49</v>
      </c>
      <c r="C96" s="37"/>
      <c r="D96" s="44"/>
      <c r="E96" s="37">
        <v>1</v>
      </c>
      <c r="F96" s="37"/>
      <c r="G96" s="37"/>
      <c r="H96" s="37"/>
      <c r="I96" s="32">
        <f>SUM(I94:I95)</f>
        <v>9251.33</v>
      </c>
    </row>
    <row r="97" spans="1:9">
      <c r="A97" s="30"/>
      <c r="B97" s="43" t="s">
        <v>74</v>
      </c>
      <c r="C97" s="15"/>
      <c r="D97" s="15"/>
      <c r="E97" s="38"/>
      <c r="F97" s="38"/>
      <c r="G97" s="39"/>
      <c r="H97" s="39"/>
      <c r="I97" s="17">
        <v>0</v>
      </c>
    </row>
    <row r="98" spans="1:9">
      <c r="A98" s="45"/>
      <c r="B98" s="42" t="s">
        <v>133</v>
      </c>
      <c r="C98" s="33"/>
      <c r="D98" s="33"/>
      <c r="E98" s="33"/>
      <c r="F98" s="33"/>
      <c r="G98" s="33"/>
      <c r="H98" s="33"/>
      <c r="I98" s="40">
        <f>I87+I96</f>
        <v>61624.259418333342</v>
      </c>
    </row>
    <row r="99" spans="1:9" ht="15.75">
      <c r="A99" s="235" t="s">
        <v>296</v>
      </c>
      <c r="B99" s="235"/>
      <c r="C99" s="235"/>
      <c r="D99" s="235"/>
      <c r="E99" s="235"/>
      <c r="F99" s="235"/>
      <c r="G99" s="235"/>
      <c r="H99" s="235"/>
      <c r="I99" s="235"/>
    </row>
    <row r="100" spans="1:9" ht="15.75">
      <c r="A100" s="55"/>
      <c r="B100" s="236" t="s">
        <v>297</v>
      </c>
      <c r="C100" s="236"/>
      <c r="D100" s="236"/>
      <c r="E100" s="236"/>
      <c r="F100" s="236"/>
      <c r="G100" s="236"/>
      <c r="H100" s="60"/>
      <c r="I100" s="3"/>
    </row>
    <row r="101" spans="1:9">
      <c r="A101" s="149"/>
      <c r="B101" s="237" t="s">
        <v>6</v>
      </c>
      <c r="C101" s="237"/>
      <c r="D101" s="237"/>
      <c r="E101" s="237"/>
      <c r="F101" s="237"/>
      <c r="G101" s="237"/>
      <c r="H101" s="25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238" t="s">
        <v>7</v>
      </c>
      <c r="B103" s="238"/>
      <c r="C103" s="238"/>
      <c r="D103" s="238"/>
      <c r="E103" s="238"/>
      <c r="F103" s="238"/>
      <c r="G103" s="238"/>
      <c r="H103" s="238"/>
      <c r="I103" s="238"/>
    </row>
    <row r="104" spans="1:9" ht="15.75">
      <c r="A104" s="238" t="s">
        <v>8</v>
      </c>
      <c r="B104" s="238"/>
      <c r="C104" s="238"/>
      <c r="D104" s="238"/>
      <c r="E104" s="238"/>
      <c r="F104" s="238"/>
      <c r="G104" s="238"/>
      <c r="H104" s="238"/>
      <c r="I104" s="238"/>
    </row>
    <row r="105" spans="1:9" ht="15.75">
      <c r="A105" s="239" t="s">
        <v>58</v>
      </c>
      <c r="B105" s="239"/>
      <c r="C105" s="239"/>
      <c r="D105" s="239"/>
      <c r="E105" s="239"/>
      <c r="F105" s="239"/>
      <c r="G105" s="239"/>
      <c r="H105" s="239"/>
      <c r="I105" s="239"/>
    </row>
    <row r="106" spans="1:9" ht="15.75">
      <c r="A106" s="11"/>
    </row>
    <row r="107" spans="1:9" ht="15.75">
      <c r="A107" s="240" t="s">
        <v>9</v>
      </c>
      <c r="B107" s="240"/>
      <c r="C107" s="240"/>
      <c r="D107" s="240"/>
      <c r="E107" s="240"/>
      <c r="F107" s="240"/>
      <c r="G107" s="240"/>
      <c r="H107" s="240"/>
      <c r="I107" s="240"/>
    </row>
    <row r="108" spans="1:9" ht="15.75">
      <c r="A108" s="4"/>
    </row>
    <row r="109" spans="1:9" ht="15.75">
      <c r="B109" s="151" t="s">
        <v>10</v>
      </c>
      <c r="C109" s="241" t="s">
        <v>127</v>
      </c>
      <c r="D109" s="241"/>
      <c r="E109" s="241"/>
      <c r="F109" s="58"/>
      <c r="I109" s="148"/>
    </row>
    <row r="110" spans="1:9">
      <c r="A110" s="149"/>
      <c r="C110" s="237" t="s">
        <v>11</v>
      </c>
      <c r="D110" s="237"/>
      <c r="E110" s="237"/>
      <c r="F110" s="25"/>
      <c r="I110" s="150" t="s">
        <v>12</v>
      </c>
    </row>
    <row r="111" spans="1:9" ht="15.75">
      <c r="A111" s="26"/>
      <c r="C111" s="12"/>
      <c r="D111" s="12"/>
      <c r="G111" s="12"/>
      <c r="H111" s="12"/>
    </row>
    <row r="112" spans="1:9" ht="15.75">
      <c r="B112" s="151" t="s">
        <v>13</v>
      </c>
      <c r="C112" s="233"/>
      <c r="D112" s="233"/>
      <c r="E112" s="233"/>
      <c r="F112" s="59"/>
      <c r="I112" s="148"/>
    </row>
    <row r="113" spans="1:9">
      <c r="A113" s="149"/>
      <c r="C113" s="234" t="s">
        <v>11</v>
      </c>
      <c r="D113" s="234"/>
      <c r="E113" s="234"/>
      <c r="F113" s="149"/>
      <c r="I113" s="150" t="s">
        <v>12</v>
      </c>
    </row>
    <row r="114" spans="1:9" ht="15.75">
      <c r="A114" s="4" t="s">
        <v>14</v>
      </c>
    </row>
    <row r="115" spans="1:9">
      <c r="A115" s="228" t="s">
        <v>15</v>
      </c>
      <c r="B115" s="228"/>
      <c r="C115" s="228"/>
      <c r="D115" s="228"/>
      <c r="E115" s="228"/>
      <c r="F115" s="228"/>
      <c r="G115" s="228"/>
      <c r="H115" s="228"/>
      <c r="I115" s="228"/>
    </row>
    <row r="116" spans="1:9" ht="42.75" customHeight="1">
      <c r="A116" s="229" t="s">
        <v>16</v>
      </c>
      <c r="B116" s="229"/>
      <c r="C116" s="229"/>
      <c r="D116" s="229"/>
      <c r="E116" s="229"/>
      <c r="F116" s="229"/>
      <c r="G116" s="229"/>
      <c r="H116" s="229"/>
      <c r="I116" s="229"/>
    </row>
    <row r="117" spans="1:9" ht="47.25" customHeight="1">
      <c r="A117" s="229" t="s">
        <v>17</v>
      </c>
      <c r="B117" s="229"/>
      <c r="C117" s="229"/>
      <c r="D117" s="229"/>
      <c r="E117" s="229"/>
      <c r="F117" s="229"/>
      <c r="G117" s="229"/>
      <c r="H117" s="229"/>
      <c r="I117" s="229"/>
    </row>
    <row r="118" spans="1:9" ht="42" customHeight="1">
      <c r="A118" s="229" t="s">
        <v>21</v>
      </c>
      <c r="B118" s="229"/>
      <c r="C118" s="229"/>
      <c r="D118" s="229"/>
      <c r="E118" s="229"/>
      <c r="F118" s="229"/>
      <c r="G118" s="229"/>
      <c r="H118" s="229"/>
      <c r="I118" s="229"/>
    </row>
    <row r="119" spans="1:9" ht="15.75">
      <c r="A119" s="229" t="s">
        <v>20</v>
      </c>
      <c r="B119" s="229"/>
      <c r="C119" s="229"/>
      <c r="D119" s="229"/>
      <c r="E119" s="229"/>
      <c r="F119" s="229"/>
      <c r="G119" s="229"/>
      <c r="H119" s="229"/>
      <c r="I119" s="229"/>
    </row>
  </sheetData>
  <mergeCells count="28">
    <mergeCell ref="A14:I14"/>
    <mergeCell ref="A3:I3"/>
    <mergeCell ref="A4:I4"/>
    <mergeCell ref="A5:I5"/>
    <mergeCell ref="A8:I8"/>
    <mergeCell ref="A10:I10"/>
    <mergeCell ref="A105:I105"/>
    <mergeCell ref="A15:I15"/>
    <mergeCell ref="A28:I28"/>
    <mergeCell ref="A45:I45"/>
    <mergeCell ref="A55:I55"/>
    <mergeCell ref="A84:I84"/>
    <mergeCell ref="A88:I88"/>
    <mergeCell ref="A99:I99"/>
    <mergeCell ref="B100:G100"/>
    <mergeCell ref="B101:G101"/>
    <mergeCell ref="A103:I103"/>
    <mergeCell ref="A104:I104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</vt:i4>
      </vt:variant>
    </vt:vector>
  </HeadingPairs>
  <TitlesOfParts>
    <vt:vector size="16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'05.20'!Область_печати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2021-02-11T06:12:46Z</cp:lastPrinted>
  <dcterms:created xsi:type="dcterms:W3CDTF">2016-03-25T08:33:47Z</dcterms:created>
  <dcterms:modified xsi:type="dcterms:W3CDTF">2021-02-11T06:14:07Z</dcterms:modified>
</cp:coreProperties>
</file>