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6" r:id="rId11"/>
    <sheet name="12.16" sheetId="8" r:id="rId12"/>
  </sheets>
  <definedNames>
    <definedName name="_xlnm._FilterDatabase" localSheetId="0" hidden="1">'01.16'!$I$12:$I$61</definedName>
    <definedName name="_xlnm._FilterDatabase" localSheetId="1" hidden="1">'02.16'!$I$12:$I$61</definedName>
    <definedName name="_xlnm._FilterDatabase" localSheetId="2" hidden="1">'03.16'!$I$12:$I$61</definedName>
    <definedName name="_xlnm._FilterDatabase" localSheetId="3" hidden="1">'04.16'!$I$12:$I$61</definedName>
    <definedName name="_xlnm._FilterDatabase" localSheetId="4" hidden="1">'05.16'!$I$12:$I$61</definedName>
    <definedName name="_xlnm._FilterDatabase" localSheetId="5" hidden="1">'06.16'!$I$12:$I$61</definedName>
    <definedName name="_xlnm._FilterDatabase" localSheetId="6" hidden="1">'07.16'!$I$12:$I$61</definedName>
    <definedName name="_xlnm._FilterDatabase" localSheetId="7" hidden="1">'08.16'!$I$12:$I$61</definedName>
    <definedName name="_xlnm._FilterDatabase" localSheetId="8" hidden="1">'09.16'!$I$12:$I$56</definedName>
    <definedName name="_xlnm._FilterDatabase" localSheetId="9" hidden="1">'10.16'!$I$12:$I$56</definedName>
    <definedName name="_xlnm._FilterDatabase" localSheetId="11" hidden="1">'12.16'!$G$12:$G$66</definedName>
    <definedName name="_xlnm.Print_Titles" localSheetId="4">'05.16'!$12:$13</definedName>
    <definedName name="_xlnm.Print_Area" localSheetId="0">'01.16'!$A$1:$I$126</definedName>
    <definedName name="_xlnm.Print_Area" localSheetId="1">'02.16'!$A$1:$I$125</definedName>
    <definedName name="_xlnm.Print_Area" localSheetId="2">'03.16'!$A$1:$I$125</definedName>
    <definedName name="_xlnm.Print_Area" localSheetId="3">'04.16'!$A$1:$I$113</definedName>
    <definedName name="_xlnm.Print_Area" localSheetId="4">'05.16'!$A$1:$I$118</definedName>
    <definedName name="_xlnm.Print_Area" localSheetId="5">'06.16'!$A$1:$I$108</definedName>
    <definedName name="_xlnm.Print_Area" localSheetId="6">'07.16'!$A$1:$I$108</definedName>
    <definedName name="_xlnm.Print_Area" localSheetId="7">'08.16'!$A$1:$I$125</definedName>
    <definedName name="_xlnm.Print_Area" localSheetId="8">'09.16'!$A$1:$I$112</definedName>
    <definedName name="_xlnm.Print_Area" localSheetId="9">'10.16'!$A$1:$I$112</definedName>
    <definedName name="_xlnm.Print_Area" localSheetId="10">'11.16'!$A$1:$G$113</definedName>
    <definedName name="_xlnm.Print_Area" localSheetId="11">'12.16'!$A$1:$G$114</definedName>
  </definedNames>
  <calcPr calcId="124519"/>
</workbook>
</file>

<file path=xl/calcChain.xml><?xml version="1.0" encoding="utf-8"?>
<calcChain xmlns="http://schemas.openxmlformats.org/spreadsheetml/2006/main">
  <c r="I85" i="26"/>
  <c r="I81"/>
  <c r="I88"/>
  <c r="I63"/>
  <c r="H88"/>
  <c r="I87"/>
  <c r="I89" s="1"/>
  <c r="H87"/>
  <c r="E84"/>
  <c r="F84" s="1"/>
  <c r="H83"/>
  <c r="F83"/>
  <c r="I83" s="1"/>
  <c r="H81"/>
  <c r="H79"/>
  <c r="I78"/>
  <c r="I77"/>
  <c r="F77"/>
  <c r="H77" s="1"/>
  <c r="H76"/>
  <c r="H75"/>
  <c r="H74"/>
  <c r="H73"/>
  <c r="F73"/>
  <c r="F71"/>
  <c r="H71" s="1"/>
  <c r="I70"/>
  <c r="H70"/>
  <c r="F69"/>
  <c r="H69" s="1"/>
  <c r="F68"/>
  <c r="H68" s="1"/>
  <c r="F67"/>
  <c r="H67" s="1"/>
  <c r="F66"/>
  <c r="H66" s="1"/>
  <c r="F65"/>
  <c r="H65" s="1"/>
  <c r="F64"/>
  <c r="H64" s="1"/>
  <c r="H63"/>
  <c r="F63"/>
  <c r="F61"/>
  <c r="H61" s="1"/>
  <c r="F60"/>
  <c r="H60" s="1"/>
  <c r="H58"/>
  <c r="H57"/>
  <c r="H80" s="1"/>
  <c r="F57"/>
  <c r="I54"/>
  <c r="H54"/>
  <c r="I53"/>
  <c r="H53"/>
  <c r="F52"/>
  <c r="H52" s="1"/>
  <c r="H51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7"/>
  <c r="F17"/>
  <c r="I17" s="1"/>
  <c r="F16"/>
  <c r="H16" s="1"/>
  <c r="I91" i="25"/>
  <c r="I89"/>
  <c r="I85"/>
  <c r="H47" i="26" l="1"/>
  <c r="H49"/>
  <c r="I18"/>
  <c r="H18"/>
  <c r="I84"/>
  <c r="H84"/>
  <c r="H85" s="1"/>
  <c r="I20"/>
  <c r="H21"/>
  <c r="I27"/>
  <c r="H28"/>
  <c r="I31"/>
  <c r="H32"/>
  <c r="I33"/>
  <c r="I34"/>
  <c r="H39"/>
  <c r="I40"/>
  <c r="H41"/>
  <c r="I42"/>
  <c r="H45"/>
  <c r="I46"/>
  <c r="I48"/>
  <c r="I50"/>
  <c r="I52"/>
  <c r="I61"/>
  <c r="I71"/>
  <c r="I16"/>
  <c r="I91" s="1"/>
  <c r="I71" i="25"/>
  <c r="I70"/>
  <c r="I63"/>
  <c r="I61"/>
  <c r="I77"/>
  <c r="I87"/>
  <c r="I54" l="1"/>
  <c r="I53"/>
  <c r="I43"/>
  <c r="H88"/>
  <c r="H87"/>
  <c r="E84"/>
  <c r="F83"/>
  <c r="H81"/>
  <c r="H79"/>
  <c r="F77"/>
  <c r="H77" s="1"/>
  <c r="H76"/>
  <c r="H75"/>
  <c r="H74"/>
  <c r="F73"/>
  <c r="H73" s="1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1"/>
  <c r="H61" s="1"/>
  <c r="F60"/>
  <c r="H60" s="1"/>
  <c r="H58"/>
  <c r="F57"/>
  <c r="H57" s="1"/>
  <c r="H54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F40"/>
  <c r="H40" s="1"/>
  <c r="F39"/>
  <c r="H39" s="1"/>
  <c r="H38"/>
  <c r="F28"/>
  <c r="H28" s="1"/>
  <c r="H36"/>
  <c r="H35"/>
  <c r="F27"/>
  <c r="H27" s="1"/>
  <c r="F34"/>
  <c r="H34" s="1"/>
  <c r="E34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H16" s="1"/>
  <c r="I17"/>
  <c r="I32"/>
  <c r="I38"/>
  <c r="I39"/>
  <c r="I40"/>
  <c r="I41"/>
  <c r="I42"/>
  <c r="I78"/>
  <c r="I81" i="24"/>
  <c r="I62"/>
  <c r="H101"/>
  <c r="H100"/>
  <c r="H99"/>
  <c r="H98"/>
  <c r="H97"/>
  <c r="H96"/>
  <c r="H95"/>
  <c r="F94"/>
  <c r="H94" s="1"/>
  <c r="F93"/>
  <c r="H93" s="1"/>
  <c r="H92"/>
  <c r="H91"/>
  <c r="H90"/>
  <c r="H89"/>
  <c r="H88"/>
  <c r="H87"/>
  <c r="H86"/>
  <c r="H85"/>
  <c r="H84"/>
  <c r="I83"/>
  <c r="I102" s="1"/>
  <c r="H83"/>
  <c r="E80"/>
  <c r="F80" s="1"/>
  <c r="F79"/>
  <c r="H79" s="1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4" i="23"/>
  <c r="I62"/>
  <c r="H84"/>
  <c r="I83"/>
  <c r="H83"/>
  <c r="E80"/>
  <c r="F80" s="1"/>
  <c r="F79"/>
  <c r="H79" s="1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1" i="22"/>
  <c r="I62"/>
  <c r="I81"/>
  <c r="I84"/>
  <c r="H84"/>
  <c r="I83"/>
  <c r="I85" s="1"/>
  <c r="H83"/>
  <c r="E80"/>
  <c r="F80" s="1"/>
  <c r="F79"/>
  <c r="H79" s="1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1" i="21"/>
  <c r="I91"/>
  <c r="I89"/>
  <c r="I88"/>
  <c r="I87"/>
  <c r="I86"/>
  <c r="I85"/>
  <c r="I90"/>
  <c r="I92"/>
  <c r="I93"/>
  <c r="I94"/>
  <c r="I84"/>
  <c r="I71"/>
  <c r="I62"/>
  <c r="H94"/>
  <c r="H93"/>
  <c r="H92"/>
  <c r="H91"/>
  <c r="H90"/>
  <c r="F89"/>
  <c r="H89" s="1"/>
  <c r="F88"/>
  <c r="H88" s="1"/>
  <c r="H87"/>
  <c r="H86"/>
  <c r="H85"/>
  <c r="H84"/>
  <c r="I83"/>
  <c r="I95" s="1"/>
  <c r="H83"/>
  <c r="E80"/>
  <c r="F80" s="1"/>
  <c r="F79"/>
  <c r="H79" s="1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I55"/>
  <c r="F55"/>
  <c r="H55" s="1"/>
  <c r="H54"/>
  <c r="F53"/>
  <c r="H53" s="1"/>
  <c r="F52"/>
  <c r="H52" s="1"/>
  <c r="H51"/>
  <c r="F51"/>
  <c r="I51" s="1"/>
  <c r="F50"/>
  <c r="H50" s="1"/>
  <c r="F49"/>
  <c r="I49" s="1"/>
  <c r="F48"/>
  <c r="I48" s="1"/>
  <c r="F47"/>
  <c r="I47" s="1"/>
  <c r="F46"/>
  <c r="I46" s="1"/>
  <c r="I44"/>
  <c r="H44"/>
  <c r="F43"/>
  <c r="H43" s="1"/>
  <c r="F42"/>
  <c r="I42" s="1"/>
  <c r="F41"/>
  <c r="H41" s="1"/>
  <c r="F40"/>
  <c r="I40" s="1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1" i="20"/>
  <c r="I90"/>
  <c r="I89"/>
  <c r="I88"/>
  <c r="I87"/>
  <c r="I86"/>
  <c r="I85"/>
  <c r="I84"/>
  <c r="I62"/>
  <c r="I54"/>
  <c r="H89"/>
  <c r="H88"/>
  <c r="H87"/>
  <c r="H86"/>
  <c r="H85"/>
  <c r="H84"/>
  <c r="I83"/>
  <c r="H83"/>
  <c r="E80"/>
  <c r="F80" s="1"/>
  <c r="F79"/>
  <c r="H79" s="1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01" i="19"/>
  <c r="H100"/>
  <c r="H99"/>
  <c r="H98"/>
  <c r="H97"/>
  <c r="H96"/>
  <c r="H95"/>
  <c r="F94"/>
  <c r="H94" s="1"/>
  <c r="F93"/>
  <c r="H93" s="1"/>
  <c r="H92"/>
  <c r="H91"/>
  <c r="H90"/>
  <c r="H89"/>
  <c r="H88"/>
  <c r="H87"/>
  <c r="H86"/>
  <c r="H85"/>
  <c r="H84"/>
  <c r="I83"/>
  <c r="I102" s="1"/>
  <c r="H83"/>
  <c r="E80"/>
  <c r="F80" s="1"/>
  <c r="F79"/>
  <c r="H79" s="1"/>
  <c r="H77"/>
  <c r="H75"/>
  <c r="H73"/>
  <c r="H72"/>
  <c r="H71"/>
  <c r="H69"/>
  <c r="H68"/>
  <c r="F68"/>
  <c r="H67"/>
  <c r="F67"/>
  <c r="H66"/>
  <c r="F66"/>
  <c r="H65"/>
  <c r="F65"/>
  <c r="H64"/>
  <c r="F64"/>
  <c r="H63"/>
  <c r="H62"/>
  <c r="H60"/>
  <c r="F60"/>
  <c r="F58"/>
  <c r="H58" s="1"/>
  <c r="H7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01" i="18"/>
  <c r="H100"/>
  <c r="H99"/>
  <c r="H98"/>
  <c r="H97"/>
  <c r="H96"/>
  <c r="H95"/>
  <c r="F94"/>
  <c r="H94" s="1"/>
  <c r="H93"/>
  <c r="F93"/>
  <c r="H92"/>
  <c r="H91"/>
  <c r="H90"/>
  <c r="H89"/>
  <c r="H88"/>
  <c r="H87"/>
  <c r="H86"/>
  <c r="H85"/>
  <c r="H84"/>
  <c r="I83"/>
  <c r="I102" s="1"/>
  <c r="H83"/>
  <c r="E80"/>
  <c r="F80" s="1"/>
  <c r="F79"/>
  <c r="I79" s="1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F39"/>
  <c r="H39" s="1"/>
  <c r="I38"/>
  <c r="H38"/>
  <c r="H36"/>
  <c r="H35"/>
  <c r="H34"/>
  <c r="F34"/>
  <c r="I34" s="1"/>
  <c r="F33"/>
  <c r="H33" s="1"/>
  <c r="F32"/>
  <c r="I32" s="1"/>
  <c r="F31"/>
  <c r="H31" s="1"/>
  <c r="F28"/>
  <c r="I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03" i="17"/>
  <c r="H102"/>
  <c r="H101"/>
  <c r="H100"/>
  <c r="H99"/>
  <c r="H98"/>
  <c r="H97"/>
  <c r="H96"/>
  <c r="H95"/>
  <c r="F95"/>
  <c r="H94"/>
  <c r="F94"/>
  <c r="H93"/>
  <c r="H92"/>
  <c r="H91"/>
  <c r="H90"/>
  <c r="H89"/>
  <c r="H88"/>
  <c r="H87"/>
  <c r="H86"/>
  <c r="H85"/>
  <c r="I84"/>
  <c r="H84"/>
  <c r="I83"/>
  <c r="H83"/>
  <c r="E80"/>
  <c r="F80" s="1"/>
  <c r="F79"/>
  <c r="H79" s="1"/>
  <c r="H77"/>
  <c r="H75"/>
  <c r="H73"/>
  <c r="H72"/>
  <c r="H71"/>
  <c r="H69"/>
  <c r="F68"/>
  <c r="H68" s="1"/>
  <c r="F67"/>
  <c r="H67" s="1"/>
  <c r="F66"/>
  <c r="H66" s="1"/>
  <c r="F65"/>
  <c r="H65" s="1"/>
  <c r="F64"/>
  <c r="H64" s="1"/>
  <c r="H63"/>
  <c r="H62"/>
  <c r="F60"/>
  <c r="H60" s="1"/>
  <c r="F58"/>
  <c r="H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F39"/>
  <c r="H39" s="1"/>
  <c r="I38"/>
  <c r="H38"/>
  <c r="F28"/>
  <c r="I28" s="1"/>
  <c r="H36"/>
  <c r="H35"/>
  <c r="F27"/>
  <c r="I27" s="1"/>
  <c r="H34"/>
  <c r="F34"/>
  <c r="I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83" i="25" l="1"/>
  <c r="I83"/>
  <c r="I45"/>
  <c r="I49"/>
  <c r="I47"/>
  <c r="I50"/>
  <c r="I48"/>
  <c r="I46"/>
  <c r="I52"/>
  <c r="I51"/>
  <c r="I27"/>
  <c r="I31"/>
  <c r="I34"/>
  <c r="I28"/>
  <c r="I33"/>
  <c r="I21"/>
  <c r="I20"/>
  <c r="I16"/>
  <c r="H80"/>
  <c r="F84"/>
  <c r="I18"/>
  <c r="H17" i="24"/>
  <c r="H76"/>
  <c r="H51"/>
  <c r="I18"/>
  <c r="H18"/>
  <c r="H80"/>
  <c r="H81" s="1"/>
  <c r="I80"/>
  <c r="I16"/>
  <c r="I27"/>
  <c r="H28"/>
  <c r="I31"/>
  <c r="H32"/>
  <c r="I33"/>
  <c r="I39"/>
  <c r="H40"/>
  <c r="I41"/>
  <c r="H42"/>
  <c r="I43"/>
  <c r="I58"/>
  <c r="I79"/>
  <c r="I85" i="23"/>
  <c r="H76"/>
  <c r="H40"/>
  <c r="H80"/>
  <c r="H81" s="1"/>
  <c r="I80"/>
  <c r="I18"/>
  <c r="H18"/>
  <c r="I16"/>
  <c r="H17"/>
  <c r="I27"/>
  <c r="H28"/>
  <c r="I31"/>
  <c r="H32"/>
  <c r="I33"/>
  <c r="I39"/>
  <c r="I41"/>
  <c r="H42"/>
  <c r="I43"/>
  <c r="H51"/>
  <c r="I58"/>
  <c r="I79"/>
  <c r="H76" i="22"/>
  <c r="H80"/>
  <c r="H81" s="1"/>
  <c r="I80"/>
  <c r="I18"/>
  <c r="H18"/>
  <c r="I16"/>
  <c r="H17"/>
  <c r="I27"/>
  <c r="H28"/>
  <c r="I31"/>
  <c r="H32"/>
  <c r="I33"/>
  <c r="I39"/>
  <c r="H40"/>
  <c r="I41"/>
  <c r="H42"/>
  <c r="I43"/>
  <c r="H51"/>
  <c r="I58"/>
  <c r="I79"/>
  <c r="H46" i="21"/>
  <c r="H47"/>
  <c r="H48"/>
  <c r="H49"/>
  <c r="I19"/>
  <c r="I20"/>
  <c r="I26"/>
  <c r="I24"/>
  <c r="I52"/>
  <c r="I64"/>
  <c r="I67"/>
  <c r="I65"/>
  <c r="I21"/>
  <c r="I22"/>
  <c r="I25"/>
  <c r="I23"/>
  <c r="I50"/>
  <c r="I68"/>
  <c r="I66"/>
  <c r="H76"/>
  <c r="H40"/>
  <c r="H42"/>
  <c r="I18"/>
  <c r="H18"/>
  <c r="H80"/>
  <c r="H81" s="1"/>
  <c r="I80"/>
  <c r="I16"/>
  <c r="H17"/>
  <c r="I27"/>
  <c r="H28"/>
  <c r="I31"/>
  <c r="H32"/>
  <c r="I33"/>
  <c r="I39"/>
  <c r="I41"/>
  <c r="I43"/>
  <c r="I58"/>
  <c r="I79"/>
  <c r="I53" i="20"/>
  <c r="H76"/>
  <c r="H51"/>
  <c r="H80"/>
  <c r="H81" s="1"/>
  <c r="I80"/>
  <c r="I18"/>
  <c r="H18"/>
  <c r="I16"/>
  <c r="H17"/>
  <c r="I27"/>
  <c r="H28"/>
  <c r="I31"/>
  <c r="H32"/>
  <c r="I33"/>
  <c r="I39"/>
  <c r="H40"/>
  <c r="I41"/>
  <c r="H42"/>
  <c r="I43"/>
  <c r="I58"/>
  <c r="I79"/>
  <c r="H17" i="19"/>
  <c r="I18"/>
  <c r="H18"/>
  <c r="H80"/>
  <c r="H81" s="1"/>
  <c r="I80"/>
  <c r="I16"/>
  <c r="I27"/>
  <c r="H28"/>
  <c r="I31"/>
  <c r="H32"/>
  <c r="I33"/>
  <c r="I39"/>
  <c r="H40"/>
  <c r="I41"/>
  <c r="H42"/>
  <c r="I43"/>
  <c r="H51"/>
  <c r="I58"/>
  <c r="I79"/>
  <c r="H79" i="18"/>
  <c r="H80"/>
  <c r="H81" s="1"/>
  <c r="I80"/>
  <c r="I18"/>
  <c r="H18"/>
  <c r="H76"/>
  <c r="I16"/>
  <c r="H17"/>
  <c r="I27"/>
  <c r="H28"/>
  <c r="I31"/>
  <c r="H32"/>
  <c r="I33"/>
  <c r="I39"/>
  <c r="H40"/>
  <c r="I41"/>
  <c r="H42"/>
  <c r="I43"/>
  <c r="H51"/>
  <c r="I58"/>
  <c r="I33" i="17"/>
  <c r="I31"/>
  <c r="I32"/>
  <c r="H28"/>
  <c r="H17"/>
  <c r="H76"/>
  <c r="I18"/>
  <c r="H18"/>
  <c r="I80"/>
  <c r="H80"/>
  <c r="H81" s="1"/>
  <c r="I16"/>
  <c r="H27"/>
  <c r="I39"/>
  <c r="H40"/>
  <c r="I41"/>
  <c r="H42"/>
  <c r="I43"/>
  <c r="I51"/>
  <c r="I58"/>
  <c r="I79"/>
  <c r="H84" i="25" l="1"/>
  <c r="H85" s="1"/>
  <c r="I84"/>
  <c r="I104" i="24"/>
  <c r="I81" i="23"/>
  <c r="I87" s="1"/>
  <c r="I87" i="22"/>
  <c r="I97" i="21"/>
  <c r="I92" i="20"/>
  <c r="I81" i="19"/>
  <c r="I104"/>
  <c r="I81" i="18"/>
  <c r="I104" s="1"/>
  <c r="I81" i="17"/>
  <c r="I105" s="1"/>
  <c r="G91" i="8" l="1"/>
  <c r="G85"/>
  <c r="G90" i="16"/>
  <c r="G85"/>
  <c r="G93" i="8" l="1"/>
  <c r="G64" l="1"/>
  <c r="G60"/>
  <c r="E32"/>
  <c r="G92" i="16"/>
  <c r="G64" l="1"/>
  <c r="G60"/>
  <c r="E32"/>
</calcChain>
</file>

<file path=xl/sharedStrings.xml><?xml version="1.0" encoding="utf-8"?>
<sst xmlns="http://schemas.openxmlformats.org/spreadsheetml/2006/main" count="2724" uniqueCount="249">
  <si>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</si>
  <si>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</si>
  <si>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</si>
  <si>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</si>
  <si>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</si>
  <si>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</si>
  <si>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</si>
  <si>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</si>
  <si>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</si>
  <si>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</si>
  <si>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</si>
  <si>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</si>
  <si>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</si>
  <si>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</si>
  <si>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</si>
  <si>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</si>
  <si>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</si>
  <si>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</si>
  <si>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</si>
  <si>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</si>
  <si>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</si>
  <si>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</si>
  <si>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</si>
  <si>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</si>
  <si>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</si>
  <si>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</si>
  <si>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</si>
  <si>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</si>
  <si>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</si>
  <si>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</si>
  <si>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</si>
  <si>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</si>
  <si>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</si>
  <si>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</si>
  <si>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</si>
  <si>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</si>
  <si>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</si>
  <si>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</si>
  <si>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</si>
  <si>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</si>
  <si>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</si>
  <si>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</si>
  <si>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</si>
  <si>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</si>
  <si>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</si>
  <si>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</si>
  <si>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</si>
  <si>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</si>
  <si>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</si>
  <si>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</si>
  <si>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</si>
  <si>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</si>
  <si>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</si>
  <si>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</si>
  <si>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</si>
  <si>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</si>
  <si>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</si>
  <si>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</si>
  <si>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</si>
  <si>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</si>
  <si>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</si>
  <si>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</si>
  <si>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</si>
  <si>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</si>
  <si>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</si>
  <si>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</si>
  <si>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</si>
  <si>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</si>
  <si>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</si>
  <si>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</si>
  <si>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</si>
  <si>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</si>
  <si>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</si>
  <si>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</si>
  <si>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</si>
  <si>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</si>
  <si>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</si>
  <si>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</si>
  <si>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</si>
  <si>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</si>
  <si>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</si>
  <si>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</si>
  <si>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</si>
  <si>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</si>
  <si>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</si>
  <si>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</si>
  <si>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</si>
  <si>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</si>
  <si>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</si>
  <si>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</si>
  <si>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</si>
  <si>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</si>
  <si>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</si>
  <si>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</si>
  <si>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</si>
  <si>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</si>
  <si>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</si>
  <si>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</si>
  <si>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</si>
  <si>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</si>
  <si>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 xml:space="preserve">II. Уборка земельного участка </t>
  </si>
  <si>
    <t>ООО «Жилсервис»</t>
  </si>
  <si>
    <t>АКТ №11</t>
  </si>
  <si>
    <t>за период с 01.11.2016 г. по 30.11.2016 г.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</si>
  <si>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</si>
  <si>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</si>
  <si>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</si>
  <si>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</si>
  <si>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</si>
  <si>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</si>
  <si>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</si>
  <si>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</si>
  <si>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</si>
  <si>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</si>
  <si>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</si>
  <si>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</si>
  <si>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</si>
  <si>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</si>
  <si>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</si>
  <si>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</si>
  <si>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</si>
  <si>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</si>
  <si>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</si>
  <si>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</si>
  <si>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</si>
  <si>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по мере необходимости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</si>
  <si>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</si>
  <si>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</si>
  <si>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</si>
  <si>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</si>
  <si>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</si>
  <si>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</si>
  <si>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</si>
  <si>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</si>
  <si>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</si>
  <si>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</si>
  <si>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</si>
  <si>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</si>
  <si>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</si>
  <si>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</si>
  <si>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генеральный директор  Куканов Ю.Л.</t>
  </si>
  <si>
    <t>за период с 01.12.2016 г. по 31.12.2016 г.</t>
  </si>
  <si>
    <t>Влажное подметание лестничных клеток 2-3 этажа</t>
  </si>
  <si>
    <t>Мытье лестничных  площадок и маршей 1-3 этаж.</t>
  </si>
  <si>
    <t>ежедневно 365 раз</t>
  </si>
  <si>
    <t xml:space="preserve"> </t>
  </si>
  <si>
    <t>Сдвигание снега в дни снегопада (крыльца, вход.площадки)</t>
  </si>
  <si>
    <t xml:space="preserve">Подметание снега с крылец, вход. площадок </t>
  </si>
  <si>
    <t>Очистка территории 1-го класса с усовершенствованным покрытием под скребок: ступеньки и площадки крылец, входные площадки</t>
  </si>
  <si>
    <t>24 раз за сезон</t>
  </si>
  <si>
    <t>Пескопосыпка территории: крыльца и вход.площади</t>
  </si>
  <si>
    <t>1 раз в месяц (5 раз за год)</t>
  </si>
  <si>
    <t>Работа автовышки</t>
  </si>
  <si>
    <t>маш-час</t>
  </si>
  <si>
    <t>ТО внутренних сетей водопровода и канализации</t>
  </si>
  <si>
    <t>руб/м2 в мес.</t>
  </si>
  <si>
    <t>12 раз в год</t>
  </si>
  <si>
    <t>Смена светодиодных светильников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</si>
  <si>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</si>
  <si>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</si>
  <si>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</si>
  <si>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</t>
  </si>
  <si>
    <t>Прочистка каналов</t>
  </si>
  <si>
    <t>Дератизация</t>
  </si>
  <si>
    <t>Снятие показаний эл.счетчика коммунального назначения</t>
  </si>
  <si>
    <t xml:space="preserve">Смена сгонов у трубопроводов диаметром до 20 мм </t>
  </si>
  <si>
    <t>1 сгон</t>
  </si>
  <si>
    <t xml:space="preserve">приемки оказанных услуг и выполненных работ по содержанию и текущему ремонту
общего имущества в многоквартирном доме №49 по ул.Октябрьская пгт.Ярега
</t>
  </si>
  <si>
    <t>АКТ №12</t>
  </si>
  <si>
    <t>156 раз в год</t>
  </si>
  <si>
    <t>104 раза в год</t>
  </si>
  <si>
    <t xml:space="preserve">24 раза в год </t>
  </si>
  <si>
    <t>Закрепили полотенцесушитель</t>
  </si>
  <si>
    <t>2. Всего за период с 01.11.2016 по 30.11.2016 выполнено работ (оказано услуг) на общую сумму: 34883,98 руб.</t>
  </si>
  <si>
    <t>(тридцать четыре тысячи восемьсот восемьдесят три рубля 98 копеек)</t>
  </si>
  <si>
    <t>Смена арматуры - вентилей и клапанов обратных муфтовых диаметром до 20 мм</t>
  </si>
  <si>
    <t>1 шт</t>
  </si>
  <si>
    <t>2. Всего за период с 01.12.2016 по 31.12.2016 выполнено работ (оказано услуг) на общую сумму: 35544,98 руб.</t>
  </si>
  <si>
    <t>(тридцать пять тысяч пятьсот сорок четыре рубля 98 копеек)</t>
  </si>
  <si>
    <t>генеральный директор Куканов Ю.Л.</t>
  </si>
  <si>
    <t>5 раз в год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</si>
  <si>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15.08.2016г.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</si>
  <si>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49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д.49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</si>
  <si>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</si>
  <si>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</si>
  <si>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</si>
  <si>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</si>
  <si>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05.03.2012г.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</si>
  <si>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3 раза в неделю 156 раз в год</t>
  </si>
  <si>
    <t>2 раза в неделю 104 раза в год</t>
  </si>
  <si>
    <t>Сдвигание снега в дни снегопада (крыльца, тротуары)</t>
  </si>
  <si>
    <t>Сдвигание снега в дни снегопада (проезд)</t>
  </si>
  <si>
    <t>12 раз за сезон</t>
  </si>
  <si>
    <t xml:space="preserve">Пескопосыпка территории: крыльца и тротуары </t>
  </si>
  <si>
    <t>Замена ламп ДРЛ</t>
  </si>
  <si>
    <t>Смена крана (без материала)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</si>
  <si>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</si>
  <si>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</si>
  <si>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маш/час</t>
  </si>
  <si>
    <t>Установка железной двери в распредку</t>
  </si>
  <si>
    <t>тыс.час.</t>
  </si>
  <si>
    <t>Устройство поручня в подъезде (III под.) из стальных труб диаметром до 25 мм</t>
  </si>
  <si>
    <t>Ремонт и регулировка доводчика (со стоимостью доводчика)</t>
  </si>
  <si>
    <t>1шт.</t>
  </si>
  <si>
    <t>Смена трубопроводов на полипропленовые трубы PN20 диаметром 25 мм</t>
  </si>
  <si>
    <t>Внеплановый осмотр электросетей, арматуры и электрооборудования на чердаках и подвалах</t>
  </si>
  <si>
    <t>Внеплановый осмотр вводных электрических щитков</t>
  </si>
  <si>
    <t>100шт</t>
  </si>
  <si>
    <t>Смена выключателей</t>
  </si>
  <si>
    <t>Смена отдельных участков наружной проводки</t>
  </si>
  <si>
    <t>м</t>
  </si>
  <si>
    <t>Смена электросчетчика "Меркурий" 230</t>
  </si>
  <si>
    <t>Ремонт ограждений контейнерной площадки</t>
  </si>
  <si>
    <t>тыс.руб.</t>
  </si>
  <si>
    <t>Устройство хомута диаметром до 50 мм</t>
  </si>
  <si>
    <t>Металлмческие пластины размром 25×2мм (для устройства поручня  в подъезде)</t>
  </si>
  <si>
    <t xml:space="preserve">2 раза в месяц 24 раза в год </t>
  </si>
  <si>
    <t>2. Всего за период с 01.01.2016 по 31.01.2016 выполнено работ (оказано услуг) на общую сумму: 34094,36 руб.</t>
  </si>
  <si>
    <t>(тридцать четре тысячи девяносто четыре рубля 36 копеек)</t>
  </si>
  <si>
    <t>АКТ №2</t>
  </si>
  <si>
    <t>2. Всего за период с 01.02.2016 по 29.02.2016 выполнено работ (оказано услуг) на общую сумму: 29896,47 руб.</t>
  </si>
  <si>
    <t>(двадцать девять тысяч восемьсот девяносто шесть рублей 47 копеек)</t>
  </si>
  <si>
    <t>АКТ №3</t>
  </si>
  <si>
    <t>III. Содержание общего имущества МКД</t>
  </si>
  <si>
    <t>IV. Прочие услуги</t>
  </si>
  <si>
    <t>2. Всего за период с 01.03.2016 по 31.03.2016 выполнено работ (оказано услуг) на общую сумму: 28985,13 руб.</t>
  </si>
  <si>
    <t>(двадцать восемь тысяч девятьсот восемьдесят пять рублей 13 копеек)</t>
  </si>
  <si>
    <t>АКТ №4</t>
  </si>
  <si>
    <t>2. Всего за период с 01.04.2016 по 30.04.2016 выполнено работ (оказано услуг) на общую сумму: 55682,75 руб.</t>
  </si>
  <si>
    <t>(пятьдесят пять тысяч шестьсот восемьдесят два рубля 75 копеек)</t>
  </si>
  <si>
    <t>АКТ №5</t>
  </si>
  <si>
    <t>2. Всего за период с 01.05.2016 по 31.05.2016 выполнено работ (оказано услуг) на общую сумму: 82282,02 руб.</t>
  </si>
  <si>
    <t>(восемьдесят две тысячи двести восемьдесят два рубля 02 копейки)</t>
  </si>
  <si>
    <t>АКТ №6</t>
  </si>
  <si>
    <t>2. Всего за период с 01.06.2016 по 30.06.2016 выполнено работ (оказано услуг) на общую сумму: 24674,21 руб.</t>
  </si>
  <si>
    <t>(двадцать четыре тысячи шестьсот семьдесят четыре рубля 21 копейка)</t>
  </si>
  <si>
    <t>АКТ №7</t>
  </si>
  <si>
    <t>2. Всего за период с 01.07.2016 по 31.07.2016 выполнено работ (оказано услуг) на общую сумму: 24323,38 руб.</t>
  </si>
  <si>
    <t>(двадцать четыре тысячи триста двадцать три рубля 38 копеек)</t>
  </si>
  <si>
    <t>АКТ №8</t>
  </si>
  <si>
    <t>2. Всего за период с 01.08.2016 по 31.08.2016 выполнено работ (оказано услуг) на общую сумму: 27864,55 руб.</t>
  </si>
  <si>
    <t>АКТ №9</t>
  </si>
  <si>
    <t>Наладка тепловычислителя</t>
  </si>
  <si>
    <t>2. Всего за период с 01.09.2016 по 30.09.2016 выполнено работ (оказано услуг) на общую сумму: 35874,89 руб.</t>
  </si>
  <si>
    <t>(тридцать пять тысяч восемьсот семьдесят четыре рубля 89 копеек)</t>
  </si>
  <si>
    <t>АКТ №10</t>
  </si>
  <si>
    <t>2. Всего за период с 01.10.2016 по 31.10.2016 выполнено работ (оказано услуг) на общую сумму: 34685,76 руб.</t>
  </si>
  <si>
    <t>(тридцать четыре тысячи шестьсот восемьдесят пять рублей 76 копеек)</t>
  </si>
  <si>
    <t>(двадцать семь тысяч восемьсот шестьдесят четыре рубля 55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</si>
</sst>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11" fillId="0" borderId="6" xfId="0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5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1" fillId="0" borderId="16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2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right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6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186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85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7">
        <v>42400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187.48</v>
      </c>
      <c r="H16" s="127">
        <f t="shared" ref="H16:H26" si="0">SUM(F16*G16/1000)</f>
        <v>16.056537119999998</v>
      </c>
      <c r="I16" s="14">
        <f>F16/12*G16</f>
        <v>1338.0447599999998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187.48</v>
      </c>
      <c r="H17" s="127">
        <f t="shared" si="0"/>
        <v>21.408716159999997</v>
      </c>
      <c r="I17" s="14">
        <f>F17/12*G17</f>
        <v>1784.0596799999998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539.30999999999995</v>
      </c>
      <c r="H18" s="127">
        <f t="shared" si="0"/>
        <v>21.317845679999998</v>
      </c>
      <c r="I18" s="14">
        <f>F18/12*G18</f>
        <v>1776.48714</v>
      </c>
      <c r="J18" s="29"/>
      <c r="K18" s="8"/>
      <c r="L18" s="8"/>
      <c r="M18" s="8"/>
    </row>
    <row r="19" spans="1:13" ht="15.75" hidden="1" customHeight="1">
      <c r="A19" s="36">
        <v>4</v>
      </c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181.91</v>
      </c>
      <c r="H19" s="127">
        <f t="shared" si="0"/>
        <v>0.39292560000000004</v>
      </c>
      <c r="I19" s="14">
        <v>0</v>
      </c>
      <c r="J19" s="29"/>
      <c r="K19" s="8"/>
      <c r="L19" s="8"/>
      <c r="M19" s="8"/>
    </row>
    <row r="20" spans="1:13" ht="15.75" hidden="1" customHeight="1">
      <c r="A20" s="36">
        <v>5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232.92</v>
      </c>
      <c r="H20" s="127">
        <f t="shared" si="0"/>
        <v>4.2764112E-2</v>
      </c>
      <c r="I20" s="14">
        <v>0</v>
      </c>
      <c r="J20" s="29"/>
      <c r="K20" s="8"/>
      <c r="L20" s="8"/>
      <c r="M20" s="8"/>
    </row>
    <row r="21" spans="1:13" ht="15.75" hidden="1" customHeight="1">
      <c r="A21" s="36">
        <v>6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231.03</v>
      </c>
      <c r="H21" s="127">
        <f t="shared" si="0"/>
        <v>3.7426860000000006E-2</v>
      </c>
      <c r="I21" s="14">
        <v>0</v>
      </c>
      <c r="J21" s="29"/>
      <c r="K21" s="8"/>
      <c r="L21" s="8"/>
      <c r="M21" s="8"/>
    </row>
    <row r="22" spans="1:13" ht="15.75" hidden="1" customHeight="1">
      <c r="A22" s="36">
        <v>7</v>
      </c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287.83999999999997</v>
      </c>
      <c r="H22" s="127">
        <f t="shared" si="0"/>
        <v>0.63416908799999983</v>
      </c>
      <c r="I22" s="14">
        <v>0</v>
      </c>
      <c r="J22" s="29"/>
      <c r="K22" s="8"/>
      <c r="L22" s="8"/>
      <c r="M22" s="8"/>
    </row>
    <row r="23" spans="1:13" ht="15.75" hidden="1" customHeight="1">
      <c r="A23" s="36">
        <v>8</v>
      </c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47.34</v>
      </c>
      <c r="H23" s="127">
        <f t="shared" si="0"/>
        <v>8.3507760000000007E-3</v>
      </c>
      <c r="I23" s="14">
        <v>0</v>
      </c>
      <c r="J23" s="29"/>
      <c r="K23" s="8"/>
      <c r="L23" s="8"/>
      <c r="M23" s="8"/>
    </row>
    <row r="24" spans="1:13" ht="15.75" hidden="1" customHeight="1">
      <c r="A24" s="36">
        <v>9</v>
      </c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416.62</v>
      </c>
      <c r="H24" s="127">
        <f t="shared" si="0"/>
        <v>2.9996640000000001E-2</v>
      </c>
      <c r="I24" s="14">
        <v>0</v>
      </c>
      <c r="J24" s="29"/>
      <c r="K24" s="8"/>
      <c r="L24" s="8"/>
      <c r="M24" s="8"/>
    </row>
    <row r="25" spans="1:13" ht="15.75" hidden="1" customHeight="1">
      <c r="A25" s="36">
        <v>10</v>
      </c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231.03</v>
      </c>
      <c r="H25" s="127">
        <f>G25*F25/1000</f>
        <v>2.1832334999999998E-2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>
        <v>11</v>
      </c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556.74</v>
      </c>
      <c r="H26" s="127">
        <f t="shared" si="0"/>
        <v>6.0127920000000008E-2</v>
      </c>
      <c r="I26" s="14">
        <v>0</v>
      </c>
      <c r="J26" s="29"/>
      <c r="K26" s="8"/>
      <c r="L26" s="8"/>
      <c r="M26" s="8"/>
    </row>
    <row r="27" spans="1:13" ht="15.75" customHeight="1">
      <c r="A27" s="36">
        <v>4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4">
        <f>F27/12*G27</f>
        <v>478.08916666666664</v>
      </c>
      <c r="J27" s="30"/>
    </row>
    <row r="28" spans="1:13" ht="15.75" customHeight="1">
      <c r="A28" s="36">
        <v>5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6.15</v>
      </c>
      <c r="H28" s="127">
        <f>SUM(F28*G28/1000)</f>
        <v>113.38632000000003</v>
      </c>
      <c r="I28" s="14">
        <f>F28/12*G28</f>
        <v>9448.8600000000024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29"/>
      <c r="K29" s="8"/>
      <c r="L29" s="8"/>
      <c r="M29" s="8"/>
    </row>
    <row r="30" spans="1:13" ht="15.75" hidden="1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29"/>
      <c r="K30" s="8"/>
      <c r="L30" s="8"/>
      <c r="M30" s="8"/>
    </row>
    <row r="31" spans="1:13" ht="31.5" hidden="1" customHeight="1">
      <c r="A31" s="36">
        <v>6</v>
      </c>
      <c r="B31" s="123" t="s">
        <v>128</v>
      </c>
      <c r="C31" s="124" t="s">
        <v>108</v>
      </c>
      <c r="D31" s="123" t="s">
        <v>123</v>
      </c>
      <c r="E31" s="126">
        <v>565.4</v>
      </c>
      <c r="F31" s="126">
        <f>SUM(E31*52/1000)</f>
        <v>29.4008</v>
      </c>
      <c r="G31" s="126">
        <v>166.65</v>
      </c>
      <c r="H31" s="127">
        <f t="shared" ref="H31:H36" si="1">SUM(F31*G31/1000)</f>
        <v>4.89964332</v>
      </c>
      <c r="I31" s="14">
        <f t="shared" ref="I31:I34" si="2">F31/6*G31</f>
        <v>816.6072200000001</v>
      </c>
      <c r="J31" s="29"/>
      <c r="K31" s="8"/>
      <c r="L31" s="8"/>
      <c r="M31" s="8"/>
    </row>
    <row r="32" spans="1:13" ht="31.5" hidden="1" customHeight="1">
      <c r="A32" s="36">
        <v>7</v>
      </c>
      <c r="B32" s="123" t="s">
        <v>127</v>
      </c>
      <c r="C32" s="124" t="s">
        <v>108</v>
      </c>
      <c r="D32" s="123" t="s">
        <v>124</v>
      </c>
      <c r="E32" s="126">
        <v>71.91</v>
      </c>
      <c r="F32" s="126">
        <f>SUM(E32*78/1000)</f>
        <v>5.6089799999999999</v>
      </c>
      <c r="G32" s="126">
        <v>276.48</v>
      </c>
      <c r="H32" s="127">
        <f t="shared" si="1"/>
        <v>1.5507707904000001</v>
      </c>
      <c r="I32" s="14">
        <f t="shared" si="2"/>
        <v>258.46179840000002</v>
      </c>
      <c r="J32" s="29"/>
      <c r="K32" s="8"/>
      <c r="L32" s="8"/>
      <c r="M32" s="8"/>
    </row>
    <row r="33" spans="1:14" ht="15.75" hidden="1" customHeight="1">
      <c r="A33" s="36">
        <v>14</v>
      </c>
      <c r="B33" s="123" t="s">
        <v>27</v>
      </c>
      <c r="C33" s="124" t="s">
        <v>108</v>
      </c>
      <c r="D33" s="123" t="s">
        <v>55</v>
      </c>
      <c r="E33" s="126">
        <v>565.4</v>
      </c>
      <c r="F33" s="126">
        <f>SUM(E33/1000)</f>
        <v>0.56540000000000001</v>
      </c>
      <c r="G33" s="126">
        <v>3228.73</v>
      </c>
      <c r="H33" s="127">
        <f t="shared" si="1"/>
        <v>1.825523942</v>
      </c>
      <c r="I33" s="14">
        <f>F33*G33</f>
        <v>1825.523942</v>
      </c>
      <c r="J33" s="29"/>
      <c r="K33" s="8"/>
      <c r="L33" s="8"/>
      <c r="M33" s="8"/>
    </row>
    <row r="34" spans="1:14" ht="15.75" hidden="1" customHeight="1">
      <c r="A34" s="36">
        <v>8</v>
      </c>
      <c r="B34" s="123" t="s">
        <v>126</v>
      </c>
      <c r="C34" s="124" t="s">
        <v>31</v>
      </c>
      <c r="D34" s="123" t="s">
        <v>68</v>
      </c>
      <c r="E34" s="130">
        <v>0.33333333333333331</v>
      </c>
      <c r="F34" s="126">
        <f>155/3</f>
        <v>51.666666666666664</v>
      </c>
      <c r="G34" s="126">
        <v>60.6</v>
      </c>
      <c r="H34" s="127">
        <f>SUM(G34*155/3/1000)</f>
        <v>3.1309999999999998</v>
      </c>
      <c r="I34" s="14">
        <f t="shared" si="2"/>
        <v>521.83333333333337</v>
      </c>
      <c r="J34" s="29"/>
      <c r="K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2</v>
      </c>
      <c r="G35" s="126">
        <v>204.52</v>
      </c>
      <c r="H35" s="127">
        <f t="shared" si="1"/>
        <v>0.40904000000000001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1214.74</v>
      </c>
      <c r="H36" s="127">
        <f t="shared" si="1"/>
        <v>1.2147399999999999</v>
      </c>
      <c r="I36" s="14">
        <v>0</v>
      </c>
      <c r="J36" s="30"/>
    </row>
    <row r="37" spans="1:14" ht="15.75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</row>
    <row r="38" spans="1:14" ht="15.75" customHeight="1">
      <c r="A38" s="36">
        <v>6</v>
      </c>
      <c r="B38" s="123" t="s">
        <v>26</v>
      </c>
      <c r="C38" s="124" t="s">
        <v>32</v>
      </c>
      <c r="D38" s="123"/>
      <c r="E38" s="125"/>
      <c r="F38" s="126">
        <v>5</v>
      </c>
      <c r="G38" s="126">
        <v>1632.6</v>
      </c>
      <c r="H38" s="127">
        <f t="shared" ref="H38:H44" si="3">SUM(F38*G38/1000)</f>
        <v>8.1630000000000003</v>
      </c>
      <c r="I38" s="14">
        <f t="shared" ref="I38:I44" si="4">F38/6*G38</f>
        <v>1360.5</v>
      </c>
      <c r="J38" s="30"/>
    </row>
    <row r="39" spans="1:14" ht="15.75" customHeight="1">
      <c r="A39" s="36">
        <v>7</v>
      </c>
      <c r="B39" s="123" t="s">
        <v>190</v>
      </c>
      <c r="C39" s="124" t="s">
        <v>29</v>
      </c>
      <c r="D39" s="123" t="s">
        <v>106</v>
      </c>
      <c r="E39" s="125">
        <v>71.91</v>
      </c>
      <c r="F39" s="126">
        <f>E39*30/1000</f>
        <v>2.1572999999999998</v>
      </c>
      <c r="G39" s="126">
        <v>2247.8000000000002</v>
      </c>
      <c r="H39" s="127">
        <f>G39*F39/1000</f>
        <v>4.8491789399999998</v>
      </c>
      <c r="I39" s="14">
        <f t="shared" si="4"/>
        <v>808.19649000000004</v>
      </c>
      <c r="J39" s="30"/>
      <c r="L39" s="23"/>
      <c r="M39" s="24"/>
      <c r="N39" s="25"/>
    </row>
    <row r="40" spans="1:14" ht="15.75" customHeight="1">
      <c r="A40" s="36">
        <v>8</v>
      </c>
      <c r="B40" s="123" t="s">
        <v>191</v>
      </c>
      <c r="C40" s="124" t="s">
        <v>29</v>
      </c>
      <c r="D40" s="123" t="s">
        <v>192</v>
      </c>
      <c r="E40" s="125">
        <v>294.37</v>
      </c>
      <c r="F40" s="126">
        <f>E40*12/1000</f>
        <v>3.5324400000000002</v>
      </c>
      <c r="G40" s="126">
        <v>2247.8000000000002</v>
      </c>
      <c r="H40" s="127">
        <f>G40*F40/1000</f>
        <v>7.9402186320000006</v>
      </c>
      <c r="I40" s="14">
        <f t="shared" si="4"/>
        <v>1323.3697720000002</v>
      </c>
      <c r="J40" s="30"/>
      <c r="L40" s="23"/>
      <c r="M40" s="24"/>
      <c r="N40" s="25"/>
    </row>
    <row r="41" spans="1:14" ht="15.75" customHeight="1">
      <c r="A41" s="36">
        <v>9</v>
      </c>
      <c r="B41" s="123" t="s">
        <v>73</v>
      </c>
      <c r="C41" s="124" t="s">
        <v>29</v>
      </c>
      <c r="D41" s="123" t="s">
        <v>107</v>
      </c>
      <c r="E41" s="126">
        <v>71.91</v>
      </c>
      <c r="F41" s="126">
        <f>SUM(E41*155/1000)</f>
        <v>11.146049999999999</v>
      </c>
      <c r="G41" s="126">
        <v>374.95</v>
      </c>
      <c r="H41" s="127">
        <f t="shared" si="3"/>
        <v>4.1792114475000002</v>
      </c>
      <c r="I41" s="14">
        <f t="shared" si="4"/>
        <v>696.5352412499999</v>
      </c>
      <c r="J41" s="30"/>
      <c r="L41" s="23"/>
      <c r="M41" s="24"/>
      <c r="N41" s="25"/>
    </row>
    <row r="42" spans="1:14" ht="47.25" customHeight="1">
      <c r="A42" s="36">
        <v>10</v>
      </c>
      <c r="B42" s="123" t="s">
        <v>97</v>
      </c>
      <c r="C42" s="124" t="s">
        <v>108</v>
      </c>
      <c r="D42" s="123" t="s">
        <v>149</v>
      </c>
      <c r="E42" s="126">
        <v>71.91</v>
      </c>
      <c r="F42" s="126">
        <f>SUM(E42*24/1000)</f>
        <v>1.7258399999999998</v>
      </c>
      <c r="G42" s="126">
        <v>6203.7</v>
      </c>
      <c r="H42" s="127">
        <f t="shared" si="3"/>
        <v>10.706593607999999</v>
      </c>
      <c r="I42" s="14">
        <f t="shared" si="4"/>
        <v>1784.4322679999996</v>
      </c>
      <c r="J42" s="30"/>
      <c r="L42" s="23"/>
      <c r="M42" s="24"/>
      <c r="N42" s="25"/>
    </row>
    <row r="43" spans="1:14" ht="15.75" customHeight="1">
      <c r="A43" s="36">
        <v>11</v>
      </c>
      <c r="B43" s="123" t="s">
        <v>193</v>
      </c>
      <c r="C43" s="124" t="s">
        <v>108</v>
      </c>
      <c r="D43" s="123" t="s">
        <v>74</v>
      </c>
      <c r="E43" s="126">
        <v>71.91</v>
      </c>
      <c r="F43" s="126">
        <f>SUM(E43*45/1000)</f>
        <v>3.2359499999999999</v>
      </c>
      <c r="G43" s="126">
        <v>458.28</v>
      </c>
      <c r="H43" s="127">
        <f t="shared" si="3"/>
        <v>1.4829711659999998</v>
      </c>
      <c r="I43" s="14">
        <f t="shared" si="4"/>
        <v>247.16186099999996</v>
      </c>
      <c r="J43" s="30"/>
      <c r="L43" s="23"/>
      <c r="M43" s="24"/>
      <c r="N43" s="25"/>
    </row>
    <row r="44" spans="1:14" ht="15.75" customHeight="1">
      <c r="A44" s="36">
        <v>12</v>
      </c>
      <c r="B44" s="123" t="s">
        <v>75</v>
      </c>
      <c r="C44" s="124" t="s">
        <v>33</v>
      </c>
      <c r="D44" s="123"/>
      <c r="E44" s="125"/>
      <c r="F44" s="126">
        <v>0.3</v>
      </c>
      <c r="G44" s="126">
        <v>853.06</v>
      </c>
      <c r="H44" s="127">
        <f t="shared" si="3"/>
        <v>0.25591799999999998</v>
      </c>
      <c r="I44" s="14">
        <f t="shared" si="4"/>
        <v>42.652999999999992</v>
      </c>
      <c r="J44" s="30"/>
      <c r="L44" s="23"/>
      <c r="M44" s="24"/>
      <c r="N44" s="25"/>
    </row>
    <row r="45" spans="1:14" ht="15.75" customHeight="1">
      <c r="A45" s="153" t="s">
        <v>183</v>
      </c>
      <c r="B45" s="154"/>
      <c r="C45" s="154"/>
      <c r="D45" s="154"/>
      <c r="E45" s="154"/>
      <c r="F45" s="154"/>
      <c r="G45" s="154"/>
      <c r="H45" s="154"/>
      <c r="I45" s="155"/>
      <c r="J45" s="30"/>
      <c r="L45" s="23"/>
      <c r="M45" s="24"/>
      <c r="N45" s="25"/>
    </row>
    <row r="46" spans="1:14" ht="15.75" hidden="1" customHeight="1">
      <c r="A46" s="36"/>
      <c r="B46" s="123" t="s">
        <v>129</v>
      </c>
      <c r="C46" s="124" t="s">
        <v>108</v>
      </c>
      <c r="D46" s="123" t="s">
        <v>43</v>
      </c>
      <c r="E46" s="125">
        <v>904.4</v>
      </c>
      <c r="F46" s="126">
        <f>SUM(E46*2/1000)</f>
        <v>1.8088</v>
      </c>
      <c r="G46" s="14">
        <v>865.61</v>
      </c>
      <c r="H46" s="127">
        <f t="shared" ref="H46:H55" si="5">SUM(F46*G46/1000)</f>
        <v>1.565715368</v>
      </c>
      <c r="I46" s="14">
        <v>0</v>
      </c>
      <c r="J46" s="30"/>
      <c r="L46" s="23"/>
      <c r="M46" s="24"/>
      <c r="N46" s="25"/>
    </row>
    <row r="47" spans="1:14" ht="15.75" hidden="1" customHeight="1">
      <c r="A47" s="36"/>
      <c r="B47" s="123" t="s">
        <v>36</v>
      </c>
      <c r="C47" s="124" t="s">
        <v>108</v>
      </c>
      <c r="D47" s="123" t="s">
        <v>43</v>
      </c>
      <c r="E47" s="125">
        <v>27</v>
      </c>
      <c r="F47" s="126">
        <f>E47*2/1000</f>
        <v>5.3999999999999999E-2</v>
      </c>
      <c r="G47" s="14">
        <v>619.46</v>
      </c>
      <c r="H47" s="127">
        <f t="shared" si="5"/>
        <v>3.3450840000000003E-2</v>
      </c>
      <c r="I47" s="14">
        <v>0</v>
      </c>
      <c r="J47" s="30"/>
      <c r="L47" s="23"/>
      <c r="M47" s="24"/>
      <c r="N47" s="25"/>
    </row>
    <row r="48" spans="1:14" ht="15.75" hidden="1" customHeight="1">
      <c r="A48" s="36"/>
      <c r="B48" s="123" t="s">
        <v>37</v>
      </c>
      <c r="C48" s="124" t="s">
        <v>108</v>
      </c>
      <c r="D48" s="123" t="s">
        <v>43</v>
      </c>
      <c r="E48" s="125">
        <v>772</v>
      </c>
      <c r="F48" s="126">
        <f>SUM(E48*2/1000)</f>
        <v>1.544</v>
      </c>
      <c r="G48" s="14">
        <v>619.46</v>
      </c>
      <c r="H48" s="127">
        <f t="shared" si="5"/>
        <v>0.95644624000000011</v>
      </c>
      <c r="I48" s="14">
        <v>0</v>
      </c>
      <c r="J48" s="30"/>
      <c r="L48" s="23"/>
      <c r="M48" s="24"/>
      <c r="N48" s="25"/>
    </row>
    <row r="49" spans="1:22" ht="15.75" hidden="1" customHeight="1">
      <c r="A49" s="36"/>
      <c r="B49" s="123" t="s">
        <v>38</v>
      </c>
      <c r="C49" s="124" t="s">
        <v>108</v>
      </c>
      <c r="D49" s="123" t="s">
        <v>43</v>
      </c>
      <c r="E49" s="125">
        <v>959.35</v>
      </c>
      <c r="F49" s="126">
        <f>SUM(E49*2/1000)</f>
        <v>1.9187000000000001</v>
      </c>
      <c r="G49" s="14">
        <v>648.64</v>
      </c>
      <c r="H49" s="127">
        <f t="shared" si="5"/>
        <v>1.2445455679999999</v>
      </c>
      <c r="I49" s="14">
        <v>0</v>
      </c>
      <c r="J49" s="30"/>
      <c r="L49" s="23"/>
      <c r="M49" s="24"/>
      <c r="N49" s="25"/>
    </row>
    <row r="50" spans="1:22" ht="15.75" hidden="1" customHeight="1">
      <c r="A50" s="36"/>
      <c r="B50" s="123" t="s">
        <v>34</v>
      </c>
      <c r="C50" s="124" t="s">
        <v>35</v>
      </c>
      <c r="D50" s="123" t="s">
        <v>43</v>
      </c>
      <c r="E50" s="125">
        <v>66.02</v>
      </c>
      <c r="F50" s="126">
        <f>SUM(E50*2/100)</f>
        <v>1.3204</v>
      </c>
      <c r="G50" s="14">
        <v>77.84</v>
      </c>
      <c r="H50" s="127">
        <f t="shared" si="5"/>
        <v>0.102779936</v>
      </c>
      <c r="I50" s="14">
        <v>0</v>
      </c>
      <c r="J50" s="30"/>
      <c r="L50" s="23"/>
      <c r="M50" s="24"/>
      <c r="N50" s="25"/>
    </row>
    <row r="51" spans="1:22" ht="15.75" customHeight="1">
      <c r="A51" s="36">
        <v>13</v>
      </c>
      <c r="B51" s="123" t="s">
        <v>59</v>
      </c>
      <c r="C51" s="124" t="s">
        <v>108</v>
      </c>
      <c r="D51" s="123" t="s">
        <v>180</v>
      </c>
      <c r="E51" s="125">
        <v>702.5</v>
      </c>
      <c r="F51" s="126">
        <f>SUM(E51*5/1000)</f>
        <v>3.5125000000000002</v>
      </c>
      <c r="G51" s="14">
        <v>1297.28</v>
      </c>
      <c r="H51" s="127">
        <f t="shared" si="5"/>
        <v>4.5566959999999996</v>
      </c>
      <c r="I51" s="14">
        <f>F51/5*G51</f>
        <v>911.33920000000001</v>
      </c>
      <c r="J51" s="30"/>
      <c r="L51" s="23"/>
      <c r="M51" s="24"/>
      <c r="N51" s="25"/>
    </row>
    <row r="52" spans="1:22" ht="31.5" hidden="1" customHeight="1">
      <c r="A52" s="36"/>
      <c r="B52" s="123" t="s">
        <v>109</v>
      </c>
      <c r="C52" s="124" t="s">
        <v>108</v>
      </c>
      <c r="D52" s="123" t="s">
        <v>43</v>
      </c>
      <c r="E52" s="125">
        <v>702.5</v>
      </c>
      <c r="F52" s="126">
        <f>SUM(E52*2/1000)</f>
        <v>1.405</v>
      </c>
      <c r="G52" s="14">
        <v>1297.28</v>
      </c>
      <c r="H52" s="127">
        <f t="shared" si="5"/>
        <v>1.8226784</v>
      </c>
      <c r="I52" s="14">
        <v>0</v>
      </c>
      <c r="J52" s="30"/>
      <c r="L52" s="23"/>
      <c r="M52" s="24"/>
      <c r="N52" s="25"/>
    </row>
    <row r="53" spans="1:22" ht="31.5" hidden="1" customHeight="1">
      <c r="A53" s="36"/>
      <c r="B53" s="123" t="s">
        <v>110</v>
      </c>
      <c r="C53" s="124" t="s">
        <v>39</v>
      </c>
      <c r="D53" s="123" t="s">
        <v>43</v>
      </c>
      <c r="E53" s="125">
        <v>9</v>
      </c>
      <c r="F53" s="126">
        <f>SUM(E53*2/100)</f>
        <v>0.18</v>
      </c>
      <c r="G53" s="14">
        <v>2918.89</v>
      </c>
      <c r="H53" s="127">
        <f t="shared" si="5"/>
        <v>0.52540019999999987</v>
      </c>
      <c r="I53" s="14">
        <v>0</v>
      </c>
      <c r="J53" s="30"/>
      <c r="L53" s="23"/>
      <c r="M53" s="24"/>
      <c r="N53" s="25"/>
    </row>
    <row r="54" spans="1:22" ht="15.75" hidden="1" customHeight="1">
      <c r="A54" s="36"/>
      <c r="B54" s="123" t="s">
        <v>40</v>
      </c>
      <c r="C54" s="124" t="s">
        <v>41</v>
      </c>
      <c r="D54" s="123" t="s">
        <v>43</v>
      </c>
      <c r="E54" s="125">
        <v>1</v>
      </c>
      <c r="F54" s="126">
        <v>0.02</v>
      </c>
      <c r="G54" s="14">
        <v>6042.12</v>
      </c>
      <c r="H54" s="127">
        <f t="shared" si="5"/>
        <v>0.1208424</v>
      </c>
      <c r="I54" s="14">
        <v>0</v>
      </c>
      <c r="J54" s="30"/>
      <c r="L54" s="23"/>
      <c r="M54" s="24"/>
      <c r="N54" s="25"/>
    </row>
    <row r="55" spans="1:22" ht="15.75" customHeight="1">
      <c r="A55" s="36">
        <v>14</v>
      </c>
      <c r="B55" s="123" t="s">
        <v>42</v>
      </c>
      <c r="C55" s="124" t="s">
        <v>130</v>
      </c>
      <c r="D55" s="123" t="s">
        <v>76</v>
      </c>
      <c r="E55" s="125">
        <v>53</v>
      </c>
      <c r="F55" s="126">
        <f>SUM(E55)*3</f>
        <v>159</v>
      </c>
      <c r="G55" s="14">
        <v>70.209999999999994</v>
      </c>
      <c r="H55" s="127">
        <f t="shared" si="5"/>
        <v>11.16339</v>
      </c>
      <c r="I55" s="14">
        <f>E55*G55</f>
        <v>3721.1299999999997</v>
      </c>
      <c r="J55" s="30"/>
      <c r="L55" s="23"/>
      <c r="M55" s="24"/>
      <c r="N55" s="25"/>
    </row>
    <row r="56" spans="1:22" ht="15.75" customHeight="1">
      <c r="A56" s="153" t="s">
        <v>184</v>
      </c>
      <c r="B56" s="154"/>
      <c r="C56" s="154"/>
      <c r="D56" s="154"/>
      <c r="E56" s="154"/>
      <c r="F56" s="154"/>
      <c r="G56" s="154"/>
      <c r="H56" s="154"/>
      <c r="I56" s="155"/>
      <c r="J56" s="30"/>
      <c r="L56" s="23"/>
      <c r="M56" s="24"/>
      <c r="N56" s="25"/>
    </row>
    <row r="57" spans="1:22" ht="15.75" customHeight="1">
      <c r="A57" s="36"/>
      <c r="B57" s="144" t="s">
        <v>44</v>
      </c>
      <c r="C57" s="124"/>
      <c r="D57" s="123"/>
      <c r="E57" s="125"/>
      <c r="F57" s="126"/>
      <c r="G57" s="126"/>
      <c r="H57" s="127"/>
      <c r="I57" s="14"/>
      <c r="J57" s="30"/>
      <c r="L57" s="23"/>
      <c r="M57" s="24"/>
      <c r="N57" s="25"/>
    </row>
    <row r="58" spans="1:22" ht="31.5" customHeight="1">
      <c r="A58" s="36">
        <v>15</v>
      </c>
      <c r="B58" s="123" t="s">
        <v>131</v>
      </c>
      <c r="C58" s="124" t="s">
        <v>105</v>
      </c>
      <c r="D58" s="123" t="s">
        <v>132</v>
      </c>
      <c r="E58" s="125">
        <v>25</v>
      </c>
      <c r="F58" s="126">
        <f>SUM(E58*6/100)</f>
        <v>1.5</v>
      </c>
      <c r="G58" s="14">
        <v>1654.04</v>
      </c>
      <c r="H58" s="127">
        <f>SUM(F58*G58/1000)</f>
        <v>2.4810599999999998</v>
      </c>
      <c r="I58" s="14">
        <f>F58/6*G58</f>
        <v>413.51</v>
      </c>
      <c r="J58" s="30"/>
      <c r="L58" s="23"/>
      <c r="M58" s="24"/>
      <c r="N58" s="25"/>
    </row>
    <row r="59" spans="1:22" ht="15.75" hidden="1" customHeight="1">
      <c r="A59" s="36"/>
      <c r="B59" s="144" t="s">
        <v>45</v>
      </c>
      <c r="C59" s="124"/>
      <c r="D59" s="123"/>
      <c r="E59" s="125"/>
      <c r="F59" s="126"/>
      <c r="G59" s="116"/>
      <c r="H59" s="127"/>
      <c r="I59" s="14"/>
      <c r="J59" s="30"/>
      <c r="L59" s="23"/>
    </row>
    <row r="60" spans="1:22" ht="15.75" hidden="1" customHeight="1">
      <c r="A60" s="36"/>
      <c r="B60" s="123" t="s">
        <v>133</v>
      </c>
      <c r="C60" s="124" t="s">
        <v>105</v>
      </c>
      <c r="D60" s="123" t="s">
        <v>72</v>
      </c>
      <c r="E60" s="125">
        <v>1026</v>
      </c>
      <c r="F60" s="127">
        <f>E60/100</f>
        <v>10.26</v>
      </c>
      <c r="G60" s="14">
        <v>848.37</v>
      </c>
      <c r="H60" s="132">
        <f>F60*G60/1000</f>
        <v>8.7042762000000007</v>
      </c>
      <c r="I60" s="14">
        <v>0</v>
      </c>
    </row>
    <row r="61" spans="1:22" ht="15.75" hidden="1" customHeight="1">
      <c r="A61" s="36"/>
      <c r="B61" s="145" t="s">
        <v>46</v>
      </c>
      <c r="C61" s="133"/>
      <c r="D61" s="134"/>
      <c r="E61" s="135"/>
      <c r="F61" s="136"/>
      <c r="G61" s="136"/>
      <c r="H61" s="137" t="s">
        <v>145</v>
      </c>
      <c r="I61" s="14"/>
    </row>
    <row r="62" spans="1:22" ht="15.75" hidden="1" customHeight="1">
      <c r="A62" s="36"/>
      <c r="B62" s="16" t="s">
        <v>47</v>
      </c>
      <c r="C62" s="18" t="s">
        <v>130</v>
      </c>
      <c r="D62" s="123" t="s">
        <v>72</v>
      </c>
      <c r="E62" s="21">
        <v>8</v>
      </c>
      <c r="F62" s="126">
        <v>8</v>
      </c>
      <c r="G62" s="14">
        <v>237.74</v>
      </c>
      <c r="H62" s="121">
        <f t="shared" ref="H62:H75" si="6">SUM(F62*G62/1000)</f>
        <v>1.9019200000000001</v>
      </c>
      <c r="I62" s="14">
        <v>0</v>
      </c>
    </row>
    <row r="63" spans="1:22" ht="15.75" hidden="1" customHeight="1">
      <c r="A63" s="36"/>
      <c r="B63" s="16" t="s">
        <v>48</v>
      </c>
      <c r="C63" s="18" t="s">
        <v>130</v>
      </c>
      <c r="D63" s="123" t="s">
        <v>72</v>
      </c>
      <c r="E63" s="21">
        <v>3</v>
      </c>
      <c r="F63" s="126">
        <v>3</v>
      </c>
      <c r="G63" s="14">
        <v>81.510000000000005</v>
      </c>
      <c r="H63" s="121">
        <f t="shared" si="6"/>
        <v>0.24453000000000003</v>
      </c>
      <c r="I63" s="14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6"/>
      <c r="B64" s="16" t="s">
        <v>49</v>
      </c>
      <c r="C64" s="18" t="s">
        <v>134</v>
      </c>
      <c r="D64" s="16" t="s">
        <v>55</v>
      </c>
      <c r="E64" s="125">
        <v>6307</v>
      </c>
      <c r="F64" s="14">
        <f>SUM(E64/100)</f>
        <v>63.07</v>
      </c>
      <c r="G64" s="14">
        <v>226.79</v>
      </c>
      <c r="H64" s="121">
        <f t="shared" si="6"/>
        <v>14.303645299999999</v>
      </c>
      <c r="I64" s="14">
        <v>0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6" t="s">
        <v>50</v>
      </c>
      <c r="C65" s="18" t="s">
        <v>135</v>
      </c>
      <c r="D65" s="16"/>
      <c r="E65" s="125">
        <v>6307</v>
      </c>
      <c r="F65" s="14">
        <f>SUM(E65/1000)</f>
        <v>6.3070000000000004</v>
      </c>
      <c r="G65" s="14">
        <v>176.61</v>
      </c>
      <c r="H65" s="121">
        <f t="shared" si="6"/>
        <v>1.1138792700000002</v>
      </c>
      <c r="I65" s="14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6" t="s">
        <v>51</v>
      </c>
      <c r="C66" s="18" t="s">
        <v>82</v>
      </c>
      <c r="D66" s="16" t="s">
        <v>55</v>
      </c>
      <c r="E66" s="125">
        <v>1003</v>
      </c>
      <c r="F66" s="14">
        <f>SUM(E66/100)</f>
        <v>10.029999999999999</v>
      </c>
      <c r="G66" s="14">
        <v>2217.7800000000002</v>
      </c>
      <c r="H66" s="121">
        <f t="shared" si="6"/>
        <v>22.244333399999999</v>
      </c>
      <c r="I66" s="14">
        <v>0</v>
      </c>
      <c r="J66" s="5"/>
      <c r="K66" s="5"/>
      <c r="L66" s="5"/>
      <c r="M66" s="5"/>
      <c r="N66" s="5"/>
      <c r="O66" s="5"/>
      <c r="P66" s="5"/>
      <c r="Q66" s="5"/>
      <c r="R66" s="163"/>
      <c r="S66" s="163"/>
      <c r="T66" s="163"/>
      <c r="U66" s="163"/>
    </row>
    <row r="67" spans="1:21" ht="15.75" hidden="1" customHeight="1">
      <c r="A67" s="36"/>
      <c r="B67" s="138" t="s">
        <v>136</v>
      </c>
      <c r="C67" s="18" t="s">
        <v>33</v>
      </c>
      <c r="D67" s="16"/>
      <c r="E67" s="125">
        <v>6.6</v>
      </c>
      <c r="F67" s="14">
        <f>SUM(E67)</f>
        <v>6.6</v>
      </c>
      <c r="G67" s="14">
        <v>42.67</v>
      </c>
      <c r="H67" s="121">
        <f t="shared" si="6"/>
        <v>0.28162200000000004</v>
      </c>
      <c r="I67" s="14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38" t="s">
        <v>137</v>
      </c>
      <c r="C68" s="18" t="s">
        <v>33</v>
      </c>
      <c r="D68" s="16"/>
      <c r="E68" s="125">
        <v>6.6</v>
      </c>
      <c r="F68" s="14">
        <f>SUM(E68)</f>
        <v>6.6</v>
      </c>
      <c r="G68" s="14">
        <v>39.81</v>
      </c>
      <c r="H68" s="121">
        <f t="shared" si="6"/>
        <v>0.26274599999999998</v>
      </c>
      <c r="I68" s="14">
        <v>0</v>
      </c>
    </row>
    <row r="69" spans="1:21" ht="15.75" hidden="1" customHeight="1">
      <c r="A69" s="36"/>
      <c r="B69" s="16" t="s">
        <v>60</v>
      </c>
      <c r="C69" s="18" t="s">
        <v>61</v>
      </c>
      <c r="D69" s="16" t="s">
        <v>55</v>
      </c>
      <c r="E69" s="21">
        <v>3</v>
      </c>
      <c r="F69" s="126">
        <v>3</v>
      </c>
      <c r="G69" s="14">
        <v>46.97</v>
      </c>
      <c r="H69" s="121">
        <f t="shared" si="6"/>
        <v>0.14091000000000001</v>
      </c>
      <c r="I69" s="14">
        <v>0</v>
      </c>
    </row>
    <row r="70" spans="1:21" ht="15.75" hidden="1" customHeight="1">
      <c r="A70" s="36"/>
      <c r="B70" s="101" t="s">
        <v>77</v>
      </c>
      <c r="C70" s="18"/>
      <c r="D70" s="16"/>
      <c r="E70" s="21"/>
      <c r="F70" s="14"/>
      <c r="G70" s="14"/>
      <c r="H70" s="121" t="s">
        <v>145</v>
      </c>
      <c r="I70" s="14"/>
    </row>
    <row r="71" spans="1:21" ht="15.75" hidden="1" customHeight="1">
      <c r="A71" s="36"/>
      <c r="B71" s="16" t="s">
        <v>78</v>
      </c>
      <c r="C71" s="18" t="s">
        <v>80</v>
      </c>
      <c r="D71" s="16"/>
      <c r="E71" s="21">
        <v>3</v>
      </c>
      <c r="F71" s="14">
        <v>0.3</v>
      </c>
      <c r="G71" s="14">
        <v>536.23</v>
      </c>
      <c r="H71" s="121">
        <f t="shared" si="6"/>
        <v>0.16086900000000001</v>
      </c>
      <c r="I71" s="14">
        <v>0</v>
      </c>
    </row>
    <row r="72" spans="1:21" ht="15.75" hidden="1" customHeight="1">
      <c r="A72" s="36"/>
      <c r="B72" s="16" t="s">
        <v>79</v>
      </c>
      <c r="C72" s="18" t="s">
        <v>31</v>
      </c>
      <c r="D72" s="16"/>
      <c r="E72" s="21">
        <v>1</v>
      </c>
      <c r="F72" s="116">
        <v>1</v>
      </c>
      <c r="G72" s="14">
        <v>911.85</v>
      </c>
      <c r="H72" s="121">
        <f>F72*G72/1000</f>
        <v>0.91185000000000005</v>
      </c>
      <c r="I72" s="14">
        <v>0</v>
      </c>
    </row>
    <row r="73" spans="1:21" ht="15.75" hidden="1" customHeight="1">
      <c r="A73" s="36"/>
      <c r="B73" s="16" t="s">
        <v>194</v>
      </c>
      <c r="C73" s="18" t="s">
        <v>31</v>
      </c>
      <c r="D73" s="16"/>
      <c r="E73" s="21">
        <v>1</v>
      </c>
      <c r="F73" s="14">
        <v>1</v>
      </c>
      <c r="G73" s="14">
        <v>383.25</v>
      </c>
      <c r="H73" s="121">
        <f>G73*F73/1000</f>
        <v>0.38324999999999998</v>
      </c>
      <c r="I73" s="14">
        <v>0</v>
      </c>
    </row>
    <row r="74" spans="1:21" ht="15.75" hidden="1" customHeight="1">
      <c r="A74" s="36"/>
      <c r="B74" s="140" t="s">
        <v>81</v>
      </c>
      <c r="C74" s="18"/>
      <c r="D74" s="16"/>
      <c r="E74" s="21"/>
      <c r="F74" s="14"/>
      <c r="G74" s="14" t="s">
        <v>145</v>
      </c>
      <c r="H74" s="121" t="s">
        <v>145</v>
      </c>
      <c r="I74" s="14"/>
    </row>
    <row r="75" spans="1:21" ht="15.75" hidden="1" customHeight="1">
      <c r="A75" s="36"/>
      <c r="B75" s="67" t="s">
        <v>162</v>
      </c>
      <c r="C75" s="18" t="s">
        <v>82</v>
      </c>
      <c r="D75" s="16"/>
      <c r="E75" s="21"/>
      <c r="F75" s="14">
        <v>0.1</v>
      </c>
      <c r="G75" s="14">
        <v>2831.38</v>
      </c>
      <c r="H75" s="121">
        <f t="shared" si="6"/>
        <v>0.28313800000000006</v>
      </c>
      <c r="I75" s="14">
        <v>0</v>
      </c>
    </row>
    <row r="76" spans="1:21" ht="15.75" hidden="1" customHeight="1">
      <c r="A76" s="36"/>
      <c r="B76" s="115" t="s">
        <v>111</v>
      </c>
      <c r="C76" s="115"/>
      <c r="D76" s="115"/>
      <c r="E76" s="146"/>
      <c r="F76" s="147"/>
      <c r="G76" s="129"/>
      <c r="H76" s="141">
        <f>SUM(H58:H75)</f>
        <v>53.41802916999999</v>
      </c>
      <c r="I76" s="129"/>
    </row>
    <row r="77" spans="1:21" ht="15.75" hidden="1" customHeight="1">
      <c r="A77" s="36"/>
      <c r="B77" s="148" t="s">
        <v>138</v>
      </c>
      <c r="C77" s="27"/>
      <c r="D77" s="26"/>
      <c r="E77" s="117"/>
      <c r="F77" s="14">
        <v>1</v>
      </c>
      <c r="G77" s="14">
        <v>5637.8</v>
      </c>
      <c r="H77" s="121">
        <f>G77*F77/1000</f>
        <v>5.6378000000000004</v>
      </c>
      <c r="I77" s="14">
        <v>0</v>
      </c>
    </row>
    <row r="78" spans="1:21" ht="15.75" customHeight="1">
      <c r="A78" s="153" t="s">
        <v>185</v>
      </c>
      <c r="B78" s="154"/>
      <c r="C78" s="154"/>
      <c r="D78" s="154"/>
      <c r="E78" s="154"/>
      <c r="F78" s="154"/>
      <c r="G78" s="154"/>
      <c r="H78" s="154"/>
      <c r="I78" s="155"/>
    </row>
    <row r="79" spans="1:21" ht="15.75" customHeight="1">
      <c r="A79" s="36">
        <v>16</v>
      </c>
      <c r="B79" s="123" t="s">
        <v>139</v>
      </c>
      <c r="C79" s="18" t="s">
        <v>56</v>
      </c>
      <c r="D79" s="142" t="s">
        <v>57</v>
      </c>
      <c r="E79" s="14">
        <v>1536.4</v>
      </c>
      <c r="F79" s="14">
        <f>SUM(E79*12)</f>
        <v>18436.800000000003</v>
      </c>
      <c r="G79" s="14">
        <v>2.2400000000000002</v>
      </c>
      <c r="H79" s="121">
        <f>SUM(F79*G79/1000)</f>
        <v>41.298432000000005</v>
      </c>
      <c r="I79" s="14">
        <f>F79/12*G79</f>
        <v>3441.536000000001</v>
      </c>
    </row>
    <row r="80" spans="1:21" ht="31.5" customHeight="1">
      <c r="A80" s="36">
        <v>17</v>
      </c>
      <c r="B80" s="16" t="s">
        <v>83</v>
      </c>
      <c r="C80" s="18"/>
      <c r="D80" s="142" t="s">
        <v>57</v>
      </c>
      <c r="E80" s="125">
        <f>E79</f>
        <v>1536.4</v>
      </c>
      <c r="F80" s="14">
        <f>E80*12</f>
        <v>18436.800000000003</v>
      </c>
      <c r="G80" s="14">
        <v>1.74</v>
      </c>
      <c r="H80" s="121">
        <f>F80*G80/1000</f>
        <v>32.08003200000001</v>
      </c>
      <c r="I80" s="14">
        <f>F80/12*G80</f>
        <v>2673.3360000000007</v>
      </c>
    </row>
    <row r="81" spans="1:9" ht="15.75" customHeight="1">
      <c r="A81" s="36"/>
      <c r="B81" s="54" t="s">
        <v>87</v>
      </c>
      <c r="C81" s="140"/>
      <c r="D81" s="139"/>
      <c r="E81" s="129"/>
      <c r="F81" s="129"/>
      <c r="G81" s="129"/>
      <c r="H81" s="141">
        <f>H80</f>
        <v>32.08003200000001</v>
      </c>
      <c r="I81" s="129">
        <f>I16+I17+I18+I27+I28+I38+I39+I40+I41+I42+I43+I44+I51+I55+I58+I79+I80</f>
        <v>32249.240578916666</v>
      </c>
    </row>
    <row r="82" spans="1:9" ht="15.75" customHeight="1">
      <c r="A82" s="36"/>
      <c r="B82" s="87" t="s">
        <v>63</v>
      </c>
      <c r="C82" s="18"/>
      <c r="D82" s="67"/>
      <c r="E82" s="14"/>
      <c r="F82" s="14"/>
      <c r="G82" s="14"/>
      <c r="H82" s="14"/>
      <c r="I82" s="14"/>
    </row>
    <row r="83" spans="1:9" ht="15.75" customHeight="1">
      <c r="A83" s="36">
        <v>18</v>
      </c>
      <c r="B83" s="88" t="s">
        <v>164</v>
      </c>
      <c r="C83" s="89" t="s">
        <v>130</v>
      </c>
      <c r="D83" s="67"/>
      <c r="E83" s="14"/>
      <c r="F83" s="14">
        <v>216</v>
      </c>
      <c r="G83" s="14">
        <v>50.68</v>
      </c>
      <c r="H83" s="14">
        <f>G83*F83/1000</f>
        <v>10.946879999999998</v>
      </c>
      <c r="I83" s="14">
        <f>G83*27</f>
        <v>1368.36</v>
      </c>
    </row>
    <row r="84" spans="1:9" ht="15.75" customHeight="1">
      <c r="A84" s="36">
        <v>19</v>
      </c>
      <c r="B84" s="88" t="s">
        <v>195</v>
      </c>
      <c r="C84" s="89" t="s">
        <v>176</v>
      </c>
      <c r="D84" s="67"/>
      <c r="E84" s="14"/>
      <c r="F84" s="14">
        <v>1</v>
      </c>
      <c r="G84" s="14">
        <v>476.76</v>
      </c>
      <c r="H84" s="14">
        <f>G84*F84/1000</f>
        <v>0.47676000000000002</v>
      </c>
      <c r="I84" s="14">
        <f>G84</f>
        <v>476.76</v>
      </c>
    </row>
    <row r="85" spans="1:9" ht="31.5" hidden="1" customHeight="1">
      <c r="A85" s="36"/>
      <c r="B85" s="88" t="s">
        <v>196</v>
      </c>
      <c r="C85" s="89" t="s">
        <v>197</v>
      </c>
      <c r="D85" s="67"/>
      <c r="E85" s="14"/>
      <c r="F85" s="14">
        <v>1</v>
      </c>
      <c r="G85" s="14">
        <v>51.39</v>
      </c>
      <c r="H85" s="14">
        <f>G85*F85/1000</f>
        <v>5.1389999999999998E-2</v>
      </c>
      <c r="I85" s="14">
        <v>0</v>
      </c>
    </row>
    <row r="86" spans="1:9" ht="15.75" hidden="1" customHeight="1">
      <c r="A86" s="36"/>
      <c r="B86" s="88" t="s">
        <v>152</v>
      </c>
      <c r="C86" s="89" t="s">
        <v>198</v>
      </c>
      <c r="D86" s="67"/>
      <c r="E86" s="14"/>
      <c r="F86" s="14">
        <v>2</v>
      </c>
      <c r="G86" s="14">
        <v>1501</v>
      </c>
      <c r="H86" s="121">
        <f>G86*F86/1000</f>
        <v>3.0019999999999998</v>
      </c>
      <c r="I86" s="14">
        <v>0</v>
      </c>
    </row>
    <row r="87" spans="1:9" ht="15.75" hidden="1" customHeight="1">
      <c r="A87" s="36"/>
      <c r="B87" s="88" t="s">
        <v>199</v>
      </c>
      <c r="C87" s="89" t="s">
        <v>200</v>
      </c>
      <c r="D87" s="67"/>
      <c r="E87" s="14"/>
      <c r="F87" s="14">
        <v>1</v>
      </c>
      <c r="G87" s="14">
        <v>15786</v>
      </c>
      <c r="H87" s="14">
        <f t="shared" ref="H87:H89" si="7">G87*F87/1000</f>
        <v>15.786</v>
      </c>
      <c r="I87" s="14">
        <v>0</v>
      </c>
    </row>
    <row r="88" spans="1:9" ht="31.5" hidden="1" customHeight="1">
      <c r="A88" s="36"/>
      <c r="B88" s="88" t="s">
        <v>201</v>
      </c>
      <c r="C88" s="89" t="s">
        <v>89</v>
      </c>
      <c r="D88" s="67"/>
      <c r="E88" s="14"/>
      <c r="F88" s="14">
        <v>3</v>
      </c>
      <c r="G88" s="14">
        <v>851.93</v>
      </c>
      <c r="H88" s="14">
        <f t="shared" si="7"/>
        <v>2.55579</v>
      </c>
      <c r="I88" s="14">
        <v>0</v>
      </c>
    </row>
    <row r="89" spans="1:9" ht="31.5" hidden="1" customHeight="1">
      <c r="A89" s="36"/>
      <c r="B89" s="88" t="s">
        <v>215</v>
      </c>
      <c r="C89" s="89" t="s">
        <v>31</v>
      </c>
      <c r="D89" s="67"/>
      <c r="E89" s="14"/>
      <c r="F89" s="14">
        <v>3</v>
      </c>
      <c r="G89" s="14">
        <v>160</v>
      </c>
      <c r="H89" s="121">
        <f t="shared" si="7"/>
        <v>0.48</v>
      </c>
      <c r="I89" s="14">
        <v>0</v>
      </c>
    </row>
    <row r="90" spans="1:9" ht="15.75" hidden="1" customHeight="1">
      <c r="A90" s="36"/>
      <c r="B90" s="88" t="s">
        <v>92</v>
      </c>
      <c r="C90" s="89" t="s">
        <v>130</v>
      </c>
      <c r="D90" s="67"/>
      <c r="E90" s="14"/>
      <c r="F90" s="14">
        <v>4</v>
      </c>
      <c r="G90" s="14">
        <v>180.15</v>
      </c>
      <c r="H90" s="121">
        <f>G90*F90/1000</f>
        <v>0.72060000000000002</v>
      </c>
      <c r="I90" s="14">
        <v>0</v>
      </c>
    </row>
    <row r="91" spans="1:9" ht="31.5" hidden="1" customHeight="1">
      <c r="A91" s="36"/>
      <c r="B91" s="143" t="s">
        <v>202</v>
      </c>
      <c r="C91" s="36" t="s">
        <v>203</v>
      </c>
      <c r="D91" s="67"/>
      <c r="E91" s="14"/>
      <c r="F91" s="14">
        <v>1</v>
      </c>
      <c r="G91" s="14">
        <v>1835.8</v>
      </c>
      <c r="H91" s="121">
        <f>G91*F91/1000</f>
        <v>1.8357999999999999</v>
      </c>
      <c r="I91" s="14">
        <v>0</v>
      </c>
    </row>
    <row r="92" spans="1:9" ht="31.5" hidden="1" customHeight="1">
      <c r="A92" s="36"/>
      <c r="B92" s="88" t="s">
        <v>204</v>
      </c>
      <c r="C92" s="89" t="s">
        <v>89</v>
      </c>
      <c r="D92" s="67"/>
      <c r="E92" s="14"/>
      <c r="F92" s="14">
        <v>2</v>
      </c>
      <c r="G92" s="14">
        <v>1206</v>
      </c>
      <c r="H92" s="121">
        <f t="shared" ref="H92" si="8">G92*F92/1000</f>
        <v>2.4119999999999999</v>
      </c>
      <c r="I92" s="14">
        <v>0</v>
      </c>
    </row>
    <row r="93" spans="1:9" ht="31.5" hidden="1" customHeight="1">
      <c r="A93" s="36"/>
      <c r="B93" s="88" t="s">
        <v>96</v>
      </c>
      <c r="C93" s="89" t="s">
        <v>39</v>
      </c>
      <c r="D93" s="67"/>
      <c r="E93" s="14"/>
      <c r="F93" s="14">
        <v>0.03</v>
      </c>
      <c r="G93" s="14">
        <v>3397.65</v>
      </c>
      <c r="H93" s="121">
        <f>G93*F93/1000</f>
        <v>0.10192950000000001</v>
      </c>
      <c r="I93" s="14">
        <v>0</v>
      </c>
    </row>
    <row r="94" spans="1:9" ht="31.5" hidden="1" customHeight="1">
      <c r="A94" s="36"/>
      <c r="B94" s="88" t="s">
        <v>205</v>
      </c>
      <c r="C94" s="89" t="s">
        <v>29</v>
      </c>
      <c r="D94" s="67"/>
      <c r="E94" s="14"/>
      <c r="F94" s="19">
        <f>3/1000</f>
        <v>3.0000000000000001E-3</v>
      </c>
      <c r="G94" s="14">
        <v>1510.06</v>
      </c>
      <c r="H94" s="19">
        <f t="shared" ref="H94" si="9">G94*F94/1000</f>
        <v>4.53018E-3</v>
      </c>
      <c r="I94" s="14">
        <v>0</v>
      </c>
    </row>
    <row r="95" spans="1:9" ht="15.75" hidden="1" customHeight="1">
      <c r="A95" s="36"/>
      <c r="B95" s="88" t="s">
        <v>206</v>
      </c>
      <c r="C95" s="89" t="s">
        <v>207</v>
      </c>
      <c r="D95" s="67"/>
      <c r="E95" s="14"/>
      <c r="F95" s="14">
        <f>3/100</f>
        <v>0.03</v>
      </c>
      <c r="G95" s="14">
        <v>7033.13</v>
      </c>
      <c r="H95" s="121">
        <f>G95*F95/1000</f>
        <v>0.21099389999999998</v>
      </c>
      <c r="I95" s="14">
        <v>0</v>
      </c>
    </row>
    <row r="96" spans="1:9" ht="15.75" hidden="1" customHeight="1">
      <c r="A96" s="36"/>
      <c r="B96" s="88" t="s">
        <v>208</v>
      </c>
      <c r="C96" s="89" t="s">
        <v>130</v>
      </c>
      <c r="D96" s="67"/>
      <c r="E96" s="14"/>
      <c r="F96" s="14">
        <v>1</v>
      </c>
      <c r="G96" s="14">
        <v>124.25</v>
      </c>
      <c r="H96" s="121">
        <f t="shared" ref="H96:H100" si="10">G96*F96/1000</f>
        <v>0.12425</v>
      </c>
      <c r="I96" s="14">
        <v>0</v>
      </c>
    </row>
    <row r="97" spans="1:9" ht="15.75" hidden="1" customHeight="1">
      <c r="A97" s="36"/>
      <c r="B97" s="88" t="s">
        <v>209</v>
      </c>
      <c r="C97" s="89" t="s">
        <v>210</v>
      </c>
      <c r="D97" s="67"/>
      <c r="E97" s="14"/>
      <c r="F97" s="14">
        <v>2</v>
      </c>
      <c r="G97" s="14">
        <v>83.63</v>
      </c>
      <c r="H97" s="121">
        <f t="shared" si="10"/>
        <v>0.16725999999999999</v>
      </c>
      <c r="I97" s="14">
        <v>0</v>
      </c>
    </row>
    <row r="98" spans="1:9" ht="31.5" hidden="1" customHeight="1">
      <c r="A98" s="36"/>
      <c r="B98" s="88" t="s">
        <v>86</v>
      </c>
      <c r="C98" s="89" t="s">
        <v>130</v>
      </c>
      <c r="D98" s="67"/>
      <c r="E98" s="14"/>
      <c r="F98" s="14">
        <v>1</v>
      </c>
      <c r="G98" s="14">
        <v>79.09</v>
      </c>
      <c r="H98" s="121">
        <f t="shared" si="10"/>
        <v>7.9090000000000008E-2</v>
      </c>
      <c r="I98" s="14">
        <v>0</v>
      </c>
    </row>
    <row r="99" spans="1:9" ht="15.75" hidden="1" customHeight="1">
      <c r="A99" s="36"/>
      <c r="B99" s="88" t="s">
        <v>211</v>
      </c>
      <c r="C99" s="89" t="s">
        <v>130</v>
      </c>
      <c r="D99" s="67"/>
      <c r="E99" s="14"/>
      <c r="F99" s="14">
        <v>1</v>
      </c>
      <c r="G99" s="14">
        <v>5692.42</v>
      </c>
      <c r="H99" s="121">
        <f t="shared" si="10"/>
        <v>5.6924200000000003</v>
      </c>
      <c r="I99" s="14">
        <v>0</v>
      </c>
    </row>
    <row r="100" spans="1:9" ht="15.75" hidden="1" customHeight="1">
      <c r="A100" s="36"/>
      <c r="B100" s="88" t="s">
        <v>212</v>
      </c>
      <c r="C100" s="89" t="s">
        <v>213</v>
      </c>
      <c r="D100" s="67"/>
      <c r="E100" s="14"/>
      <c r="F100" s="14">
        <v>1</v>
      </c>
      <c r="G100" s="14">
        <v>2426</v>
      </c>
      <c r="H100" s="121">
        <f t="shared" si="10"/>
        <v>2.4260000000000002</v>
      </c>
      <c r="I100" s="14">
        <v>0</v>
      </c>
    </row>
    <row r="101" spans="1:9" ht="15.75" hidden="1" customHeight="1">
      <c r="A101" s="36"/>
      <c r="B101" s="88" t="s">
        <v>214</v>
      </c>
      <c r="C101" s="89" t="s">
        <v>98</v>
      </c>
      <c r="D101" s="67"/>
      <c r="E101" s="14"/>
      <c r="F101" s="14">
        <v>1</v>
      </c>
      <c r="G101" s="14">
        <v>185.81</v>
      </c>
      <c r="H101" s="121">
        <f>G101*F101/1000</f>
        <v>0.18581</v>
      </c>
      <c r="I101" s="14">
        <v>0</v>
      </c>
    </row>
    <row r="102" spans="1:9" ht="15.75" hidden="1" customHeight="1">
      <c r="A102" s="36"/>
      <c r="B102" s="122" t="s">
        <v>99</v>
      </c>
      <c r="C102" s="89" t="s">
        <v>130</v>
      </c>
      <c r="D102" s="67"/>
      <c r="E102" s="14"/>
      <c r="F102" s="14">
        <v>1</v>
      </c>
      <c r="G102" s="14">
        <v>179.96</v>
      </c>
      <c r="H102" s="121">
        <f t="shared" ref="H102" si="11">G102*F102/1000</f>
        <v>0.17996000000000001</v>
      </c>
      <c r="I102" s="14">
        <v>0</v>
      </c>
    </row>
    <row r="103" spans="1:9">
      <c r="A103" s="36"/>
      <c r="B103" s="61" t="s">
        <v>52</v>
      </c>
      <c r="C103" s="57"/>
      <c r="D103" s="71"/>
      <c r="E103" s="57">
        <v>1</v>
      </c>
      <c r="F103" s="57"/>
      <c r="G103" s="57"/>
      <c r="H103" s="57"/>
      <c r="I103" s="39">
        <f>SUM(I83:I102)</f>
        <v>1845.12</v>
      </c>
    </row>
    <row r="104" spans="1:9" ht="15.75" customHeight="1">
      <c r="A104" s="36"/>
      <c r="B104" s="67" t="s">
        <v>84</v>
      </c>
      <c r="C104" s="17"/>
      <c r="D104" s="17"/>
      <c r="E104" s="58"/>
      <c r="F104" s="58"/>
      <c r="G104" s="59"/>
      <c r="H104" s="59"/>
      <c r="I104" s="20">
        <v>0</v>
      </c>
    </row>
    <row r="105" spans="1:9">
      <c r="A105" s="72"/>
      <c r="B105" s="62" t="s">
        <v>53</v>
      </c>
      <c r="C105" s="45"/>
      <c r="D105" s="45"/>
      <c r="E105" s="45"/>
      <c r="F105" s="45"/>
      <c r="G105" s="45"/>
      <c r="H105" s="45"/>
      <c r="I105" s="60">
        <f>I81+I103</f>
        <v>34094.360578916669</v>
      </c>
    </row>
    <row r="106" spans="1:9" ht="15.75">
      <c r="A106" s="164" t="s">
        <v>217</v>
      </c>
      <c r="B106" s="164"/>
      <c r="C106" s="164"/>
      <c r="D106" s="164"/>
      <c r="E106" s="164"/>
      <c r="F106" s="164"/>
      <c r="G106" s="164"/>
      <c r="H106" s="164"/>
      <c r="I106" s="164"/>
    </row>
    <row r="107" spans="1:9" ht="15.75" customHeight="1">
      <c r="A107" s="107"/>
      <c r="B107" s="165" t="s">
        <v>218</v>
      </c>
      <c r="C107" s="165"/>
      <c r="D107" s="165"/>
      <c r="E107" s="165"/>
      <c r="F107" s="165"/>
      <c r="G107" s="165"/>
      <c r="H107" s="120"/>
      <c r="I107" s="3"/>
    </row>
    <row r="108" spans="1:9">
      <c r="A108" s="106"/>
      <c r="B108" s="161" t="s">
        <v>6</v>
      </c>
      <c r="C108" s="161"/>
      <c r="D108" s="161"/>
      <c r="E108" s="161"/>
      <c r="F108" s="161"/>
      <c r="G108" s="161"/>
      <c r="H108" s="31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66" t="s">
        <v>7</v>
      </c>
      <c r="B110" s="166"/>
      <c r="C110" s="166"/>
      <c r="D110" s="166"/>
      <c r="E110" s="166"/>
      <c r="F110" s="166"/>
      <c r="G110" s="166"/>
      <c r="H110" s="166"/>
      <c r="I110" s="166"/>
    </row>
    <row r="111" spans="1:9" ht="15.75" customHeight="1">
      <c r="A111" s="166" t="s">
        <v>8</v>
      </c>
      <c r="B111" s="166"/>
      <c r="C111" s="166"/>
      <c r="D111" s="166"/>
      <c r="E111" s="166"/>
      <c r="F111" s="166"/>
      <c r="G111" s="166"/>
      <c r="H111" s="166"/>
      <c r="I111" s="166"/>
    </row>
    <row r="112" spans="1:9" ht="15.75">
      <c r="A112" s="158" t="s">
        <v>64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15.75">
      <c r="A113" s="11"/>
    </row>
    <row r="114" spans="1:9" ht="15.75">
      <c r="A114" s="159" t="s">
        <v>9</v>
      </c>
      <c r="B114" s="159"/>
      <c r="C114" s="159"/>
      <c r="D114" s="159"/>
      <c r="E114" s="159"/>
      <c r="F114" s="159"/>
      <c r="G114" s="159"/>
      <c r="H114" s="159"/>
      <c r="I114" s="159"/>
    </row>
    <row r="115" spans="1:9" ht="15.75">
      <c r="A115" s="4"/>
    </row>
    <row r="116" spans="1:9" ht="15.75">
      <c r="B116" s="103" t="s">
        <v>10</v>
      </c>
      <c r="C116" s="160" t="s">
        <v>179</v>
      </c>
      <c r="D116" s="160"/>
      <c r="E116" s="160"/>
      <c r="F116" s="118"/>
      <c r="I116" s="105"/>
    </row>
    <row r="117" spans="1:9">
      <c r="A117" s="106"/>
      <c r="C117" s="161" t="s">
        <v>11</v>
      </c>
      <c r="D117" s="161"/>
      <c r="E117" s="161"/>
      <c r="F117" s="31"/>
      <c r="I117" s="104" t="s">
        <v>12</v>
      </c>
    </row>
    <row r="118" spans="1:9" ht="15.75">
      <c r="A118" s="32"/>
      <c r="C118" s="12"/>
      <c r="D118" s="12"/>
      <c r="G118" s="12"/>
      <c r="H118" s="12"/>
    </row>
    <row r="119" spans="1:9" ht="15.75" customHeight="1">
      <c r="B119" s="103" t="s">
        <v>13</v>
      </c>
      <c r="C119" s="162"/>
      <c r="D119" s="162"/>
      <c r="E119" s="162"/>
      <c r="F119" s="119"/>
      <c r="I119" s="105"/>
    </row>
    <row r="120" spans="1:9" ht="15.75" customHeight="1">
      <c r="A120" s="106"/>
      <c r="C120" s="163" t="s">
        <v>11</v>
      </c>
      <c r="D120" s="163"/>
      <c r="E120" s="163"/>
      <c r="F120" s="106"/>
      <c r="I120" s="104" t="s">
        <v>12</v>
      </c>
    </row>
    <row r="121" spans="1:9" ht="15.75" customHeight="1">
      <c r="A121" s="4" t="s">
        <v>14</v>
      </c>
    </row>
    <row r="122" spans="1:9">
      <c r="A122" s="156" t="s">
        <v>15</v>
      </c>
      <c r="B122" s="156"/>
      <c r="C122" s="156"/>
      <c r="D122" s="156"/>
      <c r="E122" s="156"/>
      <c r="F122" s="156"/>
      <c r="G122" s="156"/>
      <c r="H122" s="156"/>
      <c r="I122" s="156"/>
    </row>
    <row r="123" spans="1:9" ht="45" customHeight="1">
      <c r="A123" s="157" t="s">
        <v>16</v>
      </c>
      <c r="B123" s="157"/>
      <c r="C123" s="157"/>
      <c r="D123" s="157"/>
      <c r="E123" s="157"/>
      <c r="F123" s="157"/>
      <c r="G123" s="157"/>
      <c r="H123" s="157"/>
      <c r="I123" s="157"/>
    </row>
    <row r="124" spans="1:9" ht="30" customHeight="1">
      <c r="A124" s="157" t="s">
        <v>17</v>
      </c>
      <c r="B124" s="157"/>
      <c r="C124" s="157"/>
      <c r="D124" s="157"/>
      <c r="E124" s="157"/>
      <c r="F124" s="157"/>
      <c r="G124" s="157"/>
      <c r="H124" s="157"/>
      <c r="I124" s="157"/>
    </row>
    <row r="125" spans="1:9" ht="30" customHeight="1">
      <c r="A125" s="157" t="s">
        <v>21</v>
      </c>
      <c r="B125" s="157"/>
      <c r="C125" s="157"/>
      <c r="D125" s="157"/>
      <c r="E125" s="157"/>
      <c r="F125" s="157"/>
      <c r="G125" s="157"/>
      <c r="H125" s="157"/>
      <c r="I125" s="157"/>
    </row>
    <row r="126" spans="1:9" ht="15" customHeight="1">
      <c r="A126" s="157" t="s">
        <v>20</v>
      </c>
      <c r="B126" s="157"/>
      <c r="C126" s="157"/>
      <c r="D126" s="157"/>
      <c r="E126" s="157"/>
      <c r="F126" s="157"/>
      <c r="G126" s="157"/>
      <c r="H126" s="157"/>
      <c r="I126" s="157"/>
    </row>
  </sheetData>
  <autoFilter ref="I12:I61"/>
  <mergeCells count="28">
    <mergeCell ref="A15:I15"/>
    <mergeCell ref="R66:U66"/>
    <mergeCell ref="A3:I3"/>
    <mergeCell ref="A4:I4"/>
    <mergeCell ref="A5:I5"/>
    <mergeCell ref="A8:I8"/>
    <mergeCell ref="A10:I10"/>
    <mergeCell ref="A14:I14"/>
    <mergeCell ref="A126:I126"/>
    <mergeCell ref="A29:I29"/>
    <mergeCell ref="A45:I45"/>
    <mergeCell ref="A56:I56"/>
    <mergeCell ref="A112:I112"/>
    <mergeCell ref="A114:I114"/>
    <mergeCell ref="C116:E116"/>
    <mergeCell ref="C117:E117"/>
    <mergeCell ref="C119:E119"/>
    <mergeCell ref="C120:E120"/>
    <mergeCell ref="A106:I106"/>
    <mergeCell ref="B107:G107"/>
    <mergeCell ref="B108:G108"/>
    <mergeCell ref="A110:I110"/>
    <mergeCell ref="A111:I111"/>
    <mergeCell ref="A78:I78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245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66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149">
        <v>42674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181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218.21</v>
      </c>
      <c r="H16" s="127">
        <f t="shared" ref="H16:H26" si="0">SUM(F16*G16/1000)</f>
        <v>18.688377239999998</v>
      </c>
      <c r="I16" s="14">
        <f>F16/12*G16</f>
        <v>1557.3647699999999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218.21</v>
      </c>
      <c r="H17" s="127">
        <f t="shared" si="0"/>
        <v>24.917836319999999</v>
      </c>
      <c r="I17" s="14">
        <f>F17/12*G17</f>
        <v>2076.4863599999999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627.77</v>
      </c>
      <c r="H18" s="127">
        <f t="shared" si="0"/>
        <v>24.814492559999998</v>
      </c>
      <c r="I18" s="14">
        <f>F18/12*G18</f>
        <v>2067.8743799999997</v>
      </c>
      <c r="J18" s="29"/>
      <c r="K18" s="8"/>
      <c r="L18" s="8"/>
      <c r="M18" s="8"/>
    </row>
    <row r="19" spans="1:13" ht="15.75" hidden="1" customHeight="1">
      <c r="A19" s="36"/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211.74</v>
      </c>
      <c r="H19" s="127">
        <f t="shared" si="0"/>
        <v>0.45735840000000005</v>
      </c>
      <c r="I19" s="14">
        <v>0</v>
      </c>
      <c r="J19" s="29"/>
      <c r="K19" s="8"/>
      <c r="L19" s="8"/>
      <c r="M19" s="8"/>
    </row>
    <row r="20" spans="1:13" ht="15.75" hidden="1" customHeight="1">
      <c r="A20" s="36">
        <v>4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271.12</v>
      </c>
      <c r="H20" s="127">
        <f t="shared" si="0"/>
        <v>4.9777631999999995E-2</v>
      </c>
      <c r="I20" s="14">
        <f>F20/2*G20</f>
        <v>24.888815999999998</v>
      </c>
      <c r="J20" s="29"/>
      <c r="K20" s="8"/>
      <c r="L20" s="8"/>
      <c r="M20" s="8"/>
    </row>
    <row r="21" spans="1:13" ht="15.75" hidden="1" customHeight="1">
      <c r="A21" s="36">
        <v>5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268.92</v>
      </c>
      <c r="H21" s="127">
        <f t="shared" si="0"/>
        <v>4.3565040000000006E-2</v>
      </c>
      <c r="I21" s="14">
        <f>F21/2*G21</f>
        <v>21.782520000000002</v>
      </c>
      <c r="J21" s="29"/>
      <c r="K21" s="8"/>
      <c r="L21" s="8"/>
      <c r="M21" s="8"/>
    </row>
    <row r="22" spans="1:13" ht="15.75" hidden="1" customHeight="1">
      <c r="A22" s="36"/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335.05</v>
      </c>
      <c r="H22" s="127">
        <f t="shared" si="0"/>
        <v>0.73818215999999992</v>
      </c>
      <c r="I22" s="14">
        <v>0</v>
      </c>
      <c r="J22" s="29"/>
      <c r="K22" s="8"/>
      <c r="L22" s="8"/>
      <c r="M22" s="8"/>
    </row>
    <row r="23" spans="1:13" ht="15.75" hidden="1" customHeight="1">
      <c r="A23" s="36"/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55.1</v>
      </c>
      <c r="H23" s="127">
        <f t="shared" si="0"/>
        <v>9.7196399999999999E-3</v>
      </c>
      <c r="I23" s="14">
        <v>0</v>
      </c>
      <c r="J23" s="29"/>
      <c r="K23" s="8"/>
      <c r="L23" s="8"/>
      <c r="M23" s="8"/>
    </row>
    <row r="24" spans="1:13" ht="15.75" hidden="1" customHeight="1">
      <c r="A24" s="36"/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484.94</v>
      </c>
      <c r="H24" s="127">
        <f t="shared" si="0"/>
        <v>3.4915680000000004E-2</v>
      </c>
      <c r="I24" s="14">
        <v>0</v>
      </c>
      <c r="J24" s="29"/>
      <c r="K24" s="8"/>
      <c r="L24" s="8"/>
      <c r="M24" s="8"/>
    </row>
    <row r="25" spans="1:13" ht="15.75" hidden="1" customHeight="1">
      <c r="A25" s="36"/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268.92</v>
      </c>
      <c r="H25" s="127">
        <f t="shared" si="0"/>
        <v>2.5412939999999998E-2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/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684.05</v>
      </c>
      <c r="H26" s="127">
        <f t="shared" si="0"/>
        <v>7.387740000000001E-2</v>
      </c>
      <c r="I26" s="14">
        <v>0</v>
      </c>
      <c r="J26" s="29"/>
      <c r="K26" s="8"/>
      <c r="L26" s="8"/>
      <c r="M26" s="8"/>
    </row>
    <row r="27" spans="1:13" ht="15.75" customHeight="1">
      <c r="A27" s="36">
        <v>4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182.96</v>
      </c>
      <c r="H27" s="127">
        <f>SUM(F27*G27/1000)</f>
        <v>6.6780400000000002</v>
      </c>
      <c r="I27" s="14">
        <f>F27/12*G27</f>
        <v>556.50333333333333</v>
      </c>
      <c r="J27" s="29"/>
      <c r="K27" s="8"/>
    </row>
    <row r="28" spans="1:13" ht="15.75" customHeight="1">
      <c r="A28" s="36">
        <v>5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4.5599999999999996</v>
      </c>
      <c r="H28" s="127">
        <f>SUM(F28*G28/1000)</f>
        <v>84.071808000000004</v>
      </c>
      <c r="I28" s="14">
        <f>F28/12*G28</f>
        <v>7005.9840000000013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30"/>
    </row>
    <row r="30" spans="1:13" ht="15.75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30"/>
    </row>
    <row r="31" spans="1:13" ht="31.5" customHeight="1">
      <c r="A31" s="36">
        <v>6</v>
      </c>
      <c r="B31" s="123" t="s">
        <v>128</v>
      </c>
      <c r="C31" s="124" t="s">
        <v>108</v>
      </c>
      <c r="D31" s="123" t="s">
        <v>123</v>
      </c>
      <c r="E31" s="126">
        <v>61.5</v>
      </c>
      <c r="F31" s="126">
        <f>SUM(E31*52/1000)</f>
        <v>3.198</v>
      </c>
      <c r="G31" s="126">
        <v>193.97</v>
      </c>
      <c r="H31" s="127">
        <f t="shared" ref="H31:H36" si="1">SUM(F31*G31/1000)</f>
        <v>0.62031605999999995</v>
      </c>
      <c r="I31" s="14">
        <f t="shared" ref="I31:I32" si="2">F31/6*G31</f>
        <v>103.38601</v>
      </c>
      <c r="J31" s="29"/>
      <c r="K31" s="8"/>
      <c r="L31" s="8"/>
      <c r="M31" s="8"/>
    </row>
    <row r="32" spans="1:13" ht="31.5" customHeight="1">
      <c r="A32" s="36">
        <v>7</v>
      </c>
      <c r="B32" s="123" t="s">
        <v>127</v>
      </c>
      <c r="C32" s="124" t="s">
        <v>108</v>
      </c>
      <c r="D32" s="123" t="s">
        <v>124</v>
      </c>
      <c r="E32" s="126">
        <v>35.299999999999997</v>
      </c>
      <c r="F32" s="126">
        <f>SUM(E32*78/1000)</f>
        <v>2.7533999999999996</v>
      </c>
      <c r="G32" s="126">
        <v>321.82</v>
      </c>
      <c r="H32" s="127">
        <f t="shared" si="1"/>
        <v>0.88609918799999987</v>
      </c>
      <c r="I32" s="14">
        <f t="shared" si="2"/>
        <v>147.68319799999998</v>
      </c>
      <c r="J32" s="29"/>
      <c r="K32" s="8"/>
      <c r="L32" s="8"/>
      <c r="M32" s="8"/>
    </row>
    <row r="33" spans="1:14" ht="15.75" hidden="1" customHeight="1">
      <c r="A33" s="36"/>
      <c r="B33" s="123" t="s">
        <v>27</v>
      </c>
      <c r="C33" s="124" t="s">
        <v>108</v>
      </c>
      <c r="D33" s="123" t="s">
        <v>55</v>
      </c>
      <c r="E33" s="126">
        <v>61.5</v>
      </c>
      <c r="F33" s="126">
        <f>SUM(E33/1000)</f>
        <v>6.1499999999999999E-2</v>
      </c>
      <c r="G33" s="126">
        <v>3758.28</v>
      </c>
      <c r="H33" s="127">
        <f t="shared" si="1"/>
        <v>0.23113422</v>
      </c>
      <c r="I33" s="14">
        <f>F33*G33</f>
        <v>231.13422</v>
      </c>
      <c r="J33" s="29"/>
      <c r="K33" s="8"/>
      <c r="L33" s="8"/>
      <c r="M33" s="8"/>
    </row>
    <row r="34" spans="1:14" ht="15.75" customHeight="1">
      <c r="A34" s="36">
        <v>8</v>
      </c>
      <c r="B34" s="123" t="s">
        <v>126</v>
      </c>
      <c r="C34" s="124" t="s">
        <v>31</v>
      </c>
      <c r="D34" s="123" t="s">
        <v>68</v>
      </c>
      <c r="E34" s="130">
        <f>1/3</f>
        <v>0.33333333333333331</v>
      </c>
      <c r="F34" s="126">
        <f>155/3</f>
        <v>51.666666666666664</v>
      </c>
      <c r="G34" s="126">
        <v>70.540000000000006</v>
      </c>
      <c r="H34" s="127">
        <f t="shared" si="1"/>
        <v>3.6445666666666665</v>
      </c>
      <c r="I34" s="14">
        <f>F34/6*G34</f>
        <v>607.42777777777781</v>
      </c>
      <c r="J34" s="29"/>
      <c r="K34" s="8"/>
      <c r="L34" s="8"/>
      <c r="M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1</v>
      </c>
      <c r="G35" s="126">
        <v>238.07</v>
      </c>
      <c r="H35" s="127">
        <f t="shared" si="1"/>
        <v>0.23807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1413.96</v>
      </c>
      <c r="H36" s="127">
        <f t="shared" si="1"/>
        <v>1.4139600000000001</v>
      </c>
      <c r="I36" s="14">
        <v>0</v>
      </c>
      <c r="J36" s="30"/>
    </row>
    <row r="37" spans="1:14" ht="15.75" hidden="1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  <c r="L37" s="23"/>
      <c r="M37" s="24"/>
      <c r="N37" s="25"/>
    </row>
    <row r="38" spans="1:14" ht="15.75" hidden="1" customHeight="1">
      <c r="A38" s="36"/>
      <c r="B38" s="123" t="s">
        <v>26</v>
      </c>
      <c r="C38" s="124" t="s">
        <v>32</v>
      </c>
      <c r="D38" s="123"/>
      <c r="E38" s="125"/>
      <c r="F38" s="126">
        <v>3</v>
      </c>
      <c r="G38" s="126">
        <v>1900.37</v>
      </c>
      <c r="H38" s="127">
        <f t="shared" ref="H38:H43" si="3">SUM(F38*G38/1000)</f>
        <v>5.7011099999999999</v>
      </c>
      <c r="I38" s="14">
        <f t="shared" ref="I38:I43" si="4">F38/6*G38</f>
        <v>950.18499999999995</v>
      </c>
      <c r="J38" s="30"/>
      <c r="L38" s="23"/>
      <c r="M38" s="24"/>
      <c r="N38" s="25"/>
    </row>
    <row r="39" spans="1:14" ht="31.5" hidden="1" customHeight="1">
      <c r="A39" s="36"/>
      <c r="B39" s="123" t="s">
        <v>146</v>
      </c>
      <c r="C39" s="124" t="s">
        <v>29</v>
      </c>
      <c r="D39" s="123" t="s">
        <v>106</v>
      </c>
      <c r="E39" s="125">
        <v>35.299999999999997</v>
      </c>
      <c r="F39" s="126">
        <f>E39*30/1000</f>
        <v>1.0589999999999999</v>
      </c>
      <c r="G39" s="126">
        <v>2616.4899999999998</v>
      </c>
      <c r="H39" s="127">
        <f t="shared" si="3"/>
        <v>2.77086291</v>
      </c>
      <c r="I39" s="14">
        <f t="shared" si="4"/>
        <v>461.81048499999991</v>
      </c>
      <c r="J39" s="30"/>
      <c r="L39" s="23"/>
      <c r="M39" s="24"/>
      <c r="N39" s="25"/>
    </row>
    <row r="40" spans="1:14" ht="15.75" hidden="1" customHeight="1">
      <c r="A40" s="36"/>
      <c r="B40" s="123" t="s">
        <v>147</v>
      </c>
      <c r="C40" s="124" t="s">
        <v>29</v>
      </c>
      <c r="D40" s="123" t="s">
        <v>107</v>
      </c>
      <c r="E40" s="125">
        <v>35.299999999999997</v>
      </c>
      <c r="F40" s="126">
        <f>SUM(E40*155/1000)</f>
        <v>5.4714999999999998</v>
      </c>
      <c r="G40" s="126">
        <v>436.45</v>
      </c>
      <c r="H40" s="127">
        <f t="shared" si="3"/>
        <v>2.3880361749999999</v>
      </c>
      <c r="I40" s="14">
        <f t="shared" si="4"/>
        <v>398.00602916666662</v>
      </c>
      <c r="J40" s="30"/>
      <c r="L40" s="23"/>
      <c r="M40" s="24"/>
      <c r="N40" s="25"/>
    </row>
    <row r="41" spans="1:14" ht="47.25" hidden="1" customHeight="1">
      <c r="A41" s="36"/>
      <c r="B41" s="123" t="s">
        <v>148</v>
      </c>
      <c r="C41" s="124" t="s">
        <v>108</v>
      </c>
      <c r="D41" s="123" t="s">
        <v>149</v>
      </c>
      <c r="E41" s="125">
        <v>35.299999999999997</v>
      </c>
      <c r="F41" s="126">
        <f>SUM(E41*24/1000)</f>
        <v>0.84719999999999995</v>
      </c>
      <c r="G41" s="126">
        <v>7221.21</v>
      </c>
      <c r="H41" s="127">
        <f t="shared" si="3"/>
        <v>6.1178091119999998</v>
      </c>
      <c r="I41" s="14">
        <f t="shared" si="4"/>
        <v>1019.6348519999999</v>
      </c>
      <c r="J41" s="30"/>
      <c r="L41" s="23"/>
      <c r="M41" s="24"/>
      <c r="N41" s="25"/>
    </row>
    <row r="42" spans="1:14" ht="15.75" hidden="1" customHeight="1">
      <c r="A42" s="36"/>
      <c r="B42" s="123" t="s">
        <v>150</v>
      </c>
      <c r="C42" s="124" t="s">
        <v>108</v>
      </c>
      <c r="D42" s="123" t="s">
        <v>74</v>
      </c>
      <c r="E42" s="125">
        <v>35.299999999999997</v>
      </c>
      <c r="F42" s="126">
        <f>SUM(E42*45/1000)</f>
        <v>1.5884999999999998</v>
      </c>
      <c r="G42" s="126">
        <v>533.45000000000005</v>
      </c>
      <c r="H42" s="127">
        <f t="shared" si="3"/>
        <v>0.84738532499999997</v>
      </c>
      <c r="I42" s="14">
        <f t="shared" si="4"/>
        <v>141.23088749999999</v>
      </c>
      <c r="J42" s="30"/>
      <c r="L42" s="23"/>
      <c r="M42" s="24"/>
      <c r="N42" s="25"/>
    </row>
    <row r="43" spans="1:14" ht="15.75" hidden="1" customHeight="1">
      <c r="A43" s="36"/>
      <c r="B43" s="123" t="s">
        <v>75</v>
      </c>
      <c r="C43" s="124" t="s">
        <v>33</v>
      </c>
      <c r="D43" s="123"/>
      <c r="E43" s="125"/>
      <c r="F43" s="126">
        <v>0.3</v>
      </c>
      <c r="G43" s="126">
        <v>992.97</v>
      </c>
      <c r="H43" s="127">
        <f t="shared" si="3"/>
        <v>0.29789100000000002</v>
      </c>
      <c r="I43" s="14">
        <f t="shared" si="4"/>
        <v>49.648499999999999</v>
      </c>
      <c r="J43" s="30"/>
      <c r="L43" s="23"/>
      <c r="M43" s="24"/>
      <c r="N43" s="25"/>
    </row>
    <row r="44" spans="1:14" ht="15.75" hidden="1" customHeight="1">
      <c r="A44" s="153" t="s">
        <v>183</v>
      </c>
      <c r="B44" s="154"/>
      <c r="C44" s="154"/>
      <c r="D44" s="154"/>
      <c r="E44" s="154"/>
      <c r="F44" s="154"/>
      <c r="G44" s="154"/>
      <c r="H44" s="154"/>
      <c r="I44" s="155"/>
      <c r="J44" s="30"/>
      <c r="L44" s="23"/>
      <c r="M44" s="24"/>
      <c r="N44" s="25"/>
    </row>
    <row r="45" spans="1:14" ht="15.75" hidden="1" customHeight="1">
      <c r="A45" s="36">
        <v>11</v>
      </c>
      <c r="B45" s="123" t="s">
        <v>129</v>
      </c>
      <c r="C45" s="124" t="s">
        <v>108</v>
      </c>
      <c r="D45" s="123" t="s">
        <v>43</v>
      </c>
      <c r="E45" s="125">
        <v>907.4</v>
      </c>
      <c r="F45" s="126">
        <f>SUM(E45*2/1000)</f>
        <v>1.8148</v>
      </c>
      <c r="G45" s="14">
        <v>1283.46</v>
      </c>
      <c r="H45" s="127">
        <f t="shared" ref="H45:H54" si="5">SUM(F45*G45/1000)</f>
        <v>2.3292232079999997</v>
      </c>
      <c r="I45" s="14">
        <f>F45/2*G45</f>
        <v>1164.6116039999999</v>
      </c>
      <c r="J45" s="30"/>
      <c r="L45" s="23"/>
      <c r="M45" s="24"/>
      <c r="N45" s="25"/>
    </row>
    <row r="46" spans="1:14" ht="15.75" hidden="1" customHeight="1">
      <c r="A46" s="36">
        <v>12</v>
      </c>
      <c r="B46" s="123" t="s">
        <v>36</v>
      </c>
      <c r="C46" s="124" t="s">
        <v>108</v>
      </c>
      <c r="D46" s="123" t="s">
        <v>43</v>
      </c>
      <c r="E46" s="125">
        <v>27</v>
      </c>
      <c r="F46" s="126">
        <f>SUM(E46*2/1000)</f>
        <v>5.3999999999999999E-2</v>
      </c>
      <c r="G46" s="14">
        <v>4192.6400000000003</v>
      </c>
      <c r="H46" s="127">
        <f t="shared" si="5"/>
        <v>0.22640256000000003</v>
      </c>
      <c r="I46" s="14">
        <f t="shared" ref="I46:I53" si="6">F46/2*G46</f>
        <v>113.20128000000001</v>
      </c>
      <c r="J46" s="30"/>
      <c r="L46" s="23"/>
      <c r="M46" s="24"/>
      <c r="N46" s="25"/>
    </row>
    <row r="47" spans="1:14" ht="15.75" hidden="1" customHeight="1">
      <c r="A47" s="36">
        <v>13</v>
      </c>
      <c r="B47" s="123" t="s">
        <v>37</v>
      </c>
      <c r="C47" s="124" t="s">
        <v>108</v>
      </c>
      <c r="D47" s="123" t="s">
        <v>43</v>
      </c>
      <c r="E47" s="125">
        <v>772</v>
      </c>
      <c r="F47" s="126">
        <f>SUM(E47*2/1000)</f>
        <v>1.544</v>
      </c>
      <c r="G47" s="14">
        <v>1711.28</v>
      </c>
      <c r="H47" s="127">
        <f t="shared" si="5"/>
        <v>2.6422163200000002</v>
      </c>
      <c r="I47" s="14">
        <f t="shared" si="6"/>
        <v>1321.10816</v>
      </c>
      <c r="J47" s="30"/>
      <c r="L47" s="23"/>
      <c r="M47" s="24"/>
      <c r="N47" s="25"/>
    </row>
    <row r="48" spans="1:14" ht="15.75" hidden="1" customHeight="1">
      <c r="A48" s="36">
        <v>14</v>
      </c>
      <c r="B48" s="123" t="s">
        <v>38</v>
      </c>
      <c r="C48" s="124" t="s">
        <v>108</v>
      </c>
      <c r="D48" s="123" t="s">
        <v>43</v>
      </c>
      <c r="E48" s="125">
        <v>959.4</v>
      </c>
      <c r="F48" s="126">
        <f>SUM(E48*2/1000)</f>
        <v>1.9188000000000001</v>
      </c>
      <c r="G48" s="14">
        <v>1179.73</v>
      </c>
      <c r="H48" s="127">
        <f t="shared" si="5"/>
        <v>2.2636659240000001</v>
      </c>
      <c r="I48" s="14">
        <f t="shared" si="6"/>
        <v>1131.832962</v>
      </c>
      <c r="J48" s="30"/>
      <c r="L48" s="23"/>
      <c r="M48" s="24"/>
      <c r="N48" s="25"/>
    </row>
    <row r="49" spans="1:22" ht="15.75" hidden="1" customHeight="1">
      <c r="A49" s="36">
        <v>15</v>
      </c>
      <c r="B49" s="123" t="s">
        <v>34</v>
      </c>
      <c r="C49" s="124" t="s">
        <v>35</v>
      </c>
      <c r="D49" s="123" t="s">
        <v>43</v>
      </c>
      <c r="E49" s="125">
        <v>66.02</v>
      </c>
      <c r="F49" s="126">
        <f>SUM(E49*2/100)</f>
        <v>1.3204</v>
      </c>
      <c r="G49" s="14">
        <v>90.61</v>
      </c>
      <c r="H49" s="127">
        <f t="shared" si="5"/>
        <v>0.11964144400000001</v>
      </c>
      <c r="I49" s="14">
        <f t="shared" si="6"/>
        <v>59.820722000000004</v>
      </c>
      <c r="J49" s="30"/>
      <c r="L49" s="23"/>
      <c r="M49" s="24"/>
      <c r="N49" s="25"/>
    </row>
    <row r="50" spans="1:22" ht="15.75" hidden="1" customHeight="1">
      <c r="A50" s="36">
        <v>16</v>
      </c>
      <c r="B50" s="123" t="s">
        <v>59</v>
      </c>
      <c r="C50" s="124" t="s">
        <v>108</v>
      </c>
      <c r="D50" s="123" t="s">
        <v>180</v>
      </c>
      <c r="E50" s="125">
        <v>1536.4</v>
      </c>
      <c r="F50" s="126">
        <f>SUM(E50*5/1000)</f>
        <v>7.6820000000000004</v>
      </c>
      <c r="G50" s="14">
        <v>1711.28</v>
      </c>
      <c r="H50" s="127">
        <f t="shared" si="5"/>
        <v>13.14605296</v>
      </c>
      <c r="I50" s="14">
        <f>F50/5*G50</f>
        <v>2629.2105919999999</v>
      </c>
      <c r="J50" s="30"/>
      <c r="L50" s="23"/>
      <c r="M50" s="24"/>
      <c r="N50" s="25"/>
    </row>
    <row r="51" spans="1:22" ht="32.25" hidden="1" customHeight="1">
      <c r="A51" s="36"/>
      <c r="B51" s="123" t="s">
        <v>109</v>
      </c>
      <c r="C51" s="124" t="s">
        <v>108</v>
      </c>
      <c r="D51" s="123" t="s">
        <v>43</v>
      </c>
      <c r="E51" s="125">
        <v>1536.4</v>
      </c>
      <c r="F51" s="126">
        <f>SUM(E51*2/1000)</f>
        <v>3.0728</v>
      </c>
      <c r="G51" s="14">
        <v>1510.06</v>
      </c>
      <c r="H51" s="127">
        <f t="shared" si="5"/>
        <v>4.6401123680000005</v>
      </c>
      <c r="I51" s="14">
        <f t="shared" si="6"/>
        <v>2320.056184</v>
      </c>
      <c r="J51" s="30"/>
      <c r="L51" s="23"/>
      <c r="M51" s="24"/>
      <c r="N51" s="25"/>
    </row>
    <row r="52" spans="1:22" ht="32.25" hidden="1" customHeight="1">
      <c r="A52" s="36"/>
      <c r="B52" s="123" t="s">
        <v>110</v>
      </c>
      <c r="C52" s="124" t="s">
        <v>39</v>
      </c>
      <c r="D52" s="123" t="s">
        <v>43</v>
      </c>
      <c r="E52" s="125">
        <v>9</v>
      </c>
      <c r="F52" s="126">
        <f>SUM(E52*2/100)</f>
        <v>0.18</v>
      </c>
      <c r="G52" s="14">
        <v>3850.4</v>
      </c>
      <c r="H52" s="127">
        <f t="shared" si="5"/>
        <v>0.69307200000000002</v>
      </c>
      <c r="I52" s="14">
        <f t="shared" si="6"/>
        <v>346.536</v>
      </c>
      <c r="J52" s="30"/>
      <c r="L52" s="23"/>
      <c r="M52" s="24"/>
      <c r="N52" s="25"/>
    </row>
    <row r="53" spans="1:22" ht="15.75" hidden="1" customHeight="1">
      <c r="A53" s="36"/>
      <c r="B53" s="123" t="s">
        <v>40</v>
      </c>
      <c r="C53" s="124" t="s">
        <v>41</v>
      </c>
      <c r="D53" s="123" t="s">
        <v>43</v>
      </c>
      <c r="E53" s="125">
        <v>1</v>
      </c>
      <c r="F53" s="126">
        <v>0.02</v>
      </c>
      <c r="G53" s="14">
        <v>7033.13</v>
      </c>
      <c r="H53" s="127">
        <f t="shared" si="5"/>
        <v>0.1406626</v>
      </c>
      <c r="I53" s="14">
        <f t="shared" si="6"/>
        <v>70.331299999999999</v>
      </c>
      <c r="J53" s="30"/>
      <c r="L53" s="23"/>
      <c r="M53" s="24"/>
      <c r="N53" s="25"/>
    </row>
    <row r="54" spans="1:22" ht="15.75" hidden="1" customHeight="1">
      <c r="A54" s="36"/>
      <c r="B54" s="123" t="s">
        <v>42</v>
      </c>
      <c r="C54" s="124" t="s">
        <v>130</v>
      </c>
      <c r="D54" s="123" t="s">
        <v>55</v>
      </c>
      <c r="E54" s="125">
        <v>53</v>
      </c>
      <c r="F54" s="126">
        <v>53</v>
      </c>
      <c r="G54" s="14">
        <v>81.73</v>
      </c>
      <c r="H54" s="127">
        <f t="shared" si="5"/>
        <v>4.3316900000000009</v>
      </c>
      <c r="I54" s="14">
        <f>F54/3*G54</f>
        <v>1443.8966666666668</v>
      </c>
      <c r="J54" s="30"/>
      <c r="L54" s="23"/>
    </row>
    <row r="55" spans="1:22" ht="15.75" customHeight="1">
      <c r="A55" s="153" t="s">
        <v>223</v>
      </c>
      <c r="B55" s="154"/>
      <c r="C55" s="154"/>
      <c r="D55" s="154"/>
      <c r="E55" s="154"/>
      <c r="F55" s="154"/>
      <c r="G55" s="154"/>
      <c r="H55" s="154"/>
      <c r="I55" s="155"/>
    </row>
    <row r="56" spans="1:22" ht="15.75" hidden="1" customHeight="1">
      <c r="A56" s="36"/>
      <c r="B56" s="144" t="s">
        <v>44</v>
      </c>
      <c r="C56" s="124"/>
      <c r="D56" s="123"/>
      <c r="E56" s="125"/>
      <c r="F56" s="126"/>
      <c r="G56" s="126"/>
      <c r="H56" s="127"/>
      <c r="I56" s="14"/>
    </row>
    <row r="57" spans="1:22" ht="31.5" hidden="1" customHeight="1">
      <c r="A57" s="36"/>
      <c r="B57" s="123" t="s">
        <v>131</v>
      </c>
      <c r="C57" s="124" t="s">
        <v>105</v>
      </c>
      <c r="D57" s="123" t="s">
        <v>132</v>
      </c>
      <c r="E57" s="125">
        <v>11.5</v>
      </c>
      <c r="F57" s="126">
        <f>SUM(E57*6/100)</f>
        <v>0.69</v>
      </c>
      <c r="G57" s="14">
        <v>2306.62</v>
      </c>
      <c r="H57" s="127">
        <f>SUM(F57*G57/1000)</f>
        <v>1.5915677999999998</v>
      </c>
      <c r="I57" s="14">
        <v>0</v>
      </c>
    </row>
    <row r="58" spans="1:22" ht="15.75" hidden="1" customHeight="1">
      <c r="A58" s="36"/>
      <c r="B58" s="123" t="s">
        <v>152</v>
      </c>
      <c r="C58" s="124" t="s">
        <v>153</v>
      </c>
      <c r="D58" s="123" t="s">
        <v>72</v>
      </c>
      <c r="E58" s="125"/>
      <c r="F58" s="126">
        <v>2</v>
      </c>
      <c r="G58" s="150">
        <v>1501</v>
      </c>
      <c r="H58" s="127">
        <f>SUM(F58*G58/1000)</f>
        <v>3.0019999999999998</v>
      </c>
      <c r="I58" s="14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6"/>
      <c r="B59" s="144" t="s">
        <v>45</v>
      </c>
      <c r="C59" s="124"/>
      <c r="D59" s="123"/>
      <c r="E59" s="125"/>
      <c r="F59" s="126"/>
      <c r="G59" s="151"/>
      <c r="H59" s="127"/>
      <c r="I59" s="14"/>
      <c r="J59" s="32"/>
      <c r="K59" s="32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6"/>
      <c r="B60" s="123" t="s">
        <v>133</v>
      </c>
      <c r="C60" s="124" t="s">
        <v>105</v>
      </c>
      <c r="D60" s="123" t="s">
        <v>55</v>
      </c>
      <c r="E60" s="125">
        <v>148</v>
      </c>
      <c r="F60" s="127">
        <f>E60/100</f>
        <v>1.48</v>
      </c>
      <c r="G60" s="14">
        <v>987.51</v>
      </c>
      <c r="H60" s="132">
        <f>F60*G60/1000</f>
        <v>1.4615148</v>
      </c>
      <c r="I60" s="14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6">
        <v>9</v>
      </c>
      <c r="B61" s="134" t="s">
        <v>163</v>
      </c>
      <c r="C61" s="133" t="s">
        <v>25</v>
      </c>
      <c r="D61" s="134" t="s">
        <v>156</v>
      </c>
      <c r="E61" s="135">
        <v>140.5</v>
      </c>
      <c r="F61" s="126">
        <f>E61*12</f>
        <v>1686</v>
      </c>
      <c r="G61" s="152">
        <v>2.59</v>
      </c>
      <c r="H61" s="132">
        <f>F61*G61/1000</f>
        <v>4.3667400000000001</v>
      </c>
      <c r="I61" s="14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63"/>
      <c r="S61" s="163"/>
      <c r="T61" s="163"/>
      <c r="U61" s="163"/>
    </row>
    <row r="62" spans="1:22" ht="15.75" customHeight="1">
      <c r="A62" s="36"/>
      <c r="B62" s="145" t="s">
        <v>46</v>
      </c>
      <c r="C62" s="133"/>
      <c r="D62" s="134"/>
      <c r="E62" s="135"/>
      <c r="F62" s="136"/>
      <c r="G62" s="136"/>
      <c r="H62" s="137" t="s">
        <v>145</v>
      </c>
      <c r="I62" s="14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6">
        <v>10</v>
      </c>
      <c r="B63" s="16" t="s">
        <v>47</v>
      </c>
      <c r="C63" s="18" t="s">
        <v>130</v>
      </c>
      <c r="D63" s="16" t="s">
        <v>72</v>
      </c>
      <c r="E63" s="21">
        <v>2</v>
      </c>
      <c r="F63" s="126">
        <f>E63</f>
        <v>2</v>
      </c>
      <c r="G63" s="14">
        <v>276.74</v>
      </c>
      <c r="H63" s="121">
        <f t="shared" ref="H63:H79" si="7">SUM(F63*G63/1000)</f>
        <v>0.55347999999999997</v>
      </c>
      <c r="I63" s="14">
        <f>G63</f>
        <v>276.74</v>
      </c>
    </row>
    <row r="64" spans="1:22" ht="15.75" hidden="1" customHeight="1">
      <c r="A64" s="36"/>
      <c r="B64" s="16" t="s">
        <v>48</v>
      </c>
      <c r="C64" s="18" t="s">
        <v>130</v>
      </c>
      <c r="D64" s="16" t="s">
        <v>72</v>
      </c>
      <c r="E64" s="21">
        <v>1</v>
      </c>
      <c r="F64" s="126">
        <f>E64</f>
        <v>1</v>
      </c>
      <c r="G64" s="14">
        <v>94.89</v>
      </c>
      <c r="H64" s="121">
        <f t="shared" si="7"/>
        <v>9.4890000000000002E-2</v>
      </c>
      <c r="I64" s="14">
        <v>0</v>
      </c>
    </row>
    <row r="65" spans="1:9" ht="15.75" hidden="1" customHeight="1">
      <c r="A65" s="36"/>
      <c r="B65" s="16" t="s">
        <v>49</v>
      </c>
      <c r="C65" s="18" t="s">
        <v>134</v>
      </c>
      <c r="D65" s="16" t="s">
        <v>55</v>
      </c>
      <c r="E65" s="125">
        <v>6307</v>
      </c>
      <c r="F65" s="14">
        <f>SUM(E65/100)</f>
        <v>63.07</v>
      </c>
      <c r="G65" s="14">
        <v>263.99</v>
      </c>
      <c r="H65" s="121">
        <f t="shared" si="7"/>
        <v>16.649849300000003</v>
      </c>
      <c r="I65" s="14">
        <v>0</v>
      </c>
    </row>
    <row r="66" spans="1:9" ht="15.75" hidden="1" customHeight="1">
      <c r="A66" s="36"/>
      <c r="B66" s="16" t="s">
        <v>50</v>
      </c>
      <c r="C66" s="18" t="s">
        <v>135</v>
      </c>
      <c r="D66" s="16"/>
      <c r="E66" s="125">
        <v>6307</v>
      </c>
      <c r="F66" s="14">
        <f>SUM(E66/1000)</f>
        <v>6.3070000000000004</v>
      </c>
      <c r="G66" s="14">
        <v>205.57</v>
      </c>
      <c r="H66" s="121">
        <f t="shared" si="7"/>
        <v>1.29652999</v>
      </c>
      <c r="I66" s="14">
        <v>0</v>
      </c>
    </row>
    <row r="67" spans="1:9" ht="15.75" hidden="1" customHeight="1">
      <c r="A67" s="36"/>
      <c r="B67" s="16" t="s">
        <v>51</v>
      </c>
      <c r="C67" s="18" t="s">
        <v>82</v>
      </c>
      <c r="D67" s="16" t="s">
        <v>55</v>
      </c>
      <c r="E67" s="125">
        <v>1003</v>
      </c>
      <c r="F67" s="14">
        <f>SUM(E67/100)</f>
        <v>10.029999999999999</v>
      </c>
      <c r="G67" s="14">
        <v>2581.5300000000002</v>
      </c>
      <c r="H67" s="121">
        <f t="shared" si="7"/>
        <v>25.892745900000001</v>
      </c>
      <c r="I67" s="14">
        <v>0</v>
      </c>
    </row>
    <row r="68" spans="1:9" ht="15.75" hidden="1" customHeight="1">
      <c r="A68" s="36"/>
      <c r="B68" s="138" t="s">
        <v>136</v>
      </c>
      <c r="C68" s="18" t="s">
        <v>33</v>
      </c>
      <c r="D68" s="16"/>
      <c r="E68" s="125">
        <v>6.6</v>
      </c>
      <c r="F68" s="14">
        <f>SUM(E68)</f>
        <v>6.6</v>
      </c>
      <c r="G68" s="14">
        <v>47.75</v>
      </c>
      <c r="H68" s="121">
        <f t="shared" si="7"/>
        <v>0.31514999999999999</v>
      </c>
      <c r="I68" s="14">
        <v>0</v>
      </c>
    </row>
    <row r="69" spans="1:9" ht="15.75" hidden="1" customHeight="1">
      <c r="A69" s="36"/>
      <c r="B69" s="138" t="s">
        <v>137</v>
      </c>
      <c r="C69" s="18" t="s">
        <v>33</v>
      </c>
      <c r="D69" s="16"/>
      <c r="E69" s="125">
        <v>6.6</v>
      </c>
      <c r="F69" s="14">
        <f>SUM(E69)</f>
        <v>6.6</v>
      </c>
      <c r="G69" s="14">
        <v>44.27</v>
      </c>
      <c r="H69" s="121">
        <f t="shared" si="7"/>
        <v>0.292182</v>
      </c>
      <c r="I69" s="14">
        <v>0</v>
      </c>
    </row>
    <row r="70" spans="1:9" ht="15.75" hidden="1" customHeight="1">
      <c r="A70" s="36">
        <v>19</v>
      </c>
      <c r="B70" s="16" t="s">
        <v>60</v>
      </c>
      <c r="C70" s="18" t="s">
        <v>61</v>
      </c>
      <c r="D70" s="16" t="s">
        <v>55</v>
      </c>
      <c r="E70" s="21">
        <v>3</v>
      </c>
      <c r="F70" s="126">
        <v>3</v>
      </c>
      <c r="G70" s="14">
        <v>62.07</v>
      </c>
      <c r="H70" s="121">
        <f t="shared" si="7"/>
        <v>0.18621000000000001</v>
      </c>
      <c r="I70" s="14">
        <f>F70*G70</f>
        <v>186.21</v>
      </c>
    </row>
    <row r="71" spans="1:9" ht="15.75" customHeight="1">
      <c r="A71" s="36">
        <v>11</v>
      </c>
      <c r="B71" s="16" t="s">
        <v>154</v>
      </c>
      <c r="C71" s="36" t="s">
        <v>155</v>
      </c>
      <c r="D71" s="16" t="s">
        <v>156</v>
      </c>
      <c r="E71" s="21">
        <v>1536.4</v>
      </c>
      <c r="F71" s="116">
        <f>E71*12</f>
        <v>18436.800000000003</v>
      </c>
      <c r="G71" s="14">
        <v>2.16</v>
      </c>
      <c r="H71" s="121">
        <f t="shared" si="7"/>
        <v>39.823488000000012</v>
      </c>
      <c r="I71" s="14">
        <f>F71/12*G71</f>
        <v>3318.6240000000007</v>
      </c>
    </row>
    <row r="72" spans="1:9" ht="15.75" customHeight="1">
      <c r="A72" s="36"/>
      <c r="B72" s="101" t="s">
        <v>77</v>
      </c>
      <c r="C72" s="18"/>
      <c r="D72" s="16"/>
      <c r="E72" s="21"/>
      <c r="F72" s="14"/>
      <c r="G72" s="14"/>
      <c r="H72" s="121" t="s">
        <v>145</v>
      </c>
      <c r="I72" s="14"/>
    </row>
    <row r="73" spans="1:9" ht="15.75" hidden="1" customHeight="1">
      <c r="A73" s="36"/>
      <c r="B73" s="16" t="s">
        <v>157</v>
      </c>
      <c r="C73" s="18" t="s">
        <v>158</v>
      </c>
      <c r="D73" s="16" t="s">
        <v>72</v>
      </c>
      <c r="E73" s="21">
        <v>1</v>
      </c>
      <c r="F73" s="14">
        <f>E73</f>
        <v>1</v>
      </c>
      <c r="G73" s="14">
        <v>976.4</v>
      </c>
      <c r="H73" s="121">
        <f t="shared" ref="H73:H74" si="8">SUM(F73*G73/1000)</f>
        <v>0.97639999999999993</v>
      </c>
      <c r="I73" s="14">
        <v>0</v>
      </c>
    </row>
    <row r="74" spans="1:9" ht="15.75" hidden="1" customHeight="1">
      <c r="A74" s="36"/>
      <c r="B74" s="16" t="s">
        <v>159</v>
      </c>
      <c r="C74" s="18" t="s">
        <v>160</v>
      </c>
      <c r="D74" s="16"/>
      <c r="E74" s="21">
        <v>1</v>
      </c>
      <c r="F74" s="14">
        <v>1</v>
      </c>
      <c r="G74" s="14">
        <v>650</v>
      </c>
      <c r="H74" s="121">
        <f t="shared" si="8"/>
        <v>0.65</v>
      </c>
      <c r="I74" s="14">
        <v>0</v>
      </c>
    </row>
    <row r="75" spans="1:9" ht="15.75" hidden="1" customHeight="1">
      <c r="A75" s="36"/>
      <c r="B75" s="16" t="s">
        <v>78</v>
      </c>
      <c r="C75" s="18" t="s">
        <v>80</v>
      </c>
      <c r="D75" s="16"/>
      <c r="E75" s="21">
        <v>3</v>
      </c>
      <c r="F75" s="14">
        <v>0.3</v>
      </c>
      <c r="G75" s="14">
        <v>624.16999999999996</v>
      </c>
      <c r="H75" s="121">
        <f t="shared" si="7"/>
        <v>0.18725099999999997</v>
      </c>
      <c r="I75" s="14">
        <v>0</v>
      </c>
    </row>
    <row r="76" spans="1:9" ht="15.75" hidden="1" customHeight="1">
      <c r="A76" s="36"/>
      <c r="B76" s="16" t="s">
        <v>79</v>
      </c>
      <c r="C76" s="18" t="s">
        <v>31</v>
      </c>
      <c r="D76" s="16"/>
      <c r="E76" s="21">
        <v>1</v>
      </c>
      <c r="F76" s="116">
        <v>1</v>
      </c>
      <c r="G76" s="14">
        <v>1061.4100000000001</v>
      </c>
      <c r="H76" s="121">
        <f>F76*G76/1000</f>
        <v>1.0614100000000002</v>
      </c>
      <c r="I76" s="14">
        <v>0</v>
      </c>
    </row>
    <row r="77" spans="1:9" ht="15.75" customHeight="1">
      <c r="A77" s="36">
        <v>12</v>
      </c>
      <c r="B77" s="88" t="s">
        <v>161</v>
      </c>
      <c r="C77" s="89" t="s">
        <v>130</v>
      </c>
      <c r="D77" s="16" t="s">
        <v>30</v>
      </c>
      <c r="E77" s="21">
        <v>1</v>
      </c>
      <c r="F77" s="14">
        <f>E77*12</f>
        <v>12</v>
      </c>
      <c r="G77" s="14">
        <v>50.69</v>
      </c>
      <c r="H77" s="121">
        <f>G77*F77/1000</f>
        <v>0.60827999999999993</v>
      </c>
      <c r="I77" s="14">
        <f>G77</f>
        <v>50.69</v>
      </c>
    </row>
    <row r="78" spans="1:9" ht="15.75" hidden="1" customHeight="1">
      <c r="A78" s="36"/>
      <c r="B78" s="140" t="s">
        <v>81</v>
      </c>
      <c r="C78" s="18"/>
      <c r="D78" s="16"/>
      <c r="E78" s="21"/>
      <c r="F78" s="14"/>
      <c r="G78" s="14" t="s">
        <v>145</v>
      </c>
      <c r="H78" s="121" t="s">
        <v>145</v>
      </c>
      <c r="I78" s="14" t="str">
        <f>G78</f>
        <v xml:space="preserve"> </v>
      </c>
    </row>
    <row r="79" spans="1:9" ht="15.75" hidden="1" customHeight="1">
      <c r="A79" s="36"/>
      <c r="B79" s="67" t="s">
        <v>162</v>
      </c>
      <c r="C79" s="18" t="s">
        <v>82</v>
      </c>
      <c r="D79" s="16"/>
      <c r="E79" s="21"/>
      <c r="F79" s="14">
        <v>0.1</v>
      </c>
      <c r="G79" s="14">
        <v>3433.69</v>
      </c>
      <c r="H79" s="121">
        <f t="shared" si="7"/>
        <v>0.34336900000000004</v>
      </c>
      <c r="I79" s="14">
        <v>0</v>
      </c>
    </row>
    <row r="80" spans="1:9" ht="15.75" customHeight="1">
      <c r="A80" s="36"/>
      <c r="B80" s="115" t="s">
        <v>111</v>
      </c>
      <c r="C80" s="140"/>
      <c r="D80" s="38"/>
      <c r="E80" s="39"/>
      <c r="F80" s="129"/>
      <c r="G80" s="129"/>
      <c r="H80" s="141">
        <f>SUM(H57:H79)</f>
        <v>99.353057790000008</v>
      </c>
      <c r="I80" s="14"/>
    </row>
    <row r="81" spans="1:9" ht="15.75" customHeight="1">
      <c r="A81" s="36">
        <v>13</v>
      </c>
      <c r="B81" s="123" t="s">
        <v>138</v>
      </c>
      <c r="C81" s="18"/>
      <c r="D81" s="16"/>
      <c r="E81" s="117"/>
      <c r="F81" s="14">
        <v>1</v>
      </c>
      <c r="G81" s="14">
        <v>5637.8</v>
      </c>
      <c r="H81" s="121">
        <f>G81*F81/1000</f>
        <v>5.6378000000000004</v>
      </c>
      <c r="I81" s="14">
        <f>G81</f>
        <v>5637.8</v>
      </c>
    </row>
    <row r="82" spans="1:9" ht="15.75" customHeight="1">
      <c r="A82" s="153" t="s">
        <v>224</v>
      </c>
      <c r="B82" s="154"/>
      <c r="C82" s="154"/>
      <c r="D82" s="154"/>
      <c r="E82" s="154"/>
      <c r="F82" s="154"/>
      <c r="G82" s="154"/>
      <c r="H82" s="154"/>
      <c r="I82" s="155"/>
    </row>
    <row r="83" spans="1:9" ht="15.75" customHeight="1">
      <c r="A83" s="36">
        <v>14</v>
      </c>
      <c r="B83" s="123" t="s">
        <v>139</v>
      </c>
      <c r="C83" s="18" t="s">
        <v>56</v>
      </c>
      <c r="D83" s="142" t="s">
        <v>57</v>
      </c>
      <c r="E83" s="14">
        <v>1536.4</v>
      </c>
      <c r="F83" s="14">
        <f>SUM(E83*12)</f>
        <v>18436.800000000003</v>
      </c>
      <c r="G83" s="14">
        <v>2.95</v>
      </c>
      <c r="H83" s="121">
        <f>SUM(F83*G83/1000)</f>
        <v>54.388560000000012</v>
      </c>
      <c r="I83" s="14">
        <f>F83/12*G83</f>
        <v>4532.380000000001</v>
      </c>
    </row>
    <row r="84" spans="1:9" ht="31.5" customHeight="1">
      <c r="A84" s="36">
        <v>15</v>
      </c>
      <c r="B84" s="16" t="s">
        <v>83</v>
      </c>
      <c r="C84" s="18"/>
      <c r="D84" s="142" t="s">
        <v>57</v>
      </c>
      <c r="E84" s="125">
        <f>E83</f>
        <v>1536.4</v>
      </c>
      <c r="F84" s="14">
        <f>E84*12</f>
        <v>18436.800000000003</v>
      </c>
      <c r="G84" s="14">
        <v>3.05</v>
      </c>
      <c r="H84" s="121">
        <f>F84*G84/1000</f>
        <v>56.232240000000004</v>
      </c>
      <c r="I84" s="14">
        <f>F84/12*G84</f>
        <v>4686.0200000000004</v>
      </c>
    </row>
    <row r="85" spans="1:9" ht="15.75" customHeight="1">
      <c r="A85" s="36"/>
      <c r="B85" s="54" t="s">
        <v>87</v>
      </c>
      <c r="C85" s="140"/>
      <c r="D85" s="139"/>
      <c r="E85" s="129"/>
      <c r="F85" s="129"/>
      <c r="G85" s="129"/>
      <c r="H85" s="141">
        <f>H84</f>
        <v>56.232240000000004</v>
      </c>
      <c r="I85" s="129">
        <f>I16+I17+I18+I27+I28+I31+I32+I34+I61+I63+I71+I77+I81+I83+I84</f>
        <v>32988.858829111108</v>
      </c>
    </row>
    <row r="86" spans="1:9" ht="15.75" customHeight="1">
      <c r="A86" s="36"/>
      <c r="B86" s="87" t="s">
        <v>63</v>
      </c>
      <c r="C86" s="18"/>
      <c r="D86" s="67"/>
      <c r="E86" s="14"/>
      <c r="F86" s="14"/>
      <c r="G86" s="14"/>
      <c r="H86" s="14"/>
      <c r="I86" s="14"/>
    </row>
    <row r="87" spans="1:9" ht="15.75" customHeight="1">
      <c r="A87" s="36">
        <v>16</v>
      </c>
      <c r="B87" s="88" t="s">
        <v>164</v>
      </c>
      <c r="C87" s="89" t="s">
        <v>130</v>
      </c>
      <c r="D87" s="67"/>
      <c r="E87" s="14"/>
      <c r="F87" s="14">
        <v>104</v>
      </c>
      <c r="G87" s="14">
        <v>50.68</v>
      </c>
      <c r="H87" s="14">
        <f t="shared" ref="H87:H88" si="9">G87*F87/1000</f>
        <v>5.2707199999999998</v>
      </c>
      <c r="I87" s="14">
        <f>G87*26</f>
        <v>1317.68</v>
      </c>
    </row>
    <row r="88" spans="1:9" ht="15.75" customHeight="1">
      <c r="A88" s="36">
        <v>17</v>
      </c>
      <c r="B88" s="88" t="s">
        <v>242</v>
      </c>
      <c r="C88" s="89" t="s">
        <v>130</v>
      </c>
      <c r="D88" s="67"/>
      <c r="E88" s="14"/>
      <c r="F88" s="14">
        <v>1</v>
      </c>
      <c r="G88" s="14">
        <v>379.22</v>
      </c>
      <c r="H88" s="14">
        <f t="shared" si="9"/>
        <v>0.37922</v>
      </c>
      <c r="I88" s="14">
        <f>G88</f>
        <v>379.22</v>
      </c>
    </row>
    <row r="89" spans="1:9" ht="15.75" customHeight="1">
      <c r="A89" s="36"/>
      <c r="B89" s="61" t="s">
        <v>52</v>
      </c>
      <c r="C89" s="57"/>
      <c r="D89" s="71"/>
      <c r="E89" s="57">
        <v>1</v>
      </c>
      <c r="F89" s="57"/>
      <c r="G89" s="57"/>
      <c r="H89" s="57"/>
      <c r="I89" s="39">
        <f>SUM(I87:I88)</f>
        <v>1696.9</v>
      </c>
    </row>
    <row r="90" spans="1:9" ht="15.75" customHeight="1">
      <c r="A90" s="36"/>
      <c r="B90" s="67" t="s">
        <v>84</v>
      </c>
      <c r="C90" s="17"/>
      <c r="D90" s="17"/>
      <c r="E90" s="58"/>
      <c r="F90" s="58"/>
      <c r="G90" s="59"/>
      <c r="H90" s="59"/>
      <c r="I90" s="20">
        <v>0</v>
      </c>
    </row>
    <row r="91" spans="1:9">
      <c r="A91" s="72"/>
      <c r="B91" s="62" t="s">
        <v>53</v>
      </c>
      <c r="C91" s="45"/>
      <c r="D91" s="45"/>
      <c r="E91" s="45"/>
      <c r="F91" s="45"/>
      <c r="G91" s="45"/>
      <c r="H91" s="45"/>
      <c r="I91" s="60">
        <f>I85+I89</f>
        <v>34685.75882911111</v>
      </c>
    </row>
    <row r="92" spans="1:9" ht="15.75">
      <c r="A92" s="164" t="s">
        <v>246</v>
      </c>
      <c r="B92" s="164"/>
      <c r="C92" s="164"/>
      <c r="D92" s="164"/>
      <c r="E92" s="164"/>
      <c r="F92" s="164"/>
      <c r="G92" s="164"/>
      <c r="H92" s="164"/>
      <c r="I92" s="164"/>
    </row>
    <row r="93" spans="1:9" ht="15.75" customHeight="1">
      <c r="A93" s="107"/>
      <c r="B93" s="165" t="s">
        <v>247</v>
      </c>
      <c r="C93" s="165"/>
      <c r="D93" s="165"/>
      <c r="E93" s="165"/>
      <c r="F93" s="165"/>
      <c r="G93" s="165"/>
      <c r="H93" s="120"/>
      <c r="I93" s="3"/>
    </row>
    <row r="94" spans="1:9">
      <c r="A94" s="106"/>
      <c r="B94" s="161" t="s">
        <v>6</v>
      </c>
      <c r="C94" s="161"/>
      <c r="D94" s="161"/>
      <c r="E94" s="161"/>
      <c r="F94" s="161"/>
      <c r="G94" s="161"/>
      <c r="H94" s="31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66" t="s">
        <v>7</v>
      </c>
      <c r="B96" s="166"/>
      <c r="C96" s="166"/>
      <c r="D96" s="166"/>
      <c r="E96" s="166"/>
      <c r="F96" s="166"/>
      <c r="G96" s="166"/>
      <c r="H96" s="166"/>
      <c r="I96" s="166"/>
    </row>
    <row r="97" spans="1:9" ht="15.75" customHeight="1">
      <c r="A97" s="166" t="s">
        <v>8</v>
      </c>
      <c r="B97" s="166"/>
      <c r="C97" s="166"/>
      <c r="D97" s="166"/>
      <c r="E97" s="166"/>
      <c r="F97" s="166"/>
      <c r="G97" s="166"/>
      <c r="H97" s="166"/>
      <c r="I97" s="166"/>
    </row>
    <row r="98" spans="1:9" ht="15.75">
      <c r="A98" s="158" t="s">
        <v>64</v>
      </c>
      <c r="B98" s="158"/>
      <c r="C98" s="158"/>
      <c r="D98" s="158"/>
      <c r="E98" s="158"/>
      <c r="F98" s="158"/>
      <c r="G98" s="158"/>
      <c r="H98" s="158"/>
      <c r="I98" s="158"/>
    </row>
    <row r="99" spans="1:9" ht="15.75">
      <c r="A99" s="11"/>
    </row>
    <row r="100" spans="1:9" ht="15.75">
      <c r="A100" s="159" t="s">
        <v>9</v>
      </c>
      <c r="B100" s="159"/>
      <c r="C100" s="159"/>
      <c r="D100" s="159"/>
      <c r="E100" s="159"/>
      <c r="F100" s="159"/>
      <c r="G100" s="159"/>
      <c r="H100" s="159"/>
      <c r="I100" s="159"/>
    </row>
    <row r="101" spans="1:9" ht="15.75">
      <c r="A101" s="4"/>
    </row>
    <row r="102" spans="1:9" ht="15.75">
      <c r="B102" s="103" t="s">
        <v>10</v>
      </c>
      <c r="C102" s="160" t="s">
        <v>179</v>
      </c>
      <c r="D102" s="160"/>
      <c r="E102" s="160"/>
      <c r="F102" s="118"/>
      <c r="I102" s="105"/>
    </row>
    <row r="103" spans="1:9">
      <c r="A103" s="106"/>
      <c r="C103" s="161" t="s">
        <v>11</v>
      </c>
      <c r="D103" s="161"/>
      <c r="E103" s="161"/>
      <c r="F103" s="31"/>
      <c r="I103" s="104" t="s">
        <v>12</v>
      </c>
    </row>
    <row r="104" spans="1:9" ht="15.75">
      <c r="A104" s="32"/>
      <c r="C104" s="12"/>
      <c r="D104" s="12"/>
      <c r="G104" s="12"/>
      <c r="H104" s="12"/>
    </row>
    <row r="105" spans="1:9" ht="15.75" customHeight="1">
      <c r="B105" s="103" t="s">
        <v>13</v>
      </c>
      <c r="C105" s="162"/>
      <c r="D105" s="162"/>
      <c r="E105" s="162"/>
      <c r="F105" s="119"/>
      <c r="I105" s="105"/>
    </row>
    <row r="106" spans="1:9" ht="15.75" customHeight="1">
      <c r="A106" s="106"/>
      <c r="C106" s="163" t="s">
        <v>11</v>
      </c>
      <c r="D106" s="163"/>
      <c r="E106" s="163"/>
      <c r="F106" s="106"/>
      <c r="I106" s="104" t="s">
        <v>12</v>
      </c>
    </row>
    <row r="107" spans="1:9" ht="15.75" customHeight="1">
      <c r="A107" s="4" t="s">
        <v>14</v>
      </c>
    </row>
    <row r="108" spans="1:9">
      <c r="A108" s="156" t="s">
        <v>15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45" customHeight="1">
      <c r="A109" s="157" t="s">
        <v>16</v>
      </c>
      <c r="B109" s="157"/>
      <c r="C109" s="157"/>
      <c r="D109" s="157"/>
      <c r="E109" s="157"/>
      <c r="F109" s="157"/>
      <c r="G109" s="157"/>
      <c r="H109" s="157"/>
      <c r="I109" s="157"/>
    </row>
    <row r="110" spans="1:9" ht="30" customHeight="1">
      <c r="A110" s="157" t="s">
        <v>17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30" customHeight="1">
      <c r="A111" s="157" t="s">
        <v>21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15" customHeight="1">
      <c r="A112" s="157" t="s">
        <v>20</v>
      </c>
      <c r="B112" s="157"/>
      <c r="C112" s="157"/>
      <c r="D112" s="157"/>
      <c r="E112" s="157"/>
      <c r="F112" s="157"/>
      <c r="G112" s="157"/>
      <c r="H112" s="157"/>
      <c r="I112" s="157"/>
    </row>
  </sheetData>
  <autoFilter ref="I12:I56"/>
  <mergeCells count="28">
    <mergeCell ref="R61:U61"/>
    <mergeCell ref="A82:I82"/>
    <mergeCell ref="A3:I3"/>
    <mergeCell ref="A4:I4"/>
    <mergeCell ref="A5:I5"/>
    <mergeCell ref="A8:I8"/>
    <mergeCell ref="A10:I10"/>
    <mergeCell ref="A14:I14"/>
    <mergeCell ref="A98:I98"/>
    <mergeCell ref="A15:I15"/>
    <mergeCell ref="A29:I29"/>
    <mergeCell ref="A44:I44"/>
    <mergeCell ref="A55:I55"/>
    <mergeCell ref="A92:I92"/>
    <mergeCell ref="B93:G93"/>
    <mergeCell ref="B94:G94"/>
    <mergeCell ref="A96:I96"/>
    <mergeCell ref="A97:I97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3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4" t="s">
        <v>101</v>
      </c>
      <c r="G1" s="33"/>
    </row>
    <row r="2" spans="1:7" ht="15.75">
      <c r="A2" s="35" t="s">
        <v>67</v>
      </c>
    </row>
    <row r="3" spans="1:7" ht="15.75">
      <c r="A3" s="168" t="s">
        <v>102</v>
      </c>
      <c r="B3" s="168"/>
      <c r="C3" s="168"/>
      <c r="D3" s="168"/>
      <c r="E3" s="168"/>
      <c r="F3" s="168"/>
      <c r="G3" s="168"/>
    </row>
    <row r="4" spans="1:7" ht="31.5" customHeight="1">
      <c r="A4" s="169" t="s">
        <v>167</v>
      </c>
      <c r="B4" s="169"/>
      <c r="C4" s="169"/>
      <c r="D4" s="169"/>
      <c r="E4" s="169"/>
      <c r="F4" s="169"/>
      <c r="G4" s="169"/>
    </row>
    <row r="5" spans="1:7" ht="15.75">
      <c r="A5" s="168" t="s">
        <v>103</v>
      </c>
      <c r="B5" s="170"/>
      <c r="C5" s="170"/>
      <c r="D5" s="170"/>
      <c r="E5" s="170"/>
      <c r="F5" s="170"/>
      <c r="G5" s="170"/>
    </row>
    <row r="6" spans="1:7" ht="15.75">
      <c r="A6" s="2"/>
      <c r="B6" s="77"/>
      <c r="C6" s="77"/>
      <c r="D6" s="77"/>
      <c r="E6" s="77"/>
      <c r="F6" s="77"/>
      <c r="G6" s="37">
        <v>42704</v>
      </c>
    </row>
    <row r="7" spans="1:7" ht="15.75">
      <c r="B7" s="73"/>
      <c r="C7" s="73"/>
      <c r="D7" s="73"/>
      <c r="E7" s="3"/>
      <c r="F7" s="3"/>
    </row>
    <row r="8" spans="1:7" ht="78.75" customHeight="1">
      <c r="A8" s="171" t="s">
        <v>181</v>
      </c>
      <c r="B8" s="171"/>
      <c r="C8" s="171"/>
      <c r="D8" s="171"/>
      <c r="E8" s="171"/>
      <c r="F8" s="171"/>
      <c r="G8" s="171"/>
    </row>
    <row r="9" spans="1:7" ht="15.75">
      <c r="A9" s="4"/>
    </row>
    <row r="10" spans="1:7" ht="48.75" customHeight="1">
      <c r="A10" s="172" t="s">
        <v>182</v>
      </c>
      <c r="B10" s="172"/>
      <c r="C10" s="172"/>
      <c r="D10" s="172"/>
      <c r="E10" s="172"/>
      <c r="F10" s="172"/>
      <c r="G10" s="172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>
      <c r="A14" s="173" t="s">
        <v>62</v>
      </c>
      <c r="B14" s="173"/>
      <c r="C14" s="173"/>
      <c r="D14" s="173"/>
      <c r="E14" s="173"/>
      <c r="F14" s="173"/>
      <c r="G14" s="173"/>
    </row>
    <row r="15" spans="1:7">
      <c r="A15" s="167" t="s">
        <v>4</v>
      </c>
      <c r="B15" s="167"/>
      <c r="C15" s="167"/>
      <c r="D15" s="167"/>
      <c r="E15" s="167"/>
      <c r="F15" s="167"/>
      <c r="G15" s="167"/>
    </row>
    <row r="16" spans="1:7" ht="15.75" customHeight="1">
      <c r="A16" s="36">
        <v>1</v>
      </c>
      <c r="B16" s="41" t="s">
        <v>104</v>
      </c>
      <c r="C16" s="55" t="s">
        <v>105</v>
      </c>
      <c r="D16" s="41" t="s">
        <v>169</v>
      </c>
      <c r="E16" s="36"/>
      <c r="F16" s="40">
        <v>218.21</v>
      </c>
      <c r="G16" s="36">
        <v>1557.36</v>
      </c>
    </row>
    <row r="17" spans="1:7" ht="15.75" customHeight="1">
      <c r="A17" s="36">
        <v>2</v>
      </c>
      <c r="B17" s="41" t="s">
        <v>142</v>
      </c>
      <c r="C17" s="55" t="s">
        <v>105</v>
      </c>
      <c r="D17" s="41" t="s">
        <v>170</v>
      </c>
      <c r="E17" s="36"/>
      <c r="F17" s="40">
        <v>218.21</v>
      </c>
      <c r="G17" s="36">
        <v>2076.4899999999998</v>
      </c>
    </row>
    <row r="18" spans="1:7" ht="15.75" customHeight="1">
      <c r="A18" s="36">
        <v>3</v>
      </c>
      <c r="B18" s="41" t="s">
        <v>143</v>
      </c>
      <c r="C18" s="55" t="s">
        <v>105</v>
      </c>
      <c r="D18" s="41" t="s">
        <v>171</v>
      </c>
      <c r="E18" s="36"/>
      <c r="F18" s="40">
        <v>627.77</v>
      </c>
      <c r="G18" s="36">
        <v>2067.87</v>
      </c>
    </row>
    <row r="19" spans="1:7" ht="15.75" hidden="1" customHeight="1">
      <c r="A19" s="36"/>
      <c r="B19" s="41" t="s">
        <v>112</v>
      </c>
      <c r="C19" s="55" t="s">
        <v>113</v>
      </c>
      <c r="D19" s="41" t="s">
        <v>114</v>
      </c>
      <c r="E19" s="36"/>
      <c r="F19" s="40">
        <v>211.74</v>
      </c>
      <c r="G19" s="36"/>
    </row>
    <row r="20" spans="1:7" ht="15.75" hidden="1" customHeight="1">
      <c r="A20" s="36">
        <v>4</v>
      </c>
      <c r="B20" s="41" t="s">
        <v>115</v>
      </c>
      <c r="C20" s="55" t="s">
        <v>105</v>
      </c>
      <c r="D20" s="41" t="s">
        <v>43</v>
      </c>
      <c r="E20" s="36"/>
      <c r="F20" s="40">
        <v>271.12</v>
      </c>
      <c r="G20" s="36">
        <v>17.97</v>
      </c>
    </row>
    <row r="21" spans="1:7" ht="15.75" hidden="1" customHeight="1">
      <c r="A21" s="36">
        <v>5</v>
      </c>
      <c r="B21" s="41" t="s">
        <v>116</v>
      </c>
      <c r="C21" s="55" t="s">
        <v>105</v>
      </c>
      <c r="D21" s="41" t="s">
        <v>43</v>
      </c>
      <c r="E21" s="36"/>
      <c r="F21" s="40">
        <v>268.92</v>
      </c>
      <c r="G21" s="92">
        <v>2.2000000000000002</v>
      </c>
    </row>
    <row r="22" spans="1:7" ht="15.75" hidden="1" customHeight="1">
      <c r="A22" s="36"/>
      <c r="B22" s="41" t="s">
        <v>117</v>
      </c>
      <c r="C22" s="55" t="s">
        <v>54</v>
      </c>
      <c r="D22" s="41" t="s">
        <v>114</v>
      </c>
      <c r="E22" s="36"/>
      <c r="F22" s="40">
        <v>335.05</v>
      </c>
      <c r="G22" s="36"/>
    </row>
    <row r="23" spans="1:7" ht="15.75" hidden="1" customHeight="1">
      <c r="A23" s="36"/>
      <c r="B23" s="41" t="s">
        <v>118</v>
      </c>
      <c r="C23" s="55" t="s">
        <v>54</v>
      </c>
      <c r="D23" s="41" t="s">
        <v>114</v>
      </c>
      <c r="E23" s="36"/>
      <c r="F23" s="40">
        <v>55.1</v>
      </c>
      <c r="G23" s="36"/>
    </row>
    <row r="24" spans="1:7" ht="15.75" hidden="1" customHeight="1">
      <c r="A24" s="36"/>
      <c r="B24" s="41" t="s">
        <v>119</v>
      </c>
      <c r="C24" s="55" t="s">
        <v>54</v>
      </c>
      <c r="D24" s="41" t="s">
        <v>120</v>
      </c>
      <c r="E24" s="36"/>
      <c r="F24" s="40">
        <v>484.94</v>
      </c>
      <c r="G24" s="36"/>
    </row>
    <row r="25" spans="1:7" ht="15.75" hidden="1" customHeight="1">
      <c r="A25" s="36"/>
      <c r="B25" s="41" t="s">
        <v>121</v>
      </c>
      <c r="C25" s="55" t="s">
        <v>54</v>
      </c>
      <c r="D25" s="41" t="s">
        <v>55</v>
      </c>
      <c r="E25" s="36"/>
      <c r="F25" s="40">
        <v>268.92</v>
      </c>
      <c r="G25" s="36"/>
    </row>
    <row r="26" spans="1:7" ht="15.75" hidden="1" customHeight="1">
      <c r="A26" s="36"/>
      <c r="B26" s="41" t="s">
        <v>122</v>
      </c>
      <c r="C26" s="55" t="s">
        <v>54</v>
      </c>
      <c r="D26" s="41" t="s">
        <v>114</v>
      </c>
      <c r="E26" s="36"/>
      <c r="F26" s="40">
        <v>684.05</v>
      </c>
      <c r="G26" s="36"/>
    </row>
    <row r="27" spans="1:7" ht="15.75" customHeight="1">
      <c r="A27" s="56">
        <v>4</v>
      </c>
      <c r="B27" s="41" t="s">
        <v>69</v>
      </c>
      <c r="C27" s="55" t="s">
        <v>33</v>
      </c>
      <c r="D27" s="41" t="s">
        <v>144</v>
      </c>
      <c r="E27" s="20">
        <v>506.1</v>
      </c>
      <c r="F27" s="40">
        <v>182.96</v>
      </c>
      <c r="G27" s="21">
        <v>556.5</v>
      </c>
    </row>
    <row r="28" spans="1:7" ht="15.75" customHeight="1">
      <c r="A28" s="56">
        <v>5</v>
      </c>
      <c r="B28" s="95" t="s">
        <v>23</v>
      </c>
      <c r="C28" s="55" t="s">
        <v>24</v>
      </c>
      <c r="D28" s="95" t="s">
        <v>145</v>
      </c>
      <c r="E28" s="20">
        <v>506.1</v>
      </c>
      <c r="F28" s="40">
        <v>4.5599999999999996</v>
      </c>
      <c r="G28" s="21">
        <v>7005.98</v>
      </c>
    </row>
    <row r="29" spans="1:7" ht="15.75" customHeight="1">
      <c r="A29" s="167" t="s">
        <v>100</v>
      </c>
      <c r="B29" s="167"/>
      <c r="C29" s="167"/>
      <c r="D29" s="167"/>
      <c r="E29" s="167"/>
      <c r="F29" s="167"/>
      <c r="G29" s="167"/>
    </row>
    <row r="30" spans="1:7" ht="15.75" hidden="1" customHeight="1">
      <c r="A30" s="56"/>
      <c r="B30" s="66" t="s">
        <v>28</v>
      </c>
      <c r="C30" s="66"/>
      <c r="D30" s="66"/>
      <c r="E30" s="66"/>
      <c r="F30" s="66"/>
      <c r="G30" s="21"/>
    </row>
    <row r="31" spans="1:7" ht="31.5" hidden="1" customHeight="1">
      <c r="A31" s="56">
        <v>2</v>
      </c>
      <c r="B31" s="41" t="s">
        <v>128</v>
      </c>
      <c r="C31" s="55" t="s">
        <v>108</v>
      </c>
      <c r="D31" s="41" t="s">
        <v>123</v>
      </c>
      <c r="E31" s="15">
        <v>2.31</v>
      </c>
      <c r="F31" s="40">
        <v>193.97</v>
      </c>
      <c r="G31" s="14">
        <v>187.63</v>
      </c>
    </row>
    <row r="32" spans="1:7" ht="31.5" hidden="1" customHeight="1">
      <c r="A32" s="56">
        <v>3</v>
      </c>
      <c r="B32" s="41" t="s">
        <v>127</v>
      </c>
      <c r="C32" s="55" t="s">
        <v>108</v>
      </c>
      <c r="D32" s="41" t="s">
        <v>124</v>
      </c>
      <c r="E32" s="14">
        <f>0.0024*3*4.5</f>
        <v>3.2399999999999998E-2</v>
      </c>
      <c r="F32" s="40">
        <v>321.82</v>
      </c>
      <c r="G32" s="21">
        <v>836.01</v>
      </c>
    </row>
    <row r="33" spans="1:7" ht="15.75" hidden="1" customHeight="1">
      <c r="A33" s="56">
        <v>4</v>
      </c>
      <c r="B33" s="41" t="s">
        <v>27</v>
      </c>
      <c r="C33" s="55" t="s">
        <v>108</v>
      </c>
      <c r="D33" s="41" t="s">
        <v>55</v>
      </c>
      <c r="E33" s="19">
        <v>0</v>
      </c>
      <c r="F33" s="40">
        <v>3758.28</v>
      </c>
      <c r="G33" s="21">
        <v>0</v>
      </c>
    </row>
    <row r="34" spans="1:7" ht="15.75" hidden="1" customHeight="1">
      <c r="A34" s="56">
        <v>5</v>
      </c>
      <c r="B34" s="41" t="s">
        <v>126</v>
      </c>
      <c r="C34" s="55" t="s">
        <v>31</v>
      </c>
      <c r="D34" s="41" t="s">
        <v>68</v>
      </c>
      <c r="E34" s="19">
        <v>0</v>
      </c>
      <c r="F34" s="40">
        <v>70.540000000000006</v>
      </c>
      <c r="G34" s="21">
        <v>0</v>
      </c>
    </row>
    <row r="35" spans="1:7" ht="15.75" hidden="1" customHeight="1">
      <c r="A35" s="56">
        <v>4</v>
      </c>
      <c r="B35" s="41" t="s">
        <v>70</v>
      </c>
      <c r="C35" s="55" t="s">
        <v>33</v>
      </c>
      <c r="D35" s="41" t="s">
        <v>72</v>
      </c>
      <c r="E35" s="14">
        <v>3.75</v>
      </c>
      <c r="F35" s="40">
        <v>238.07</v>
      </c>
      <c r="G35" s="14">
        <v>488.16</v>
      </c>
    </row>
    <row r="36" spans="1:7" ht="15.75" hidden="1" customHeight="1">
      <c r="A36" s="36">
        <v>8</v>
      </c>
      <c r="B36" s="41" t="s">
        <v>71</v>
      </c>
      <c r="C36" s="55" t="s">
        <v>32</v>
      </c>
      <c r="D36" s="41" t="s">
        <v>72</v>
      </c>
      <c r="E36" s="14"/>
      <c r="F36" s="40">
        <v>1413.96</v>
      </c>
      <c r="G36" s="14">
        <v>0</v>
      </c>
    </row>
    <row r="37" spans="1:7" ht="15.75" customHeight="1">
      <c r="A37" s="56"/>
      <c r="B37" s="64" t="s">
        <v>5</v>
      </c>
      <c r="C37" s="64"/>
      <c r="D37" s="64"/>
      <c r="E37" s="14"/>
      <c r="F37" s="15"/>
      <c r="G37" s="21"/>
    </row>
    <row r="38" spans="1:7" ht="15.75" customHeight="1">
      <c r="A38" s="42">
        <v>6</v>
      </c>
      <c r="B38" s="43" t="s">
        <v>26</v>
      </c>
      <c r="C38" s="55" t="s">
        <v>32</v>
      </c>
      <c r="D38" s="41"/>
      <c r="E38" s="14">
        <v>0</v>
      </c>
      <c r="F38" s="40">
        <v>1900.37</v>
      </c>
      <c r="G38" s="14">
        <v>950.19</v>
      </c>
    </row>
    <row r="39" spans="1:7" ht="31.5" customHeight="1">
      <c r="A39" s="42">
        <v>7</v>
      </c>
      <c r="B39" s="43" t="s">
        <v>146</v>
      </c>
      <c r="C39" s="86" t="s">
        <v>29</v>
      </c>
      <c r="D39" s="41" t="s">
        <v>106</v>
      </c>
      <c r="E39" s="14">
        <v>0</v>
      </c>
      <c r="F39" s="40">
        <v>2616.4899999999998</v>
      </c>
      <c r="G39" s="14">
        <v>461.81</v>
      </c>
    </row>
    <row r="40" spans="1:7" ht="15.75" customHeight="1">
      <c r="A40" s="42">
        <v>8</v>
      </c>
      <c r="B40" s="41" t="s">
        <v>147</v>
      </c>
      <c r="C40" s="55" t="s">
        <v>29</v>
      </c>
      <c r="D40" s="41" t="s">
        <v>107</v>
      </c>
      <c r="E40" s="14">
        <v>0</v>
      </c>
      <c r="F40" s="40">
        <v>436.45</v>
      </c>
      <c r="G40" s="14">
        <v>398.01</v>
      </c>
    </row>
    <row r="41" spans="1:7" ht="47.25" customHeight="1">
      <c r="A41" s="42">
        <v>9</v>
      </c>
      <c r="B41" s="41" t="s">
        <v>148</v>
      </c>
      <c r="C41" s="55" t="s">
        <v>108</v>
      </c>
      <c r="D41" s="41" t="s">
        <v>149</v>
      </c>
      <c r="E41" s="14">
        <v>0</v>
      </c>
      <c r="F41" s="40">
        <v>7221.21</v>
      </c>
      <c r="G41" s="14">
        <v>1019.63</v>
      </c>
    </row>
    <row r="42" spans="1:7" ht="15.75" customHeight="1">
      <c r="A42" s="42">
        <v>10</v>
      </c>
      <c r="B42" s="41" t="s">
        <v>150</v>
      </c>
      <c r="C42" s="55" t="s">
        <v>108</v>
      </c>
      <c r="D42" s="41" t="s">
        <v>74</v>
      </c>
      <c r="E42" s="14">
        <v>0</v>
      </c>
      <c r="F42" s="40">
        <v>533.45000000000005</v>
      </c>
      <c r="G42" s="14">
        <v>141.22999999999999</v>
      </c>
    </row>
    <row r="43" spans="1:7" ht="15.75" customHeight="1">
      <c r="A43" s="42">
        <v>11</v>
      </c>
      <c r="B43" s="43" t="s">
        <v>75</v>
      </c>
      <c r="C43" s="86" t="s">
        <v>33</v>
      </c>
      <c r="D43" s="43"/>
      <c r="E43" s="14"/>
      <c r="F43" s="44">
        <v>992.97</v>
      </c>
      <c r="G43" s="14">
        <v>49.65</v>
      </c>
    </row>
    <row r="44" spans="1:7" ht="15.75" customHeight="1">
      <c r="A44" s="174" t="s">
        <v>183</v>
      </c>
      <c r="B44" s="175"/>
      <c r="C44" s="175"/>
      <c r="D44" s="175"/>
      <c r="E44" s="175"/>
      <c r="F44" s="175"/>
      <c r="G44" s="176"/>
    </row>
    <row r="45" spans="1:7" ht="15.75" hidden="1" customHeight="1">
      <c r="A45" s="56">
        <v>15</v>
      </c>
      <c r="B45" s="41" t="s">
        <v>129</v>
      </c>
      <c r="C45" s="55" t="s">
        <v>108</v>
      </c>
      <c r="D45" s="41" t="s">
        <v>43</v>
      </c>
      <c r="E45" s="21">
        <v>0.42</v>
      </c>
      <c r="F45" s="47">
        <v>1283.46</v>
      </c>
      <c r="G45" s="22">
        <v>0</v>
      </c>
    </row>
    <row r="46" spans="1:7" ht="15.75" hidden="1" customHeight="1">
      <c r="A46" s="56">
        <v>16</v>
      </c>
      <c r="B46" s="41" t="s">
        <v>36</v>
      </c>
      <c r="C46" s="55" t="s">
        <v>108</v>
      </c>
      <c r="D46" s="41" t="s">
        <v>43</v>
      </c>
      <c r="E46" s="21">
        <v>1.35</v>
      </c>
      <c r="F46" s="47">
        <v>4192.6400000000003</v>
      </c>
      <c r="G46" s="22">
        <v>0</v>
      </c>
    </row>
    <row r="47" spans="1:7" ht="15.75" hidden="1" customHeight="1">
      <c r="A47" s="56">
        <v>17</v>
      </c>
      <c r="B47" s="41" t="s">
        <v>37</v>
      </c>
      <c r="C47" s="55" t="s">
        <v>108</v>
      </c>
      <c r="D47" s="41" t="s">
        <v>43</v>
      </c>
      <c r="E47" s="21">
        <v>0.03</v>
      </c>
      <c r="F47" s="47">
        <v>1711.28</v>
      </c>
      <c r="G47" s="22">
        <v>0</v>
      </c>
    </row>
    <row r="48" spans="1:7" ht="15.75" hidden="1" customHeight="1">
      <c r="A48" s="56">
        <v>18</v>
      </c>
      <c r="B48" s="41" t="s">
        <v>38</v>
      </c>
      <c r="C48" s="55" t="s">
        <v>108</v>
      </c>
      <c r="D48" s="41" t="s">
        <v>43</v>
      </c>
      <c r="E48" s="21">
        <v>0.33</v>
      </c>
      <c r="F48" s="47">
        <v>1179.73</v>
      </c>
      <c r="G48" s="22">
        <v>0</v>
      </c>
    </row>
    <row r="49" spans="1:7" ht="15.75" hidden="1" customHeight="1">
      <c r="A49" s="56">
        <v>19</v>
      </c>
      <c r="B49" s="41" t="s">
        <v>34</v>
      </c>
      <c r="C49" s="55" t="s">
        <v>35</v>
      </c>
      <c r="D49" s="41" t="s">
        <v>43</v>
      </c>
      <c r="E49" s="21">
        <v>0.22</v>
      </c>
      <c r="F49" s="47">
        <v>90.61</v>
      </c>
      <c r="G49" s="14">
        <v>0</v>
      </c>
    </row>
    <row r="50" spans="1:7" ht="31.5" hidden="1" customHeight="1">
      <c r="A50" s="56">
        <v>12</v>
      </c>
      <c r="B50" s="41" t="s">
        <v>59</v>
      </c>
      <c r="C50" s="55" t="s">
        <v>108</v>
      </c>
      <c r="D50" s="41" t="s">
        <v>151</v>
      </c>
      <c r="E50" s="21">
        <v>0.22</v>
      </c>
      <c r="F50" s="47">
        <v>1711.28</v>
      </c>
      <c r="G50" s="22">
        <v>3114.5</v>
      </c>
    </row>
    <row r="51" spans="1:7" ht="31.5" customHeight="1">
      <c r="A51" s="56">
        <v>12</v>
      </c>
      <c r="B51" s="41" t="s">
        <v>109</v>
      </c>
      <c r="C51" s="55" t="s">
        <v>108</v>
      </c>
      <c r="D51" s="41" t="s">
        <v>43</v>
      </c>
      <c r="E51" s="21">
        <v>0.02</v>
      </c>
      <c r="F51" s="47">
        <v>1510.06</v>
      </c>
      <c r="G51" s="22">
        <v>2320.06</v>
      </c>
    </row>
    <row r="52" spans="1:7" ht="31.5" customHeight="1">
      <c r="A52" s="56">
        <v>13</v>
      </c>
      <c r="B52" s="41" t="s">
        <v>110</v>
      </c>
      <c r="C52" s="55" t="s">
        <v>39</v>
      </c>
      <c r="D52" s="41" t="s">
        <v>43</v>
      </c>
      <c r="E52" s="21">
        <v>0.01</v>
      </c>
      <c r="F52" s="47">
        <v>3850.4</v>
      </c>
      <c r="G52" s="22">
        <v>346.54</v>
      </c>
    </row>
    <row r="53" spans="1:7" ht="15.75" customHeight="1">
      <c r="A53" s="56">
        <v>14</v>
      </c>
      <c r="B53" s="41" t="s">
        <v>40</v>
      </c>
      <c r="C53" s="55" t="s">
        <v>41</v>
      </c>
      <c r="D53" s="41" t="s">
        <v>43</v>
      </c>
      <c r="E53" s="21">
        <v>8</v>
      </c>
      <c r="F53" s="47">
        <v>7033.13</v>
      </c>
      <c r="G53" s="14">
        <v>70.33</v>
      </c>
    </row>
    <row r="54" spans="1:7" ht="15.75" hidden="1" customHeight="1">
      <c r="A54" s="56">
        <v>24</v>
      </c>
      <c r="B54" s="41" t="s">
        <v>42</v>
      </c>
      <c r="C54" s="55" t="s">
        <v>130</v>
      </c>
      <c r="D54" s="41" t="s">
        <v>55</v>
      </c>
      <c r="E54" s="21">
        <v>16</v>
      </c>
      <c r="F54" s="48">
        <v>81.73</v>
      </c>
      <c r="G54" s="14">
        <v>0</v>
      </c>
    </row>
    <row r="55" spans="1:7" ht="15.75" customHeight="1">
      <c r="A55" s="174" t="s">
        <v>184</v>
      </c>
      <c r="B55" s="175"/>
      <c r="C55" s="175"/>
      <c r="D55" s="175"/>
      <c r="E55" s="175"/>
      <c r="F55" s="175"/>
      <c r="G55" s="176"/>
    </row>
    <row r="56" spans="1:7" ht="15.75" customHeight="1">
      <c r="A56" s="69"/>
      <c r="B56" s="63" t="s">
        <v>44</v>
      </c>
      <c r="C56" s="18"/>
      <c r="D56" s="17"/>
      <c r="E56" s="17"/>
      <c r="F56" s="36"/>
      <c r="G56" s="21"/>
    </row>
    <row r="57" spans="1:7" ht="31.5" customHeight="1">
      <c r="A57" s="56">
        <v>15</v>
      </c>
      <c r="B57" s="41" t="s">
        <v>131</v>
      </c>
      <c r="C57" s="55" t="s">
        <v>105</v>
      </c>
      <c r="D57" s="41" t="s">
        <v>132</v>
      </c>
      <c r="E57" s="21">
        <v>0</v>
      </c>
      <c r="F57" s="47">
        <v>2306.62</v>
      </c>
      <c r="G57" s="22">
        <v>265.26</v>
      </c>
    </row>
    <row r="58" spans="1:7" ht="15.75" hidden="1" customHeight="1">
      <c r="A58" s="56"/>
      <c r="B58" s="96" t="s">
        <v>152</v>
      </c>
      <c r="C58" s="68" t="s">
        <v>153</v>
      </c>
      <c r="D58" s="96" t="s">
        <v>72</v>
      </c>
      <c r="E58" s="109"/>
      <c r="F58" s="110">
        <v>1501</v>
      </c>
      <c r="G58" s="22"/>
    </row>
    <row r="59" spans="1:7" ht="15.75" customHeight="1">
      <c r="A59" s="56"/>
      <c r="B59" s="101" t="s">
        <v>45</v>
      </c>
      <c r="C59" s="115"/>
      <c r="D59" s="115"/>
      <c r="E59" s="115"/>
      <c r="F59" s="115"/>
      <c r="G59" s="46"/>
    </row>
    <row r="60" spans="1:7" ht="15.75" hidden="1" customHeight="1">
      <c r="A60" s="56">
        <v>27</v>
      </c>
      <c r="B60" s="111" t="s">
        <v>133</v>
      </c>
      <c r="C60" s="112"/>
      <c r="D60" s="26" t="s">
        <v>55</v>
      </c>
      <c r="E60" s="113">
        <v>0</v>
      </c>
      <c r="F60" s="114">
        <v>848.37</v>
      </c>
      <c r="G60" s="22">
        <f>E60/2</f>
        <v>0</v>
      </c>
    </row>
    <row r="61" spans="1:7" ht="15.75" customHeight="1">
      <c r="A61" s="56">
        <v>16</v>
      </c>
      <c r="B61" s="96" t="s">
        <v>163</v>
      </c>
      <c r="C61" s="68" t="s">
        <v>25</v>
      </c>
      <c r="D61" s="96" t="s">
        <v>156</v>
      </c>
      <c r="E61" s="21"/>
      <c r="F61" s="97">
        <v>2.59</v>
      </c>
      <c r="G61" s="22">
        <v>363.9</v>
      </c>
    </row>
    <row r="62" spans="1:7" ht="15.75" customHeight="1">
      <c r="A62" s="56"/>
      <c r="B62" s="85" t="s">
        <v>46</v>
      </c>
      <c r="C62" s="18"/>
      <c r="D62" s="17"/>
      <c r="E62" s="17"/>
      <c r="F62" s="36"/>
      <c r="G62" s="21"/>
    </row>
    <row r="63" spans="1:7" ht="16.5" customHeight="1">
      <c r="A63" s="56">
        <v>17</v>
      </c>
      <c r="B63" s="90" t="s">
        <v>47</v>
      </c>
      <c r="C63" s="51" t="s">
        <v>130</v>
      </c>
      <c r="D63" s="50" t="s">
        <v>72</v>
      </c>
      <c r="E63" s="21">
        <v>0</v>
      </c>
      <c r="F63" s="47">
        <v>276.74</v>
      </c>
      <c r="G63" s="22">
        <v>276.74</v>
      </c>
    </row>
    <row r="64" spans="1:7" ht="15.75" hidden="1" customHeight="1">
      <c r="A64" s="36">
        <v>29</v>
      </c>
      <c r="B64" s="90" t="s">
        <v>48</v>
      </c>
      <c r="C64" s="51" t="s">
        <v>130</v>
      </c>
      <c r="D64" s="50" t="s">
        <v>125</v>
      </c>
      <c r="E64" s="21">
        <v>0</v>
      </c>
      <c r="F64" s="47">
        <v>94.89</v>
      </c>
      <c r="G64" s="22">
        <f>E64/2</f>
        <v>0</v>
      </c>
    </row>
    <row r="65" spans="1:7" ht="15.75" hidden="1" customHeight="1">
      <c r="A65" s="36">
        <v>8</v>
      </c>
      <c r="B65" s="90" t="s">
        <v>49</v>
      </c>
      <c r="C65" s="53" t="s">
        <v>134</v>
      </c>
      <c r="D65" s="50" t="s">
        <v>55</v>
      </c>
      <c r="E65" s="21">
        <v>13.47</v>
      </c>
      <c r="F65" s="47">
        <v>263.99</v>
      </c>
      <c r="G65" s="21">
        <v>7955.63</v>
      </c>
    </row>
    <row r="66" spans="1:7" ht="15.75" hidden="1" customHeight="1">
      <c r="A66" s="36">
        <v>9</v>
      </c>
      <c r="B66" s="90" t="s">
        <v>50</v>
      </c>
      <c r="C66" s="51" t="s">
        <v>135</v>
      </c>
      <c r="D66" s="50"/>
      <c r="E66" s="21">
        <v>1.35</v>
      </c>
      <c r="F66" s="47">
        <v>205.57</v>
      </c>
      <c r="G66" s="21">
        <v>619.54</v>
      </c>
    </row>
    <row r="67" spans="1:7" ht="15.75" hidden="1" customHeight="1">
      <c r="A67" s="36">
        <v>10</v>
      </c>
      <c r="B67" s="90" t="s">
        <v>51</v>
      </c>
      <c r="C67" s="51" t="s">
        <v>82</v>
      </c>
      <c r="D67" s="50" t="s">
        <v>55</v>
      </c>
      <c r="E67" s="21">
        <v>0</v>
      </c>
      <c r="F67" s="47">
        <v>2581.5300000000002</v>
      </c>
      <c r="G67" s="21">
        <v>12447.78</v>
      </c>
    </row>
    <row r="68" spans="1:7" ht="15.75" hidden="1" customHeight="1">
      <c r="A68" s="36">
        <v>11</v>
      </c>
      <c r="B68" s="70" t="s">
        <v>136</v>
      </c>
      <c r="C68" s="51" t="s">
        <v>33</v>
      </c>
      <c r="D68" s="50"/>
      <c r="E68" s="13">
        <v>0</v>
      </c>
      <c r="F68" s="47">
        <v>47.75</v>
      </c>
      <c r="G68" s="21">
        <v>0</v>
      </c>
    </row>
    <row r="69" spans="1:7" ht="15.75" hidden="1" customHeight="1">
      <c r="A69" s="36">
        <v>12</v>
      </c>
      <c r="B69" s="70" t="s">
        <v>137</v>
      </c>
      <c r="C69" s="51" t="s">
        <v>33</v>
      </c>
      <c r="D69" s="50"/>
      <c r="E69" s="13"/>
      <c r="F69" s="47">
        <v>44.27</v>
      </c>
      <c r="G69" s="21">
        <v>543.84</v>
      </c>
    </row>
    <row r="70" spans="1:7" ht="15.75" hidden="1" customHeight="1">
      <c r="A70" s="36">
        <v>13</v>
      </c>
      <c r="B70" s="50" t="s">
        <v>60</v>
      </c>
      <c r="C70" s="51" t="s">
        <v>61</v>
      </c>
      <c r="D70" s="50" t="s">
        <v>55</v>
      </c>
      <c r="E70" s="13"/>
      <c r="F70" s="47">
        <v>62.07</v>
      </c>
      <c r="G70" s="21">
        <v>507.36</v>
      </c>
    </row>
    <row r="71" spans="1:7" ht="15.75" customHeight="1">
      <c r="A71" s="36">
        <v>18</v>
      </c>
      <c r="B71" s="50" t="s">
        <v>154</v>
      </c>
      <c r="C71" s="56" t="s">
        <v>155</v>
      </c>
      <c r="D71" s="50" t="s">
        <v>156</v>
      </c>
      <c r="E71" s="94"/>
      <c r="F71" s="47">
        <v>2.16</v>
      </c>
      <c r="G71" s="21">
        <v>3318.62</v>
      </c>
    </row>
    <row r="72" spans="1:7" ht="15.75" hidden="1" customHeight="1">
      <c r="A72" s="69"/>
      <c r="B72" s="177" t="s">
        <v>111</v>
      </c>
      <c r="C72" s="178"/>
      <c r="D72" s="178"/>
      <c r="E72" s="178"/>
      <c r="F72" s="179"/>
      <c r="G72" s="21"/>
    </row>
    <row r="73" spans="1:7" ht="15.75" hidden="1" customHeight="1">
      <c r="A73" s="36">
        <v>36</v>
      </c>
      <c r="B73" s="41" t="s">
        <v>138</v>
      </c>
      <c r="C73" s="91"/>
      <c r="D73" s="50" t="s">
        <v>55</v>
      </c>
      <c r="E73" s="21">
        <v>0</v>
      </c>
      <c r="F73" s="49"/>
      <c r="G73" s="21">
        <v>0</v>
      </c>
    </row>
    <row r="74" spans="1:7" ht="15.75" customHeight="1">
      <c r="A74" s="36"/>
      <c r="B74" s="64" t="s">
        <v>77</v>
      </c>
      <c r="C74" s="64"/>
      <c r="D74" s="64"/>
      <c r="E74" s="21"/>
      <c r="F74" s="36"/>
      <c r="G74" s="21"/>
    </row>
    <row r="75" spans="1:7" ht="15.75" hidden="1" customHeight="1">
      <c r="A75" s="36">
        <v>17</v>
      </c>
      <c r="B75" s="50" t="s">
        <v>157</v>
      </c>
      <c r="C75" s="51" t="s">
        <v>158</v>
      </c>
      <c r="D75" s="50" t="s">
        <v>72</v>
      </c>
      <c r="E75" s="21"/>
      <c r="F75" s="47">
        <v>976.4</v>
      </c>
      <c r="G75" s="21">
        <v>321.74</v>
      </c>
    </row>
    <row r="76" spans="1:7" ht="15.75" hidden="1" customHeight="1">
      <c r="A76" s="36"/>
      <c r="B76" s="50" t="s">
        <v>159</v>
      </c>
      <c r="C76" s="51" t="s">
        <v>160</v>
      </c>
      <c r="D76" s="50"/>
      <c r="E76" s="21"/>
      <c r="F76" s="47">
        <v>650</v>
      </c>
      <c r="G76" s="21"/>
    </row>
    <row r="77" spans="1:7" ht="15.75" hidden="1" customHeight="1">
      <c r="A77" s="36"/>
      <c r="B77" s="50" t="s">
        <v>78</v>
      </c>
      <c r="C77" s="51" t="s">
        <v>80</v>
      </c>
      <c r="D77" s="50" t="s">
        <v>72</v>
      </c>
      <c r="E77" s="21"/>
      <c r="F77" s="47">
        <v>624.16999999999996</v>
      </c>
      <c r="G77" s="21"/>
    </row>
    <row r="78" spans="1:7" ht="15.75" hidden="1" customHeight="1">
      <c r="A78" s="36"/>
      <c r="B78" s="50" t="s">
        <v>79</v>
      </c>
      <c r="C78" s="51" t="s">
        <v>31</v>
      </c>
      <c r="D78" s="50" t="s">
        <v>72</v>
      </c>
      <c r="E78" s="21"/>
      <c r="F78" s="47">
        <v>1061.4100000000001</v>
      </c>
      <c r="G78" s="21"/>
    </row>
    <row r="79" spans="1:7" ht="15.75" customHeight="1">
      <c r="A79" s="36">
        <v>19</v>
      </c>
      <c r="B79" s="88" t="s">
        <v>161</v>
      </c>
      <c r="C79" s="89" t="s">
        <v>130</v>
      </c>
      <c r="D79" s="50" t="s">
        <v>30</v>
      </c>
      <c r="E79" s="21"/>
      <c r="F79" s="47">
        <v>50.69</v>
      </c>
      <c r="G79" s="21">
        <v>50.69</v>
      </c>
    </row>
    <row r="80" spans="1:7" ht="15.75" hidden="1" customHeight="1">
      <c r="A80" s="36"/>
      <c r="B80" s="65" t="s">
        <v>81</v>
      </c>
      <c r="C80" s="51"/>
      <c r="D80" s="36"/>
      <c r="E80" s="21"/>
      <c r="F80" s="47"/>
      <c r="G80" s="21"/>
    </row>
    <row r="81" spans="1:7" ht="15.75" hidden="1" customHeight="1">
      <c r="A81" s="36">
        <v>39</v>
      </c>
      <c r="B81" s="52" t="s">
        <v>162</v>
      </c>
      <c r="C81" s="53" t="s">
        <v>82</v>
      </c>
      <c r="D81" s="90"/>
      <c r="E81" s="21"/>
      <c r="F81" s="48">
        <v>3433.69</v>
      </c>
      <c r="G81" s="21">
        <v>0</v>
      </c>
    </row>
    <row r="82" spans="1:7" ht="15.75" customHeight="1">
      <c r="A82" s="180" t="s">
        <v>185</v>
      </c>
      <c r="B82" s="181"/>
      <c r="C82" s="181"/>
      <c r="D82" s="181"/>
      <c r="E82" s="181"/>
      <c r="F82" s="181"/>
      <c r="G82" s="182"/>
    </row>
    <row r="83" spans="1:7" ht="15.75" customHeight="1">
      <c r="A83" s="36">
        <v>20</v>
      </c>
      <c r="B83" s="41" t="s">
        <v>139</v>
      </c>
      <c r="C83" s="51" t="s">
        <v>56</v>
      </c>
      <c r="D83" s="142" t="s">
        <v>57</v>
      </c>
      <c r="E83" s="17">
        <v>327.9</v>
      </c>
      <c r="F83" s="47">
        <v>2.95</v>
      </c>
      <c r="G83" s="14">
        <v>4532.38</v>
      </c>
    </row>
    <row r="84" spans="1:7" ht="31.5" customHeight="1">
      <c r="A84" s="36">
        <v>21</v>
      </c>
      <c r="B84" s="50" t="s">
        <v>83</v>
      </c>
      <c r="C84" s="51"/>
      <c r="D84" s="142" t="s">
        <v>57</v>
      </c>
      <c r="E84" s="17"/>
      <c r="F84" s="47">
        <v>3.05</v>
      </c>
      <c r="G84" s="14">
        <v>4686.0200000000004</v>
      </c>
    </row>
    <row r="85" spans="1:7" ht="15.75" customHeight="1">
      <c r="A85" s="69"/>
      <c r="B85" s="54" t="s">
        <v>87</v>
      </c>
      <c r="C85" s="56"/>
      <c r="D85" s="17"/>
      <c r="E85" s="17"/>
      <c r="F85" s="21"/>
      <c r="G85" s="39">
        <f>SUM(G16+G17+G18+G27+G28+G38+G39+G40+G41+G42+G43+G51+G52+G53+G57+G61+G63+G71+G79+G83+G84)</f>
        <v>32515.260000000002</v>
      </c>
    </row>
    <row r="86" spans="1:7" ht="15.75" customHeight="1">
      <c r="A86" s="69"/>
      <c r="B86" s="87" t="s">
        <v>63</v>
      </c>
      <c r="C86" s="87"/>
      <c r="D86" s="87"/>
      <c r="E86" s="87"/>
      <c r="F86" s="87"/>
      <c r="G86" s="87"/>
    </row>
    <row r="87" spans="1:7" ht="15.75" customHeight="1">
      <c r="A87" s="36">
        <v>22</v>
      </c>
      <c r="B87" s="88" t="s">
        <v>164</v>
      </c>
      <c r="C87" s="93" t="s">
        <v>130</v>
      </c>
      <c r="D87" s="87"/>
      <c r="E87" s="17"/>
      <c r="F87" s="47">
        <v>50.68</v>
      </c>
      <c r="G87" s="14">
        <v>1317.68</v>
      </c>
    </row>
    <row r="88" spans="1:7" ht="15.75" customHeight="1">
      <c r="A88" s="36">
        <v>23</v>
      </c>
      <c r="B88" s="99" t="s">
        <v>172</v>
      </c>
      <c r="C88" s="100" t="s">
        <v>80</v>
      </c>
      <c r="D88" s="87"/>
      <c r="E88" s="17"/>
      <c r="F88" s="47">
        <v>3295.72</v>
      </c>
      <c r="G88" s="14">
        <v>659.14</v>
      </c>
    </row>
    <row r="89" spans="1:7" ht="15.75" customHeight="1">
      <c r="A89" s="36">
        <v>24</v>
      </c>
      <c r="B89" s="88" t="s">
        <v>165</v>
      </c>
      <c r="C89" s="98" t="s">
        <v>166</v>
      </c>
      <c r="D89" s="87"/>
      <c r="E89" s="17"/>
      <c r="F89" s="47">
        <v>195.95</v>
      </c>
      <c r="G89" s="14">
        <v>391.9</v>
      </c>
    </row>
    <row r="90" spans="1:7" ht="15.75" customHeight="1">
      <c r="A90" s="36"/>
      <c r="B90" s="61" t="s">
        <v>52</v>
      </c>
      <c r="C90" s="57"/>
      <c r="D90" s="71"/>
      <c r="E90" s="57">
        <v>1</v>
      </c>
      <c r="F90" s="57"/>
      <c r="G90" s="39">
        <f>SUM(G87:G89)</f>
        <v>2368.7200000000003</v>
      </c>
    </row>
    <row r="91" spans="1:7" ht="15.75" customHeight="1">
      <c r="A91" s="36"/>
      <c r="B91" s="67" t="s">
        <v>84</v>
      </c>
      <c r="C91" s="17"/>
      <c r="D91" s="17"/>
      <c r="E91" s="58"/>
      <c r="F91" s="59"/>
      <c r="G91" s="20">
        <v>0</v>
      </c>
    </row>
    <row r="92" spans="1:7" ht="15.75" customHeight="1">
      <c r="A92" s="72"/>
      <c r="B92" s="62" t="s">
        <v>53</v>
      </c>
      <c r="C92" s="45"/>
      <c r="D92" s="45"/>
      <c r="E92" s="45"/>
      <c r="F92" s="45"/>
      <c r="G92" s="60">
        <f>G85+G90</f>
        <v>34883.980000000003</v>
      </c>
    </row>
    <row r="93" spans="1:7" ht="15.75">
      <c r="A93" s="164" t="s">
        <v>173</v>
      </c>
      <c r="B93" s="164"/>
      <c r="C93" s="164"/>
      <c r="D93" s="164"/>
      <c r="E93" s="164"/>
      <c r="F93" s="164"/>
      <c r="G93" s="164"/>
    </row>
    <row r="94" spans="1:7" ht="15.75">
      <c r="A94" s="78"/>
      <c r="B94" s="165" t="s">
        <v>174</v>
      </c>
      <c r="C94" s="165"/>
      <c r="D94" s="165"/>
      <c r="E94" s="165"/>
      <c r="F94" s="165"/>
      <c r="G94" s="3"/>
    </row>
    <row r="95" spans="1:7">
      <c r="A95" s="75"/>
      <c r="B95" s="161" t="s">
        <v>6</v>
      </c>
      <c r="C95" s="161"/>
      <c r="D95" s="161"/>
      <c r="E95" s="161"/>
      <c r="F95" s="161"/>
      <c r="G95" s="5"/>
    </row>
    <row r="96" spans="1:7">
      <c r="A96" s="10"/>
      <c r="B96" s="10"/>
      <c r="C96" s="10"/>
      <c r="D96" s="10"/>
      <c r="E96" s="10"/>
      <c r="F96" s="10"/>
      <c r="G96" s="10"/>
    </row>
    <row r="97" spans="1:7" ht="15.75">
      <c r="A97" s="166" t="s">
        <v>7</v>
      </c>
      <c r="B97" s="166"/>
      <c r="C97" s="166"/>
      <c r="D97" s="166"/>
      <c r="E97" s="166"/>
      <c r="F97" s="166"/>
      <c r="G97" s="166"/>
    </row>
    <row r="98" spans="1:7" ht="15.75">
      <c r="A98" s="166" t="s">
        <v>8</v>
      </c>
      <c r="B98" s="166"/>
      <c r="C98" s="166"/>
      <c r="D98" s="166"/>
      <c r="E98" s="166"/>
      <c r="F98" s="166"/>
      <c r="G98" s="166"/>
    </row>
    <row r="99" spans="1:7" ht="15.75">
      <c r="A99" s="158" t="s">
        <v>64</v>
      </c>
      <c r="B99" s="158"/>
      <c r="C99" s="158"/>
      <c r="D99" s="158"/>
      <c r="E99" s="158"/>
      <c r="F99" s="158"/>
      <c r="G99" s="158"/>
    </row>
    <row r="100" spans="1:7" ht="7.5" customHeight="1">
      <c r="A100" s="11"/>
    </row>
    <row r="101" spans="1:7" ht="15.75">
      <c r="A101" s="159" t="s">
        <v>9</v>
      </c>
      <c r="B101" s="159"/>
      <c r="C101" s="159"/>
      <c r="D101" s="159"/>
      <c r="E101" s="159"/>
      <c r="F101" s="159"/>
      <c r="G101" s="159"/>
    </row>
    <row r="102" spans="1:7" ht="15.75">
      <c r="A102" s="4"/>
    </row>
    <row r="103" spans="1:7" ht="15.75">
      <c r="B103" s="73" t="s">
        <v>10</v>
      </c>
      <c r="C103" s="183" t="s">
        <v>140</v>
      </c>
      <c r="D103" s="183"/>
      <c r="E103" s="183"/>
      <c r="G103" s="76"/>
    </row>
    <row r="104" spans="1:7">
      <c r="A104" s="75"/>
      <c r="C104" s="161" t="s">
        <v>11</v>
      </c>
      <c r="D104" s="161"/>
      <c r="E104" s="161"/>
      <c r="G104" s="74" t="s">
        <v>12</v>
      </c>
    </row>
    <row r="105" spans="1:7" ht="15.75">
      <c r="A105" s="32"/>
      <c r="C105" s="12"/>
      <c r="D105" s="12"/>
      <c r="F105" s="12"/>
    </row>
    <row r="106" spans="1:7" ht="15.75">
      <c r="B106" s="73" t="s">
        <v>13</v>
      </c>
      <c r="C106" s="162"/>
      <c r="D106" s="162"/>
      <c r="E106" s="162"/>
      <c r="G106" s="76"/>
    </row>
    <row r="107" spans="1:7">
      <c r="A107" s="75"/>
      <c r="C107" s="163" t="s">
        <v>11</v>
      </c>
      <c r="D107" s="163"/>
      <c r="E107" s="163"/>
      <c r="G107" s="74" t="s">
        <v>12</v>
      </c>
    </row>
    <row r="108" spans="1:7" ht="15.75">
      <c r="A108" s="4" t="s">
        <v>14</v>
      </c>
    </row>
    <row r="109" spans="1:7">
      <c r="A109" s="156" t="s">
        <v>15</v>
      </c>
      <c r="B109" s="156"/>
      <c r="C109" s="156"/>
      <c r="D109" s="156"/>
      <c r="E109" s="156"/>
      <c r="F109" s="156"/>
      <c r="G109" s="156"/>
    </row>
    <row r="110" spans="1:7" ht="45" customHeight="1">
      <c r="A110" s="157" t="s">
        <v>16</v>
      </c>
      <c r="B110" s="157"/>
      <c r="C110" s="157"/>
      <c r="D110" s="157"/>
      <c r="E110" s="157"/>
      <c r="F110" s="157"/>
      <c r="G110" s="157"/>
    </row>
    <row r="111" spans="1:7" ht="30" customHeight="1">
      <c r="A111" s="157" t="s">
        <v>17</v>
      </c>
      <c r="B111" s="157"/>
      <c r="C111" s="157"/>
      <c r="D111" s="157"/>
      <c r="E111" s="157"/>
      <c r="F111" s="157"/>
      <c r="G111" s="157"/>
    </row>
    <row r="112" spans="1:7" ht="30" customHeight="1">
      <c r="A112" s="157" t="s">
        <v>21</v>
      </c>
      <c r="B112" s="157"/>
      <c r="C112" s="157"/>
      <c r="D112" s="157"/>
      <c r="E112" s="157"/>
      <c r="F112" s="157"/>
      <c r="G112" s="157"/>
    </row>
    <row r="113" spans="1:7" ht="15" customHeight="1">
      <c r="A113" s="157" t="s">
        <v>20</v>
      </c>
      <c r="B113" s="157"/>
      <c r="C113" s="157"/>
      <c r="D113" s="157"/>
      <c r="E113" s="157"/>
      <c r="F113" s="157"/>
      <c r="G113" s="157"/>
    </row>
  </sheetData>
  <mergeCells count="28">
    <mergeCell ref="A110:G110"/>
    <mergeCell ref="A111:G111"/>
    <mergeCell ref="A112:G112"/>
    <mergeCell ref="A113:G113"/>
    <mergeCell ref="A101:G101"/>
    <mergeCell ref="C103:E103"/>
    <mergeCell ref="C104:E104"/>
    <mergeCell ref="C106:E106"/>
    <mergeCell ref="C107:E107"/>
    <mergeCell ref="A109:G109"/>
    <mergeCell ref="A99:G99"/>
    <mergeCell ref="A15:G15"/>
    <mergeCell ref="A29:G29"/>
    <mergeCell ref="A44:G44"/>
    <mergeCell ref="A55:G55"/>
    <mergeCell ref="B72:F72"/>
    <mergeCell ref="A93:G93"/>
    <mergeCell ref="B94:F94"/>
    <mergeCell ref="B95:F95"/>
    <mergeCell ref="A97:G97"/>
    <mergeCell ref="A98:G98"/>
    <mergeCell ref="A82:G82"/>
    <mergeCell ref="A14:G14"/>
    <mergeCell ref="A3:G3"/>
    <mergeCell ref="A4:G4"/>
    <mergeCell ref="A5:G5"/>
    <mergeCell ref="A8:G8"/>
    <mergeCell ref="A10:G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4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4" t="s">
        <v>101</v>
      </c>
      <c r="G1" s="33"/>
      <c r="H1" s="1"/>
      <c r="I1" s="1"/>
      <c r="J1" s="1"/>
      <c r="K1" s="1"/>
    </row>
    <row r="2" spans="1:11" ht="15.75">
      <c r="A2" s="35" t="s">
        <v>67</v>
      </c>
      <c r="H2" s="2"/>
      <c r="I2" s="2"/>
      <c r="J2" s="2"/>
      <c r="K2" s="2"/>
    </row>
    <row r="3" spans="1:11" ht="15.75" customHeight="1">
      <c r="A3" s="168" t="s">
        <v>168</v>
      </c>
      <c r="B3" s="168"/>
      <c r="C3" s="168"/>
      <c r="D3" s="168"/>
      <c r="E3" s="168"/>
      <c r="F3" s="168"/>
      <c r="G3" s="168"/>
      <c r="H3" s="3"/>
      <c r="I3" s="3"/>
      <c r="J3" s="3"/>
    </row>
    <row r="4" spans="1:11" ht="31.5" customHeight="1">
      <c r="A4" s="169" t="s">
        <v>167</v>
      </c>
      <c r="B4" s="169"/>
      <c r="C4" s="169"/>
      <c r="D4" s="169"/>
      <c r="E4" s="169"/>
      <c r="F4" s="169"/>
      <c r="G4" s="169"/>
    </row>
    <row r="5" spans="1:11" ht="15.75">
      <c r="A5" s="168" t="s">
        <v>141</v>
      </c>
      <c r="B5" s="170"/>
      <c r="C5" s="170"/>
      <c r="D5" s="170"/>
      <c r="E5" s="170"/>
      <c r="F5" s="170"/>
      <c r="G5" s="170"/>
      <c r="H5" s="2"/>
      <c r="I5" s="2"/>
      <c r="J5" s="2"/>
      <c r="K5" s="2"/>
    </row>
    <row r="6" spans="1:11" ht="15.75">
      <c r="A6" s="2"/>
      <c r="B6" s="81"/>
      <c r="C6" s="81"/>
      <c r="D6" s="81"/>
      <c r="E6" s="81"/>
      <c r="F6" s="81"/>
      <c r="G6" s="37">
        <v>42735</v>
      </c>
      <c r="H6" s="2"/>
      <c r="I6" s="2"/>
      <c r="J6" s="2"/>
      <c r="K6" s="2"/>
    </row>
    <row r="7" spans="1:11" ht="15.75">
      <c r="B7" s="79"/>
      <c r="C7" s="79"/>
      <c r="D7" s="79"/>
      <c r="E7" s="3"/>
      <c r="F7" s="3"/>
      <c r="H7" s="3"/>
      <c r="I7" s="3"/>
      <c r="J7" s="3"/>
      <c r="K7" s="3"/>
    </row>
    <row r="8" spans="1:11" ht="87" customHeight="1">
      <c r="A8" s="171" t="s">
        <v>181</v>
      </c>
      <c r="B8" s="171"/>
      <c r="C8" s="171"/>
      <c r="D8" s="171"/>
      <c r="E8" s="171"/>
      <c r="F8" s="171"/>
      <c r="G8" s="171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172" t="s">
        <v>182</v>
      </c>
      <c r="B10" s="172"/>
      <c r="C10" s="172"/>
      <c r="D10" s="172"/>
      <c r="E10" s="172"/>
      <c r="F10" s="172"/>
      <c r="G10" s="172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73" t="s">
        <v>62</v>
      </c>
      <c r="B14" s="173"/>
      <c r="C14" s="173"/>
      <c r="D14" s="173"/>
      <c r="E14" s="173"/>
      <c r="F14" s="173"/>
      <c r="G14" s="173"/>
      <c r="H14" s="8"/>
      <c r="I14" s="8"/>
      <c r="J14" s="8"/>
      <c r="K14" s="8"/>
    </row>
    <row r="15" spans="1:11" ht="15" customHeight="1">
      <c r="A15" s="167" t="s">
        <v>4</v>
      </c>
      <c r="B15" s="167"/>
      <c r="C15" s="167"/>
      <c r="D15" s="167"/>
      <c r="E15" s="167"/>
      <c r="F15" s="167"/>
      <c r="G15" s="167"/>
      <c r="H15" s="8"/>
      <c r="I15" s="8"/>
      <c r="J15" s="8"/>
      <c r="K15" s="8"/>
    </row>
    <row r="16" spans="1:11">
      <c r="A16" s="36">
        <v>1</v>
      </c>
      <c r="B16" s="41" t="s">
        <v>104</v>
      </c>
      <c r="C16" s="55" t="s">
        <v>105</v>
      </c>
      <c r="D16" s="41" t="s">
        <v>169</v>
      </c>
      <c r="E16" s="36"/>
      <c r="F16" s="40">
        <v>218.21</v>
      </c>
      <c r="G16" s="36">
        <v>1557.36</v>
      </c>
      <c r="H16" s="28"/>
      <c r="I16" s="8"/>
      <c r="J16" s="8"/>
      <c r="K16" s="8"/>
    </row>
    <row r="17" spans="1:11" ht="15.75" customHeight="1">
      <c r="A17" s="36">
        <v>2</v>
      </c>
      <c r="B17" s="41" t="s">
        <v>142</v>
      </c>
      <c r="C17" s="55" t="s">
        <v>105</v>
      </c>
      <c r="D17" s="41" t="s">
        <v>170</v>
      </c>
      <c r="E17" s="36"/>
      <c r="F17" s="40">
        <v>218.21</v>
      </c>
      <c r="G17" s="36">
        <v>2076.4899999999998</v>
      </c>
      <c r="H17" s="29"/>
      <c r="I17" s="8"/>
      <c r="J17" s="8"/>
      <c r="K17" s="8"/>
    </row>
    <row r="18" spans="1:11" ht="15.75" customHeight="1">
      <c r="A18" s="36">
        <v>3</v>
      </c>
      <c r="B18" s="41" t="s">
        <v>143</v>
      </c>
      <c r="C18" s="55" t="s">
        <v>105</v>
      </c>
      <c r="D18" s="41" t="s">
        <v>171</v>
      </c>
      <c r="E18" s="36"/>
      <c r="F18" s="40">
        <v>627.77</v>
      </c>
      <c r="G18" s="36">
        <v>2067.87</v>
      </c>
      <c r="H18" s="29"/>
      <c r="I18" s="8"/>
      <c r="J18" s="8"/>
      <c r="K18" s="8"/>
    </row>
    <row r="19" spans="1:11" ht="15.75" hidden="1" customHeight="1">
      <c r="A19" s="36"/>
      <c r="B19" s="41" t="s">
        <v>112</v>
      </c>
      <c r="C19" s="55" t="s">
        <v>113</v>
      </c>
      <c r="D19" s="41" t="s">
        <v>114</v>
      </c>
      <c r="E19" s="36"/>
      <c r="F19" s="40">
        <v>211.74</v>
      </c>
      <c r="G19" s="36"/>
      <c r="H19" s="29"/>
      <c r="I19" s="8"/>
      <c r="J19" s="8"/>
      <c r="K19" s="8"/>
    </row>
    <row r="20" spans="1:11" ht="13.5" hidden="1" customHeight="1">
      <c r="A20" s="36">
        <v>4</v>
      </c>
      <c r="B20" s="41" t="s">
        <v>115</v>
      </c>
      <c r="C20" s="55" t="s">
        <v>105</v>
      </c>
      <c r="D20" s="41" t="s">
        <v>43</v>
      </c>
      <c r="E20" s="36"/>
      <c r="F20" s="40">
        <v>271.12</v>
      </c>
      <c r="G20" s="36">
        <v>17.97</v>
      </c>
      <c r="H20" s="29"/>
      <c r="I20" s="8"/>
      <c r="J20" s="8"/>
      <c r="K20" s="8"/>
    </row>
    <row r="21" spans="1:11" ht="21" hidden="1" customHeight="1">
      <c r="A21" s="36">
        <v>5</v>
      </c>
      <c r="B21" s="41" t="s">
        <v>116</v>
      </c>
      <c r="C21" s="55" t="s">
        <v>105</v>
      </c>
      <c r="D21" s="41" t="s">
        <v>43</v>
      </c>
      <c r="E21" s="36"/>
      <c r="F21" s="40">
        <v>268.92</v>
      </c>
      <c r="G21" s="92">
        <v>2.2000000000000002</v>
      </c>
      <c r="H21" s="29"/>
      <c r="I21" s="8"/>
      <c r="J21" s="8"/>
      <c r="K21" s="8"/>
    </row>
    <row r="22" spans="1:11" ht="29.25" hidden="1" customHeight="1">
      <c r="A22" s="36"/>
      <c r="B22" s="41" t="s">
        <v>117</v>
      </c>
      <c r="C22" s="55" t="s">
        <v>54</v>
      </c>
      <c r="D22" s="41" t="s">
        <v>114</v>
      </c>
      <c r="E22" s="36"/>
      <c r="F22" s="40">
        <v>335.05</v>
      </c>
      <c r="G22" s="36"/>
      <c r="H22" s="29"/>
      <c r="I22" s="8"/>
      <c r="J22" s="8"/>
      <c r="K22" s="8"/>
    </row>
    <row r="23" spans="1:11" ht="15" hidden="1" customHeight="1">
      <c r="A23" s="36"/>
      <c r="B23" s="41" t="s">
        <v>118</v>
      </c>
      <c r="C23" s="55" t="s">
        <v>54</v>
      </c>
      <c r="D23" s="41" t="s">
        <v>114</v>
      </c>
      <c r="E23" s="36"/>
      <c r="F23" s="40">
        <v>55.1</v>
      </c>
      <c r="G23" s="36"/>
      <c r="H23" s="29"/>
      <c r="I23" s="8"/>
      <c r="J23" s="8"/>
      <c r="K23" s="8"/>
    </row>
    <row r="24" spans="1:11" ht="30" hidden="1" customHeight="1">
      <c r="A24" s="36"/>
      <c r="B24" s="41" t="s">
        <v>119</v>
      </c>
      <c r="C24" s="55" t="s">
        <v>54</v>
      </c>
      <c r="D24" s="41" t="s">
        <v>120</v>
      </c>
      <c r="E24" s="36"/>
      <c r="F24" s="40">
        <v>484.94</v>
      </c>
      <c r="G24" s="36"/>
      <c r="H24" s="29"/>
      <c r="I24" s="8"/>
      <c r="J24" s="8"/>
      <c r="K24" s="8"/>
    </row>
    <row r="25" spans="1:11" ht="16.5" hidden="1" customHeight="1">
      <c r="A25" s="36"/>
      <c r="B25" s="41" t="s">
        <v>121</v>
      </c>
      <c r="C25" s="55" t="s">
        <v>54</v>
      </c>
      <c r="D25" s="41" t="s">
        <v>55</v>
      </c>
      <c r="E25" s="36"/>
      <c r="F25" s="40">
        <v>268.92</v>
      </c>
      <c r="G25" s="36"/>
      <c r="H25" s="29"/>
      <c r="I25" s="8"/>
      <c r="J25" s="8"/>
      <c r="K25" s="8"/>
    </row>
    <row r="26" spans="1:11" ht="16.5" hidden="1" customHeight="1">
      <c r="A26" s="36"/>
      <c r="B26" s="41" t="s">
        <v>122</v>
      </c>
      <c r="C26" s="55" t="s">
        <v>54</v>
      </c>
      <c r="D26" s="41" t="s">
        <v>114</v>
      </c>
      <c r="E26" s="36"/>
      <c r="F26" s="40">
        <v>684.05</v>
      </c>
      <c r="G26" s="36"/>
      <c r="H26" s="29"/>
      <c r="I26" s="8"/>
      <c r="J26" s="8"/>
      <c r="K26" s="8"/>
    </row>
    <row r="27" spans="1:11" ht="16.5" customHeight="1">
      <c r="A27" s="56">
        <v>4</v>
      </c>
      <c r="B27" s="41" t="s">
        <v>69</v>
      </c>
      <c r="C27" s="55" t="s">
        <v>33</v>
      </c>
      <c r="D27" s="41" t="s">
        <v>144</v>
      </c>
      <c r="E27" s="20">
        <v>506.1</v>
      </c>
      <c r="F27" s="40">
        <v>182.96</v>
      </c>
      <c r="G27" s="21">
        <v>556.5</v>
      </c>
      <c r="H27" s="29"/>
      <c r="I27" s="8"/>
      <c r="J27" s="8"/>
      <c r="K27" s="8"/>
    </row>
    <row r="28" spans="1:11" ht="15" customHeight="1">
      <c r="A28" s="56">
        <v>5</v>
      </c>
      <c r="B28" s="95" t="s">
        <v>23</v>
      </c>
      <c r="C28" s="55" t="s">
        <v>24</v>
      </c>
      <c r="D28" s="95" t="s">
        <v>145</v>
      </c>
      <c r="E28" s="20">
        <v>506.1</v>
      </c>
      <c r="F28" s="40">
        <v>4.5599999999999996</v>
      </c>
      <c r="G28" s="21">
        <v>7005.98</v>
      </c>
      <c r="H28" s="29"/>
      <c r="I28" s="8"/>
      <c r="J28" s="8"/>
      <c r="K28" s="8"/>
    </row>
    <row r="29" spans="1:11" ht="15" customHeight="1">
      <c r="A29" s="167" t="s">
        <v>100</v>
      </c>
      <c r="B29" s="167"/>
      <c r="C29" s="167"/>
      <c r="D29" s="167"/>
      <c r="E29" s="167"/>
      <c r="F29" s="167"/>
      <c r="G29" s="167"/>
      <c r="H29" s="29"/>
      <c r="I29" s="8"/>
      <c r="J29" s="8"/>
      <c r="K29" s="8"/>
    </row>
    <row r="30" spans="1:11" ht="13.5" hidden="1" customHeight="1">
      <c r="A30" s="56"/>
      <c r="B30" s="66" t="s">
        <v>28</v>
      </c>
      <c r="C30" s="66"/>
      <c r="D30" s="66"/>
      <c r="E30" s="66"/>
      <c r="F30" s="66"/>
      <c r="G30" s="21"/>
      <c r="H30" s="29"/>
      <c r="I30" s="8"/>
      <c r="J30" s="8"/>
      <c r="K30" s="8"/>
    </row>
    <row r="31" spans="1:11" ht="45" hidden="1" customHeight="1">
      <c r="A31" s="56">
        <v>2</v>
      </c>
      <c r="B31" s="41" t="s">
        <v>128</v>
      </c>
      <c r="C31" s="55" t="s">
        <v>108</v>
      </c>
      <c r="D31" s="41" t="s">
        <v>123</v>
      </c>
      <c r="E31" s="15">
        <v>2.31</v>
      </c>
      <c r="F31" s="40">
        <v>193.97</v>
      </c>
      <c r="G31" s="14">
        <v>187.63</v>
      </c>
      <c r="H31" s="29"/>
      <c r="I31" s="8"/>
      <c r="J31" s="8"/>
      <c r="K31" s="8"/>
    </row>
    <row r="32" spans="1:11" ht="15" hidden="1" customHeight="1">
      <c r="A32" s="56">
        <v>3</v>
      </c>
      <c r="B32" s="41" t="s">
        <v>127</v>
      </c>
      <c r="C32" s="55" t="s">
        <v>108</v>
      </c>
      <c r="D32" s="41" t="s">
        <v>124</v>
      </c>
      <c r="E32" s="14">
        <f>0.0024*3*4.5</f>
        <v>3.2399999999999998E-2</v>
      </c>
      <c r="F32" s="40">
        <v>321.82</v>
      </c>
      <c r="G32" s="21">
        <v>836.01</v>
      </c>
      <c r="H32" s="29"/>
      <c r="I32" s="8"/>
      <c r="J32" s="8"/>
      <c r="K32" s="8"/>
    </row>
    <row r="33" spans="1:12" ht="15" hidden="1" customHeight="1">
      <c r="A33" s="56">
        <v>4</v>
      </c>
      <c r="B33" s="41" t="s">
        <v>27</v>
      </c>
      <c r="C33" s="55" t="s">
        <v>108</v>
      </c>
      <c r="D33" s="41" t="s">
        <v>55</v>
      </c>
      <c r="E33" s="19">
        <v>0</v>
      </c>
      <c r="F33" s="40">
        <v>3758.28</v>
      </c>
      <c r="G33" s="21">
        <v>0</v>
      </c>
      <c r="H33" s="29"/>
      <c r="I33" s="8"/>
    </row>
    <row r="34" spans="1:12" ht="24" hidden="1" customHeight="1">
      <c r="A34" s="56">
        <v>5</v>
      </c>
      <c r="B34" s="41" t="s">
        <v>126</v>
      </c>
      <c r="C34" s="55" t="s">
        <v>31</v>
      </c>
      <c r="D34" s="41" t="s">
        <v>68</v>
      </c>
      <c r="E34" s="19">
        <v>0</v>
      </c>
      <c r="F34" s="40">
        <v>70.540000000000006</v>
      </c>
      <c r="G34" s="21">
        <v>0</v>
      </c>
      <c r="H34" s="30"/>
    </row>
    <row r="35" spans="1:12" ht="24" hidden="1" customHeight="1">
      <c r="A35" s="56">
        <v>4</v>
      </c>
      <c r="B35" s="41" t="s">
        <v>70</v>
      </c>
      <c r="C35" s="55" t="s">
        <v>33</v>
      </c>
      <c r="D35" s="41" t="s">
        <v>72</v>
      </c>
      <c r="E35" s="14">
        <v>3.75</v>
      </c>
      <c r="F35" s="40">
        <v>238.07</v>
      </c>
      <c r="G35" s="14">
        <v>488.16</v>
      </c>
      <c r="H35" s="30"/>
    </row>
    <row r="36" spans="1:12" ht="15.75" hidden="1" customHeight="1">
      <c r="A36" s="36">
        <v>8</v>
      </c>
      <c r="B36" s="41" t="s">
        <v>71</v>
      </c>
      <c r="C36" s="55" t="s">
        <v>32</v>
      </c>
      <c r="D36" s="41" t="s">
        <v>72</v>
      </c>
      <c r="E36" s="14"/>
      <c r="F36" s="40">
        <v>1413.96</v>
      </c>
      <c r="G36" s="14">
        <v>0</v>
      </c>
      <c r="H36" s="30"/>
    </row>
    <row r="37" spans="1:12" ht="15.75" customHeight="1">
      <c r="A37" s="56"/>
      <c r="B37" s="64" t="s">
        <v>5</v>
      </c>
      <c r="C37" s="64"/>
      <c r="D37" s="64"/>
      <c r="E37" s="14"/>
      <c r="F37" s="15"/>
      <c r="G37" s="21"/>
      <c r="H37" s="30"/>
    </row>
    <row r="38" spans="1:12" ht="15.75" customHeight="1">
      <c r="A38" s="42">
        <v>6</v>
      </c>
      <c r="B38" s="43" t="s">
        <v>26</v>
      </c>
      <c r="C38" s="55" t="s">
        <v>32</v>
      </c>
      <c r="D38" s="41"/>
      <c r="E38" s="14">
        <v>0</v>
      </c>
      <c r="F38" s="40">
        <v>1900.37</v>
      </c>
      <c r="G38" s="14">
        <v>950.19</v>
      </c>
      <c r="H38" s="30"/>
    </row>
    <row r="39" spans="1:12" ht="31.5" customHeight="1">
      <c r="A39" s="42">
        <v>7</v>
      </c>
      <c r="B39" s="43" t="s">
        <v>146</v>
      </c>
      <c r="C39" s="86" t="s">
        <v>29</v>
      </c>
      <c r="D39" s="41" t="s">
        <v>106</v>
      </c>
      <c r="E39" s="14">
        <v>0</v>
      </c>
      <c r="F39" s="40">
        <v>2616.4899999999998</v>
      </c>
      <c r="G39" s="14">
        <v>461.81</v>
      </c>
      <c r="H39" s="30"/>
    </row>
    <row r="40" spans="1:12" ht="15.75" customHeight="1">
      <c r="A40" s="42">
        <v>8</v>
      </c>
      <c r="B40" s="41" t="s">
        <v>147</v>
      </c>
      <c r="C40" s="55" t="s">
        <v>29</v>
      </c>
      <c r="D40" s="41" t="s">
        <v>107</v>
      </c>
      <c r="E40" s="14">
        <v>0</v>
      </c>
      <c r="F40" s="40">
        <v>436.45</v>
      </c>
      <c r="G40" s="14">
        <v>398.01</v>
      </c>
      <c r="H40" s="30"/>
    </row>
    <row r="41" spans="1:12" ht="47.25" customHeight="1">
      <c r="A41" s="42">
        <v>9</v>
      </c>
      <c r="B41" s="41" t="s">
        <v>148</v>
      </c>
      <c r="C41" s="55" t="s">
        <v>108</v>
      </c>
      <c r="D41" s="41" t="s">
        <v>149</v>
      </c>
      <c r="E41" s="14">
        <v>0</v>
      </c>
      <c r="F41" s="40">
        <v>7221.21</v>
      </c>
      <c r="G41" s="14">
        <v>1019.63</v>
      </c>
      <c r="H41" s="30"/>
      <c r="J41" s="23"/>
      <c r="K41" s="24"/>
      <c r="L41" s="25"/>
    </row>
    <row r="42" spans="1:12" ht="15.75" customHeight="1">
      <c r="A42" s="42">
        <v>10</v>
      </c>
      <c r="B42" s="41" t="s">
        <v>150</v>
      </c>
      <c r="C42" s="55" t="s">
        <v>108</v>
      </c>
      <c r="D42" s="41" t="s">
        <v>74</v>
      </c>
      <c r="E42" s="14">
        <v>0</v>
      </c>
      <c r="F42" s="40">
        <v>533.45000000000005</v>
      </c>
      <c r="G42" s="14">
        <v>141.22999999999999</v>
      </c>
      <c r="H42" s="30"/>
      <c r="J42" s="23"/>
      <c r="K42" s="24"/>
      <c r="L42" s="25"/>
    </row>
    <row r="43" spans="1:12" ht="14.25" customHeight="1">
      <c r="A43" s="42">
        <v>11</v>
      </c>
      <c r="B43" s="43" t="s">
        <v>75</v>
      </c>
      <c r="C43" s="86" t="s">
        <v>33</v>
      </c>
      <c r="D43" s="43"/>
      <c r="E43" s="14"/>
      <c r="F43" s="44">
        <v>992.97</v>
      </c>
      <c r="G43" s="14">
        <v>49.65</v>
      </c>
      <c r="H43" s="30"/>
      <c r="J43" s="23"/>
      <c r="K43" s="24"/>
      <c r="L43" s="25"/>
    </row>
    <row r="44" spans="1:12" ht="15.75" customHeight="1">
      <c r="A44" s="174" t="s">
        <v>183</v>
      </c>
      <c r="B44" s="175"/>
      <c r="C44" s="175"/>
      <c r="D44" s="175"/>
      <c r="E44" s="175"/>
      <c r="F44" s="175"/>
      <c r="G44" s="176"/>
      <c r="H44" s="30"/>
      <c r="J44" s="23"/>
      <c r="K44" s="24"/>
      <c r="L44" s="25"/>
    </row>
    <row r="45" spans="1:12" ht="17.25" hidden="1" customHeight="1">
      <c r="A45" s="56">
        <v>15</v>
      </c>
      <c r="B45" s="41" t="s">
        <v>129</v>
      </c>
      <c r="C45" s="55" t="s">
        <v>108</v>
      </c>
      <c r="D45" s="41" t="s">
        <v>43</v>
      </c>
      <c r="E45" s="21">
        <v>0.42</v>
      </c>
      <c r="F45" s="47">
        <v>1283.46</v>
      </c>
      <c r="G45" s="22">
        <v>0</v>
      </c>
      <c r="H45" s="30"/>
      <c r="J45" s="23"/>
      <c r="K45" s="24"/>
      <c r="L45" s="25"/>
    </row>
    <row r="46" spans="1:12" ht="15" hidden="1" customHeight="1">
      <c r="A46" s="56">
        <v>16</v>
      </c>
      <c r="B46" s="41" t="s">
        <v>36</v>
      </c>
      <c r="C46" s="55" t="s">
        <v>108</v>
      </c>
      <c r="D46" s="41" t="s">
        <v>43</v>
      </c>
      <c r="E46" s="21">
        <v>1.35</v>
      </c>
      <c r="F46" s="47">
        <v>4192.6400000000003</v>
      </c>
      <c r="G46" s="22">
        <v>0</v>
      </c>
      <c r="H46" s="30"/>
      <c r="J46" s="23"/>
      <c r="K46" s="24"/>
      <c r="L46" s="25"/>
    </row>
    <row r="47" spans="1:12" ht="13.5" hidden="1" customHeight="1">
      <c r="A47" s="56">
        <v>17</v>
      </c>
      <c r="B47" s="41" t="s">
        <v>37</v>
      </c>
      <c r="C47" s="55" t="s">
        <v>108</v>
      </c>
      <c r="D47" s="41" t="s">
        <v>43</v>
      </c>
      <c r="E47" s="21">
        <v>0.03</v>
      </c>
      <c r="F47" s="47">
        <v>1711.28</v>
      </c>
      <c r="G47" s="22">
        <v>0</v>
      </c>
      <c r="H47" s="30"/>
      <c r="J47" s="23"/>
      <c r="K47" s="24"/>
      <c r="L47" s="25"/>
    </row>
    <row r="48" spans="1:12" ht="15.75" hidden="1" customHeight="1">
      <c r="A48" s="56">
        <v>18</v>
      </c>
      <c r="B48" s="41" t="s">
        <v>38</v>
      </c>
      <c r="C48" s="55" t="s">
        <v>108</v>
      </c>
      <c r="D48" s="41" t="s">
        <v>43</v>
      </c>
      <c r="E48" s="21">
        <v>0.33</v>
      </c>
      <c r="F48" s="47">
        <v>1179.73</v>
      </c>
      <c r="G48" s="22">
        <v>0</v>
      </c>
      <c r="H48" s="30"/>
      <c r="J48" s="23"/>
      <c r="K48" s="24"/>
      <c r="L48" s="25"/>
    </row>
    <row r="49" spans="1:12" ht="15.75" hidden="1" customHeight="1">
      <c r="A49" s="56">
        <v>19</v>
      </c>
      <c r="B49" s="41" t="s">
        <v>34</v>
      </c>
      <c r="C49" s="55" t="s">
        <v>35</v>
      </c>
      <c r="D49" s="41" t="s">
        <v>43</v>
      </c>
      <c r="E49" s="21">
        <v>0.22</v>
      </c>
      <c r="F49" s="47">
        <v>90.61</v>
      </c>
      <c r="G49" s="14">
        <v>0</v>
      </c>
      <c r="H49" s="30"/>
      <c r="J49" s="23"/>
      <c r="K49" s="24"/>
      <c r="L49" s="25"/>
    </row>
    <row r="50" spans="1:12" ht="15.75" customHeight="1">
      <c r="A50" s="56">
        <v>12</v>
      </c>
      <c r="B50" s="41" t="s">
        <v>59</v>
      </c>
      <c r="C50" s="55" t="s">
        <v>108</v>
      </c>
      <c r="D50" s="41" t="s">
        <v>180</v>
      </c>
      <c r="E50" s="21">
        <v>0.22</v>
      </c>
      <c r="F50" s="47">
        <v>1711.28</v>
      </c>
      <c r="G50" s="22">
        <v>2629.21</v>
      </c>
      <c r="H50" s="30"/>
      <c r="J50" s="23"/>
      <c r="K50" s="24"/>
      <c r="L50" s="25"/>
    </row>
    <row r="51" spans="1:12" ht="15.75" hidden="1" customHeight="1">
      <c r="A51" s="56">
        <v>12</v>
      </c>
      <c r="B51" s="41" t="s">
        <v>109</v>
      </c>
      <c r="C51" s="55" t="s">
        <v>108</v>
      </c>
      <c r="D51" s="41" t="s">
        <v>43</v>
      </c>
      <c r="E51" s="21">
        <v>0.02</v>
      </c>
      <c r="F51" s="47">
        <v>1510.06</v>
      </c>
      <c r="G51" s="22">
        <v>2320.06</v>
      </c>
      <c r="H51" s="30"/>
      <c r="J51" s="23"/>
      <c r="K51" s="24"/>
      <c r="L51" s="25"/>
    </row>
    <row r="52" spans="1:12" ht="15.75" hidden="1" customHeight="1">
      <c r="A52" s="56">
        <v>13</v>
      </c>
      <c r="B52" s="41" t="s">
        <v>110</v>
      </c>
      <c r="C52" s="55" t="s">
        <v>39</v>
      </c>
      <c r="D52" s="41" t="s">
        <v>43</v>
      </c>
      <c r="E52" s="21">
        <v>0.01</v>
      </c>
      <c r="F52" s="47">
        <v>3850.4</v>
      </c>
      <c r="G52" s="22">
        <v>346.54</v>
      </c>
      <c r="H52" s="30"/>
      <c r="J52" s="23"/>
      <c r="K52" s="24"/>
      <c r="L52" s="25"/>
    </row>
    <row r="53" spans="1:12" ht="15.75" hidden="1" customHeight="1">
      <c r="A53" s="56">
        <v>14</v>
      </c>
      <c r="B53" s="41" t="s">
        <v>40</v>
      </c>
      <c r="C53" s="55" t="s">
        <v>41</v>
      </c>
      <c r="D53" s="41" t="s">
        <v>43</v>
      </c>
      <c r="E53" s="21">
        <v>8</v>
      </c>
      <c r="F53" s="47">
        <v>7033.13</v>
      </c>
      <c r="G53" s="14">
        <v>70.33</v>
      </c>
      <c r="H53" s="30"/>
      <c r="J53" s="23"/>
      <c r="K53" s="24"/>
      <c r="L53" s="25"/>
    </row>
    <row r="54" spans="1:12" ht="15.75" hidden="1" customHeight="1">
      <c r="A54" s="56">
        <v>24</v>
      </c>
      <c r="B54" s="41" t="s">
        <v>42</v>
      </c>
      <c r="C54" s="55" t="s">
        <v>130</v>
      </c>
      <c r="D54" s="41" t="s">
        <v>55</v>
      </c>
      <c r="E54" s="21">
        <v>16</v>
      </c>
      <c r="F54" s="48">
        <v>81.73</v>
      </c>
      <c r="G54" s="14">
        <v>0</v>
      </c>
      <c r="H54" s="30"/>
      <c r="J54" s="23"/>
      <c r="K54" s="24"/>
      <c r="L54" s="25"/>
    </row>
    <row r="55" spans="1:12" ht="15.75" customHeight="1">
      <c r="A55" s="174" t="s">
        <v>184</v>
      </c>
      <c r="B55" s="175"/>
      <c r="C55" s="175"/>
      <c r="D55" s="175"/>
      <c r="E55" s="175"/>
      <c r="F55" s="175"/>
      <c r="G55" s="176"/>
      <c r="H55" s="30"/>
      <c r="J55" s="23"/>
      <c r="K55" s="24"/>
      <c r="L55" s="25"/>
    </row>
    <row r="56" spans="1:12" ht="15.75" customHeight="1">
      <c r="A56" s="69"/>
      <c r="B56" s="63" t="s">
        <v>44</v>
      </c>
      <c r="C56" s="18"/>
      <c r="D56" s="17"/>
      <c r="E56" s="17"/>
      <c r="F56" s="36"/>
      <c r="G56" s="21"/>
      <c r="H56" s="30"/>
      <c r="J56" s="23"/>
      <c r="K56" s="24"/>
      <c r="L56" s="25"/>
    </row>
    <row r="57" spans="1:12" ht="31.5" customHeight="1">
      <c r="A57" s="56">
        <v>13</v>
      </c>
      <c r="B57" s="41" t="s">
        <v>131</v>
      </c>
      <c r="C57" s="55" t="s">
        <v>105</v>
      </c>
      <c r="D57" s="41" t="s">
        <v>132</v>
      </c>
      <c r="E57" s="21">
        <v>0</v>
      </c>
      <c r="F57" s="47">
        <v>2306.62</v>
      </c>
      <c r="G57" s="22">
        <v>265.26</v>
      </c>
      <c r="H57" s="30"/>
      <c r="J57" s="23"/>
      <c r="K57" s="24"/>
      <c r="L57" s="25"/>
    </row>
    <row r="58" spans="1:12" ht="15.75" hidden="1" customHeight="1">
      <c r="A58" s="56"/>
      <c r="B58" s="96" t="s">
        <v>152</v>
      </c>
      <c r="C58" s="68" t="s">
        <v>153</v>
      </c>
      <c r="D58" s="96" t="s">
        <v>72</v>
      </c>
      <c r="E58" s="109"/>
      <c r="F58" s="110">
        <v>1501</v>
      </c>
      <c r="G58" s="22"/>
      <c r="H58" s="30"/>
      <c r="J58" s="23"/>
      <c r="K58" s="24"/>
      <c r="L58" s="25"/>
    </row>
    <row r="59" spans="1:12" ht="15.75" customHeight="1">
      <c r="A59" s="56"/>
      <c r="B59" s="101" t="s">
        <v>45</v>
      </c>
      <c r="C59" s="115"/>
      <c r="D59" s="115"/>
      <c r="E59" s="115"/>
      <c r="F59" s="115"/>
      <c r="G59" s="46"/>
      <c r="H59" s="30"/>
      <c r="J59" s="23"/>
      <c r="K59" s="24"/>
      <c r="L59" s="25"/>
    </row>
    <row r="60" spans="1:12" ht="31.5" hidden="1" customHeight="1">
      <c r="A60" s="56">
        <v>27</v>
      </c>
      <c r="B60" s="111" t="s">
        <v>133</v>
      </c>
      <c r="C60" s="112"/>
      <c r="D60" s="26" t="s">
        <v>55</v>
      </c>
      <c r="E60" s="113">
        <v>0</v>
      </c>
      <c r="F60" s="114">
        <v>848.37</v>
      </c>
      <c r="G60" s="22">
        <f>E60/2</f>
        <v>0</v>
      </c>
      <c r="H60" s="30"/>
      <c r="J60" s="23"/>
      <c r="K60" s="24"/>
      <c r="L60" s="25"/>
    </row>
    <row r="61" spans="1:12" ht="15.75" customHeight="1">
      <c r="A61" s="56">
        <v>14</v>
      </c>
      <c r="B61" s="96" t="s">
        <v>163</v>
      </c>
      <c r="C61" s="68" t="s">
        <v>25</v>
      </c>
      <c r="D61" s="96" t="s">
        <v>156</v>
      </c>
      <c r="E61" s="21"/>
      <c r="F61" s="97">
        <v>2.59</v>
      </c>
      <c r="G61" s="22">
        <v>363.9</v>
      </c>
      <c r="H61" s="30"/>
      <c r="J61" s="23"/>
      <c r="K61" s="24"/>
      <c r="L61" s="25"/>
    </row>
    <row r="62" spans="1:12" ht="15.75" customHeight="1">
      <c r="A62" s="56"/>
      <c r="B62" s="85" t="s">
        <v>46</v>
      </c>
      <c r="C62" s="18"/>
      <c r="D62" s="17"/>
      <c r="E62" s="17"/>
      <c r="F62" s="36"/>
      <c r="G62" s="21"/>
      <c r="H62" s="30"/>
      <c r="J62" s="23"/>
      <c r="K62" s="24"/>
      <c r="L62" s="25"/>
    </row>
    <row r="63" spans="1:12" ht="15" customHeight="1">
      <c r="A63" s="56">
        <v>15</v>
      </c>
      <c r="B63" s="90" t="s">
        <v>47</v>
      </c>
      <c r="C63" s="51" t="s">
        <v>130</v>
      </c>
      <c r="D63" s="50" t="s">
        <v>72</v>
      </c>
      <c r="E63" s="21">
        <v>0</v>
      </c>
      <c r="F63" s="47">
        <v>276.74</v>
      </c>
      <c r="G63" s="22">
        <v>830.22</v>
      </c>
      <c r="H63" s="30"/>
      <c r="J63" s="23"/>
      <c r="K63" s="24"/>
      <c r="L63" s="25"/>
    </row>
    <row r="64" spans="1:12" ht="15" hidden="1" customHeight="1">
      <c r="A64" s="36">
        <v>29</v>
      </c>
      <c r="B64" s="90" t="s">
        <v>48</v>
      </c>
      <c r="C64" s="51" t="s">
        <v>130</v>
      </c>
      <c r="D64" s="50" t="s">
        <v>125</v>
      </c>
      <c r="E64" s="21">
        <v>0</v>
      </c>
      <c r="F64" s="47">
        <v>94.89</v>
      </c>
      <c r="G64" s="22">
        <f>E64/2</f>
        <v>0</v>
      </c>
      <c r="H64" s="30"/>
      <c r="J64" s="23"/>
    </row>
    <row r="65" spans="1:20" ht="15" hidden="1" customHeight="1">
      <c r="A65" s="36">
        <v>8</v>
      </c>
      <c r="B65" s="90" t="s">
        <v>49</v>
      </c>
      <c r="C65" s="53" t="s">
        <v>134</v>
      </c>
      <c r="D65" s="50" t="s">
        <v>55</v>
      </c>
      <c r="E65" s="21">
        <v>13.47</v>
      </c>
      <c r="F65" s="47">
        <v>263.99</v>
      </c>
      <c r="G65" s="21">
        <v>7955.63</v>
      </c>
    </row>
    <row r="66" spans="1:20" ht="15" hidden="1" customHeight="1">
      <c r="A66" s="36">
        <v>9</v>
      </c>
      <c r="B66" s="90" t="s">
        <v>50</v>
      </c>
      <c r="C66" s="51" t="s">
        <v>135</v>
      </c>
      <c r="D66" s="50"/>
      <c r="E66" s="21">
        <v>1.35</v>
      </c>
      <c r="F66" s="47">
        <v>205.57</v>
      </c>
      <c r="G66" s="21">
        <v>619.54</v>
      </c>
    </row>
    <row r="67" spans="1:20" ht="15" hidden="1" customHeight="1">
      <c r="A67" s="36">
        <v>10</v>
      </c>
      <c r="B67" s="90" t="s">
        <v>51</v>
      </c>
      <c r="C67" s="51" t="s">
        <v>82</v>
      </c>
      <c r="D67" s="50" t="s">
        <v>55</v>
      </c>
      <c r="E67" s="21">
        <v>0</v>
      </c>
      <c r="F67" s="47">
        <v>2581.5300000000002</v>
      </c>
      <c r="G67" s="21">
        <v>12447.78</v>
      </c>
    </row>
    <row r="68" spans="1:20" ht="15.75" hidden="1" customHeight="1">
      <c r="A68" s="36">
        <v>11</v>
      </c>
      <c r="B68" s="70" t="s">
        <v>136</v>
      </c>
      <c r="C68" s="51" t="s">
        <v>33</v>
      </c>
      <c r="D68" s="50"/>
      <c r="E68" s="13">
        <v>0</v>
      </c>
      <c r="F68" s="47">
        <v>47.75</v>
      </c>
      <c r="G68" s="21"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9"/>
    </row>
    <row r="69" spans="1:20" ht="15.75" hidden="1" customHeight="1">
      <c r="A69" s="36">
        <v>12</v>
      </c>
      <c r="B69" s="70" t="s">
        <v>137</v>
      </c>
      <c r="C69" s="51" t="s">
        <v>33</v>
      </c>
      <c r="D69" s="50"/>
      <c r="E69" s="13"/>
      <c r="F69" s="47">
        <v>44.27</v>
      </c>
      <c r="G69" s="21">
        <v>543.84</v>
      </c>
      <c r="H69" s="32"/>
      <c r="I69" s="32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20" ht="15.75" hidden="1" customHeight="1">
      <c r="A70" s="36">
        <v>13</v>
      </c>
      <c r="B70" s="50" t="s">
        <v>60</v>
      </c>
      <c r="C70" s="51" t="s">
        <v>61</v>
      </c>
      <c r="D70" s="50" t="s">
        <v>55</v>
      </c>
      <c r="E70" s="13"/>
      <c r="F70" s="47">
        <v>62.07</v>
      </c>
      <c r="G70" s="21">
        <v>507.36</v>
      </c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</row>
    <row r="71" spans="1:20" ht="15.75" customHeight="1">
      <c r="A71" s="36">
        <v>16</v>
      </c>
      <c r="B71" s="50" t="s">
        <v>154</v>
      </c>
      <c r="C71" s="56" t="s">
        <v>155</v>
      </c>
      <c r="D71" s="50" t="s">
        <v>156</v>
      </c>
      <c r="E71" s="94"/>
      <c r="F71" s="47">
        <v>2.16</v>
      </c>
      <c r="G71" s="21">
        <v>3318.62</v>
      </c>
      <c r="H71" s="5"/>
      <c r="I71" s="5"/>
      <c r="J71" s="5"/>
      <c r="K71" s="5"/>
      <c r="L71" s="5"/>
      <c r="M71" s="5"/>
      <c r="N71" s="5"/>
      <c r="O71" s="5"/>
      <c r="P71" s="163"/>
      <c r="Q71" s="163"/>
      <c r="R71" s="163"/>
      <c r="S71" s="163"/>
    </row>
    <row r="72" spans="1:20" ht="15.75" hidden="1" customHeight="1">
      <c r="A72" s="69"/>
      <c r="B72" s="177" t="s">
        <v>111</v>
      </c>
      <c r="C72" s="178"/>
      <c r="D72" s="178"/>
      <c r="E72" s="178"/>
      <c r="F72" s="179"/>
      <c r="G72" s="21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20" ht="15.75" hidden="1" customHeight="1">
      <c r="A73" s="36">
        <v>36</v>
      </c>
      <c r="B73" s="41" t="s">
        <v>138</v>
      </c>
      <c r="C73" s="91"/>
      <c r="D73" s="50" t="s">
        <v>55</v>
      </c>
      <c r="E73" s="21">
        <v>0</v>
      </c>
      <c r="F73" s="49"/>
      <c r="G73" s="21">
        <v>0</v>
      </c>
    </row>
    <row r="74" spans="1:20" ht="15" customHeight="1">
      <c r="A74" s="36"/>
      <c r="B74" s="64" t="s">
        <v>77</v>
      </c>
      <c r="C74" s="64"/>
      <c r="D74" s="64"/>
      <c r="E74" s="21"/>
      <c r="F74" s="36"/>
      <c r="G74" s="21"/>
    </row>
    <row r="75" spans="1:20" ht="15.75" hidden="1" customHeight="1">
      <c r="A75" s="36">
        <v>17</v>
      </c>
      <c r="B75" s="50" t="s">
        <v>157</v>
      </c>
      <c r="C75" s="51" t="s">
        <v>158</v>
      </c>
      <c r="D75" s="50" t="s">
        <v>72</v>
      </c>
      <c r="E75" s="21"/>
      <c r="F75" s="47">
        <v>976.4</v>
      </c>
      <c r="G75" s="21">
        <v>321.74</v>
      </c>
    </row>
    <row r="76" spans="1:20" hidden="1">
      <c r="A76" s="36"/>
      <c r="B76" s="50" t="s">
        <v>159</v>
      </c>
      <c r="C76" s="51" t="s">
        <v>160</v>
      </c>
      <c r="D76" s="50"/>
      <c r="E76" s="21"/>
      <c r="F76" s="47">
        <v>650</v>
      </c>
      <c r="G76" s="21"/>
    </row>
    <row r="77" spans="1:20" hidden="1">
      <c r="A77" s="36"/>
      <c r="B77" s="50" t="s">
        <v>78</v>
      </c>
      <c r="C77" s="51" t="s">
        <v>80</v>
      </c>
      <c r="D77" s="50" t="s">
        <v>72</v>
      </c>
      <c r="E77" s="21"/>
      <c r="F77" s="47">
        <v>624.16999999999996</v>
      </c>
      <c r="G77" s="21"/>
    </row>
    <row r="78" spans="1:20" hidden="1">
      <c r="A78" s="36"/>
      <c r="B78" s="50" t="s">
        <v>79</v>
      </c>
      <c r="C78" s="51" t="s">
        <v>31</v>
      </c>
      <c r="D78" s="50" t="s">
        <v>72</v>
      </c>
      <c r="E78" s="21"/>
      <c r="F78" s="47">
        <v>1061.4100000000001</v>
      </c>
      <c r="G78" s="21"/>
    </row>
    <row r="79" spans="1:20" ht="15.75" customHeight="1">
      <c r="A79" s="36">
        <v>17</v>
      </c>
      <c r="B79" s="88" t="s">
        <v>161</v>
      </c>
      <c r="C79" s="89" t="s">
        <v>130</v>
      </c>
      <c r="D79" s="50" t="s">
        <v>30</v>
      </c>
      <c r="E79" s="21"/>
      <c r="F79" s="47">
        <v>50.69</v>
      </c>
      <c r="G79" s="21">
        <v>50.69</v>
      </c>
    </row>
    <row r="80" spans="1:20" hidden="1">
      <c r="A80" s="36"/>
      <c r="B80" s="65" t="s">
        <v>81</v>
      </c>
      <c r="C80" s="51"/>
      <c r="D80" s="36"/>
      <c r="E80" s="21"/>
      <c r="F80" s="47"/>
      <c r="G80" s="21"/>
    </row>
    <row r="81" spans="1:7" hidden="1">
      <c r="A81" s="36">
        <v>39</v>
      </c>
      <c r="B81" s="52" t="s">
        <v>162</v>
      </c>
      <c r="C81" s="53" t="s">
        <v>82</v>
      </c>
      <c r="D81" s="90"/>
      <c r="E81" s="21"/>
      <c r="F81" s="48">
        <v>3433.69</v>
      </c>
      <c r="G81" s="21">
        <v>0</v>
      </c>
    </row>
    <row r="82" spans="1:7" ht="15.75" customHeight="1">
      <c r="A82" s="180" t="s">
        <v>185</v>
      </c>
      <c r="B82" s="181"/>
      <c r="C82" s="181"/>
      <c r="D82" s="181"/>
      <c r="E82" s="181"/>
      <c r="F82" s="181"/>
      <c r="G82" s="182"/>
    </row>
    <row r="83" spans="1:7">
      <c r="A83" s="36">
        <v>18</v>
      </c>
      <c r="B83" s="41" t="s">
        <v>139</v>
      </c>
      <c r="C83" s="51" t="s">
        <v>56</v>
      </c>
      <c r="D83" s="142" t="s">
        <v>57</v>
      </c>
      <c r="E83" s="17">
        <v>327.9</v>
      </c>
      <c r="F83" s="47">
        <v>2.95</v>
      </c>
      <c r="G83" s="14">
        <v>4532.38</v>
      </c>
    </row>
    <row r="84" spans="1:7" ht="30">
      <c r="A84" s="36">
        <v>19</v>
      </c>
      <c r="B84" s="50" t="s">
        <v>83</v>
      </c>
      <c r="C84" s="51"/>
      <c r="D84" s="142" t="s">
        <v>57</v>
      </c>
      <c r="E84" s="17"/>
      <c r="F84" s="47">
        <v>3.05</v>
      </c>
      <c r="G84" s="14">
        <v>4686.0200000000004</v>
      </c>
    </row>
    <row r="85" spans="1:7" ht="16.5" customHeight="1">
      <c r="A85" s="69"/>
      <c r="B85" s="54" t="s">
        <v>87</v>
      </c>
      <c r="C85" s="56"/>
      <c r="D85" s="17"/>
      <c r="E85" s="17"/>
      <c r="F85" s="21"/>
      <c r="G85" s="39">
        <f>SUM(G16+G17+G18+G27+G28+G38+G39+G40+G41+G42+G43+G50+G57+G61+G63+G71+G79+G83+G84)</f>
        <v>32961.019999999997</v>
      </c>
    </row>
    <row r="86" spans="1:7" ht="16.5" customHeight="1">
      <c r="A86" s="69"/>
      <c r="B86" s="87" t="s">
        <v>63</v>
      </c>
      <c r="C86" s="87"/>
      <c r="D86" s="87"/>
      <c r="E86" s="87"/>
      <c r="F86" s="87"/>
      <c r="G86" s="87"/>
    </row>
    <row r="87" spans="1:7" ht="31.5" customHeight="1">
      <c r="A87" s="36">
        <v>20</v>
      </c>
      <c r="B87" s="88" t="s">
        <v>175</v>
      </c>
      <c r="C87" s="89" t="s">
        <v>176</v>
      </c>
      <c r="D87" s="87"/>
      <c r="E87" s="87"/>
      <c r="F87" s="36">
        <v>559.62</v>
      </c>
      <c r="G87" s="36">
        <v>1119.24</v>
      </c>
    </row>
    <row r="88" spans="1:7" ht="15.75" customHeight="1">
      <c r="A88" s="36">
        <v>21</v>
      </c>
      <c r="B88" s="88" t="s">
        <v>164</v>
      </c>
      <c r="C88" s="93" t="s">
        <v>130</v>
      </c>
      <c r="D88" s="87"/>
      <c r="E88" s="17"/>
      <c r="F88" s="47">
        <v>50.68</v>
      </c>
      <c r="G88" s="14">
        <v>1317.68</v>
      </c>
    </row>
    <row r="89" spans="1:7" ht="31.5" customHeight="1">
      <c r="A89" s="36">
        <v>22</v>
      </c>
      <c r="B89" s="88" t="s">
        <v>96</v>
      </c>
      <c r="C89" s="93" t="s">
        <v>39</v>
      </c>
      <c r="D89" s="87"/>
      <c r="E89" s="17"/>
      <c r="F89" s="47">
        <v>3397.65</v>
      </c>
      <c r="G89" s="14">
        <v>67.95</v>
      </c>
    </row>
    <row r="90" spans="1:7" ht="31.5" customHeight="1">
      <c r="A90" s="108">
        <v>23</v>
      </c>
      <c r="B90" s="88" t="s">
        <v>86</v>
      </c>
      <c r="C90" s="89" t="s">
        <v>130</v>
      </c>
      <c r="D90" s="87"/>
      <c r="E90" s="17"/>
      <c r="F90" s="47">
        <v>79.09</v>
      </c>
      <c r="G90" s="14">
        <v>79.09</v>
      </c>
    </row>
    <row r="91" spans="1:7">
      <c r="A91" s="36"/>
      <c r="B91" s="61" t="s">
        <v>52</v>
      </c>
      <c r="C91" s="57"/>
      <c r="D91" s="71"/>
      <c r="E91" s="57">
        <v>1</v>
      </c>
      <c r="F91" s="57"/>
      <c r="G91" s="39">
        <f>SUM(G87:G90)</f>
        <v>2583.96</v>
      </c>
    </row>
    <row r="92" spans="1:7" ht="15.75" customHeight="1">
      <c r="A92" s="36"/>
      <c r="B92" s="67" t="s">
        <v>84</v>
      </c>
      <c r="C92" s="17"/>
      <c r="D92" s="17"/>
      <c r="E92" s="58"/>
      <c r="F92" s="59"/>
      <c r="G92" s="20">
        <v>0</v>
      </c>
    </row>
    <row r="93" spans="1:7">
      <c r="A93" s="72"/>
      <c r="B93" s="62" t="s">
        <v>53</v>
      </c>
      <c r="C93" s="45"/>
      <c r="D93" s="45"/>
      <c r="E93" s="45"/>
      <c r="F93" s="45"/>
      <c r="G93" s="60">
        <f>G85+G91</f>
        <v>35544.979999999996</v>
      </c>
    </row>
    <row r="94" spans="1:7" ht="15.75">
      <c r="A94" s="164" t="s">
        <v>177</v>
      </c>
      <c r="B94" s="164"/>
      <c r="C94" s="164"/>
      <c r="D94" s="164"/>
      <c r="E94" s="164"/>
      <c r="F94" s="164"/>
      <c r="G94" s="164"/>
    </row>
    <row r="95" spans="1:7" ht="15.75" customHeight="1">
      <c r="A95" s="84"/>
      <c r="B95" s="165" t="s">
        <v>178</v>
      </c>
      <c r="C95" s="165"/>
      <c r="D95" s="165"/>
      <c r="E95" s="165"/>
      <c r="F95" s="165"/>
      <c r="G95" s="3"/>
    </row>
    <row r="96" spans="1:7">
      <c r="A96" s="80"/>
      <c r="B96" s="161" t="s">
        <v>6</v>
      </c>
      <c r="C96" s="161"/>
      <c r="D96" s="161"/>
      <c r="E96" s="161"/>
      <c r="F96" s="161"/>
      <c r="G96" s="5"/>
    </row>
    <row r="97" spans="1:7">
      <c r="A97" s="10"/>
      <c r="B97" s="10"/>
      <c r="C97" s="10"/>
      <c r="D97" s="10"/>
      <c r="E97" s="10"/>
      <c r="F97" s="10"/>
      <c r="G97" s="10"/>
    </row>
    <row r="98" spans="1:7" ht="15.75">
      <c r="A98" s="166" t="s">
        <v>7</v>
      </c>
      <c r="B98" s="166"/>
      <c r="C98" s="166"/>
      <c r="D98" s="166"/>
      <c r="E98" s="166"/>
      <c r="F98" s="166"/>
      <c r="G98" s="166"/>
    </row>
    <row r="99" spans="1:7" ht="15.75" customHeight="1">
      <c r="A99" s="166" t="s">
        <v>8</v>
      </c>
      <c r="B99" s="166"/>
      <c r="C99" s="166"/>
      <c r="D99" s="166"/>
      <c r="E99" s="166"/>
      <c r="F99" s="166"/>
      <c r="G99" s="166"/>
    </row>
    <row r="100" spans="1:7" ht="15.75">
      <c r="A100" s="158" t="s">
        <v>64</v>
      </c>
      <c r="B100" s="158"/>
      <c r="C100" s="158"/>
      <c r="D100" s="158"/>
      <c r="E100" s="158"/>
      <c r="F100" s="158"/>
      <c r="G100" s="158"/>
    </row>
    <row r="101" spans="1:7" ht="15.75">
      <c r="A101" s="11"/>
    </row>
    <row r="102" spans="1:7" ht="15.75">
      <c r="A102" s="159" t="s">
        <v>9</v>
      </c>
      <c r="B102" s="159"/>
      <c r="C102" s="159"/>
      <c r="D102" s="159"/>
      <c r="E102" s="159"/>
      <c r="F102" s="159"/>
      <c r="G102" s="159"/>
    </row>
    <row r="103" spans="1:7" ht="15.75">
      <c r="A103" s="4"/>
    </row>
    <row r="104" spans="1:7" ht="15.75">
      <c r="B104" s="79" t="s">
        <v>10</v>
      </c>
      <c r="C104" s="160" t="s">
        <v>179</v>
      </c>
      <c r="D104" s="160"/>
      <c r="E104" s="160"/>
      <c r="G104" s="82"/>
    </row>
    <row r="105" spans="1:7">
      <c r="A105" s="80"/>
      <c r="C105" s="161" t="s">
        <v>11</v>
      </c>
      <c r="D105" s="161"/>
      <c r="E105" s="161"/>
      <c r="G105" s="83" t="s">
        <v>12</v>
      </c>
    </row>
    <row r="106" spans="1:7" ht="15.75">
      <c r="A106" s="32"/>
      <c r="C106" s="12"/>
      <c r="D106" s="12"/>
      <c r="F106" s="12"/>
    </row>
    <row r="107" spans="1:7" ht="15.75" customHeight="1">
      <c r="B107" s="79" t="s">
        <v>13</v>
      </c>
      <c r="C107" s="162"/>
      <c r="D107" s="162"/>
      <c r="E107" s="162"/>
      <c r="G107" s="82"/>
    </row>
    <row r="108" spans="1:7" ht="15.75" customHeight="1">
      <c r="A108" s="80"/>
      <c r="C108" s="163" t="s">
        <v>11</v>
      </c>
      <c r="D108" s="163"/>
      <c r="E108" s="163"/>
      <c r="G108" s="83" t="s">
        <v>12</v>
      </c>
    </row>
    <row r="109" spans="1:7" ht="15.75" customHeight="1">
      <c r="A109" s="4" t="s">
        <v>14</v>
      </c>
    </row>
    <row r="110" spans="1:7">
      <c r="A110" s="156" t="s">
        <v>15</v>
      </c>
      <c r="B110" s="156"/>
      <c r="C110" s="156"/>
      <c r="D110" s="156"/>
      <c r="E110" s="156"/>
      <c r="F110" s="156"/>
      <c r="G110" s="156"/>
    </row>
    <row r="111" spans="1:7" ht="45" customHeight="1">
      <c r="A111" s="157" t="s">
        <v>16</v>
      </c>
      <c r="B111" s="157"/>
      <c r="C111" s="157"/>
      <c r="D111" s="157"/>
      <c r="E111" s="157"/>
      <c r="F111" s="157"/>
      <c r="G111" s="157"/>
    </row>
    <row r="112" spans="1:7" ht="30" customHeight="1">
      <c r="A112" s="157" t="s">
        <v>17</v>
      </c>
      <c r="B112" s="157"/>
      <c r="C112" s="157"/>
      <c r="D112" s="157"/>
      <c r="E112" s="157"/>
      <c r="F112" s="157"/>
      <c r="G112" s="157"/>
    </row>
    <row r="113" spans="1:7" ht="30" customHeight="1">
      <c r="A113" s="157" t="s">
        <v>21</v>
      </c>
      <c r="B113" s="157"/>
      <c r="C113" s="157"/>
      <c r="D113" s="157"/>
      <c r="E113" s="157"/>
      <c r="F113" s="157"/>
      <c r="G113" s="157"/>
    </row>
    <row r="114" spans="1:7" ht="15" customHeight="1">
      <c r="A114" s="157" t="s">
        <v>20</v>
      </c>
      <c r="B114" s="157"/>
      <c r="C114" s="157"/>
      <c r="D114" s="157"/>
      <c r="E114" s="157"/>
      <c r="F114" s="157"/>
      <c r="G114" s="157"/>
    </row>
  </sheetData>
  <autoFilter ref="G12:G66"/>
  <mergeCells count="29">
    <mergeCell ref="C107:E107"/>
    <mergeCell ref="C108:E108"/>
    <mergeCell ref="A99:G99"/>
    <mergeCell ref="A100:G100"/>
    <mergeCell ref="A102:G102"/>
    <mergeCell ref="C104:E104"/>
    <mergeCell ref="C105:E105"/>
    <mergeCell ref="B72:F72"/>
    <mergeCell ref="A94:G94"/>
    <mergeCell ref="B95:F95"/>
    <mergeCell ref="B96:F96"/>
    <mergeCell ref="A98:G98"/>
    <mergeCell ref="A82:G82"/>
    <mergeCell ref="A3:G3"/>
    <mergeCell ref="A4:G4"/>
    <mergeCell ref="A8:G8"/>
    <mergeCell ref="A10:G10"/>
    <mergeCell ref="A5:G5"/>
    <mergeCell ref="A14:G14"/>
    <mergeCell ref="A15:G15"/>
    <mergeCell ref="P71:S71"/>
    <mergeCell ref="A29:G29"/>
    <mergeCell ref="A44:G44"/>
    <mergeCell ref="A55:G55"/>
    <mergeCell ref="A110:G110"/>
    <mergeCell ref="A111:G111"/>
    <mergeCell ref="A112:G112"/>
    <mergeCell ref="A113:G113"/>
    <mergeCell ref="A114:G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219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88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7">
        <v>42429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187.48</v>
      </c>
      <c r="H16" s="127">
        <f t="shared" ref="H16:H26" si="0">SUM(F16*G16/1000)</f>
        <v>16.056537119999998</v>
      </c>
      <c r="I16" s="14">
        <f>F16/12*G16</f>
        <v>1338.0447599999998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187.48</v>
      </c>
      <c r="H17" s="127">
        <f t="shared" si="0"/>
        <v>21.408716159999997</v>
      </c>
      <c r="I17" s="14">
        <f>F17/12*G17</f>
        <v>1784.0596799999998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539.30999999999995</v>
      </c>
      <c r="H18" s="127">
        <f t="shared" si="0"/>
        <v>21.317845679999998</v>
      </c>
      <c r="I18" s="14">
        <f>F18/12*G18</f>
        <v>1776.48714</v>
      </c>
      <c r="J18" s="29"/>
      <c r="K18" s="8"/>
      <c r="L18" s="8"/>
      <c r="M18" s="8"/>
    </row>
    <row r="19" spans="1:13" ht="15.75" hidden="1" customHeight="1">
      <c r="A19" s="36">
        <v>4</v>
      </c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181.91</v>
      </c>
      <c r="H19" s="127">
        <f t="shared" si="0"/>
        <v>0.39292560000000004</v>
      </c>
      <c r="I19" s="14">
        <v>0</v>
      </c>
      <c r="J19" s="29"/>
      <c r="K19" s="8"/>
      <c r="L19" s="8"/>
      <c r="M19" s="8"/>
    </row>
    <row r="20" spans="1:13" ht="15.75" hidden="1" customHeight="1">
      <c r="A20" s="36">
        <v>5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232.92</v>
      </c>
      <c r="H20" s="127">
        <f t="shared" si="0"/>
        <v>4.2764112E-2</v>
      </c>
      <c r="I20" s="14">
        <v>0</v>
      </c>
      <c r="J20" s="29"/>
      <c r="K20" s="8"/>
      <c r="L20" s="8"/>
      <c r="M20" s="8"/>
    </row>
    <row r="21" spans="1:13" ht="15.75" hidden="1" customHeight="1">
      <c r="A21" s="36">
        <v>6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231.03</v>
      </c>
      <c r="H21" s="127">
        <f t="shared" si="0"/>
        <v>3.7426860000000006E-2</v>
      </c>
      <c r="I21" s="14">
        <v>0</v>
      </c>
      <c r="J21" s="29"/>
      <c r="K21" s="8"/>
      <c r="L21" s="8"/>
      <c r="M21" s="8"/>
    </row>
    <row r="22" spans="1:13" ht="15.75" hidden="1" customHeight="1">
      <c r="A22" s="36">
        <v>7</v>
      </c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287.83999999999997</v>
      </c>
      <c r="H22" s="127">
        <f t="shared" si="0"/>
        <v>0.63416908799999983</v>
      </c>
      <c r="I22" s="14">
        <v>0</v>
      </c>
      <c r="J22" s="29"/>
      <c r="K22" s="8"/>
      <c r="L22" s="8"/>
      <c r="M22" s="8"/>
    </row>
    <row r="23" spans="1:13" ht="15.75" hidden="1" customHeight="1">
      <c r="A23" s="36">
        <v>8</v>
      </c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47.34</v>
      </c>
      <c r="H23" s="127">
        <f t="shared" si="0"/>
        <v>8.3507760000000007E-3</v>
      </c>
      <c r="I23" s="14">
        <v>0</v>
      </c>
      <c r="J23" s="29"/>
      <c r="K23" s="8"/>
      <c r="L23" s="8"/>
      <c r="M23" s="8"/>
    </row>
    <row r="24" spans="1:13" ht="15.75" hidden="1" customHeight="1">
      <c r="A24" s="36">
        <v>9</v>
      </c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416.62</v>
      </c>
      <c r="H24" s="127">
        <f t="shared" si="0"/>
        <v>2.9996640000000001E-2</v>
      </c>
      <c r="I24" s="14">
        <v>0</v>
      </c>
      <c r="J24" s="29"/>
      <c r="K24" s="8"/>
      <c r="L24" s="8"/>
      <c r="M24" s="8"/>
    </row>
    <row r="25" spans="1:13" ht="15.75" hidden="1" customHeight="1">
      <c r="A25" s="36">
        <v>10</v>
      </c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231.03</v>
      </c>
      <c r="H25" s="127">
        <f>G25*F25/1000</f>
        <v>2.1832334999999998E-2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>
        <v>11</v>
      </c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556.74</v>
      </c>
      <c r="H26" s="127">
        <f t="shared" si="0"/>
        <v>6.0127920000000008E-2</v>
      </c>
      <c r="I26" s="14">
        <v>0</v>
      </c>
      <c r="J26" s="29"/>
      <c r="K26" s="8"/>
      <c r="L26" s="8"/>
      <c r="M26" s="8"/>
    </row>
    <row r="27" spans="1:13" ht="15.75" customHeight="1">
      <c r="A27" s="36">
        <v>4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4">
        <f>F27/12*G27</f>
        <v>478.08916666666664</v>
      </c>
      <c r="J27" s="30"/>
    </row>
    <row r="28" spans="1:13" ht="15.75" customHeight="1">
      <c r="A28" s="36">
        <v>5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6.15</v>
      </c>
      <c r="H28" s="127">
        <f>SUM(F28*G28/1000)</f>
        <v>113.38632000000003</v>
      </c>
      <c r="I28" s="14">
        <f>F28/12*G28</f>
        <v>9448.8600000000024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29"/>
      <c r="K29" s="8"/>
      <c r="L29" s="8"/>
      <c r="M29" s="8"/>
    </row>
    <row r="30" spans="1:13" ht="15.75" hidden="1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29"/>
      <c r="K30" s="8"/>
      <c r="L30" s="8"/>
      <c r="M30" s="8"/>
    </row>
    <row r="31" spans="1:13" ht="31.5" hidden="1" customHeight="1">
      <c r="A31" s="36">
        <v>6</v>
      </c>
      <c r="B31" s="123" t="s">
        <v>128</v>
      </c>
      <c r="C31" s="124" t="s">
        <v>108</v>
      </c>
      <c r="D31" s="123" t="s">
        <v>123</v>
      </c>
      <c r="E31" s="126">
        <v>565.4</v>
      </c>
      <c r="F31" s="126">
        <f>SUM(E31*52/1000)</f>
        <v>29.4008</v>
      </c>
      <c r="G31" s="126">
        <v>166.65</v>
      </c>
      <c r="H31" s="127">
        <f t="shared" ref="H31:H36" si="1">SUM(F31*G31/1000)</f>
        <v>4.89964332</v>
      </c>
      <c r="I31" s="14">
        <f t="shared" ref="I31:I34" si="2">F31/6*G31</f>
        <v>816.6072200000001</v>
      </c>
      <c r="J31" s="29"/>
      <c r="K31" s="8"/>
      <c r="L31" s="8"/>
      <c r="M31" s="8"/>
    </row>
    <row r="32" spans="1:13" ht="31.5" hidden="1" customHeight="1">
      <c r="A32" s="36">
        <v>7</v>
      </c>
      <c r="B32" s="123" t="s">
        <v>127</v>
      </c>
      <c r="C32" s="124" t="s">
        <v>108</v>
      </c>
      <c r="D32" s="123" t="s">
        <v>124</v>
      </c>
      <c r="E32" s="126">
        <v>71.91</v>
      </c>
      <c r="F32" s="126">
        <f>SUM(E32*78/1000)</f>
        <v>5.6089799999999999</v>
      </c>
      <c r="G32" s="126">
        <v>276.48</v>
      </c>
      <c r="H32" s="127">
        <f t="shared" si="1"/>
        <v>1.5507707904000001</v>
      </c>
      <c r="I32" s="14">
        <f t="shared" si="2"/>
        <v>258.46179840000002</v>
      </c>
      <c r="J32" s="29"/>
      <c r="K32" s="8"/>
      <c r="L32" s="8"/>
      <c r="M32" s="8"/>
    </row>
    <row r="33" spans="1:14" ht="15.75" hidden="1" customHeight="1">
      <c r="A33" s="36">
        <v>14</v>
      </c>
      <c r="B33" s="123" t="s">
        <v>27</v>
      </c>
      <c r="C33" s="124" t="s">
        <v>108</v>
      </c>
      <c r="D33" s="123" t="s">
        <v>55</v>
      </c>
      <c r="E33" s="126">
        <v>565.4</v>
      </c>
      <c r="F33" s="126">
        <f>SUM(E33/1000)</f>
        <v>0.56540000000000001</v>
      </c>
      <c r="G33" s="126">
        <v>3228.73</v>
      </c>
      <c r="H33" s="127">
        <f t="shared" si="1"/>
        <v>1.825523942</v>
      </c>
      <c r="I33" s="14">
        <f>F33*G33</f>
        <v>1825.523942</v>
      </c>
      <c r="J33" s="29"/>
      <c r="K33" s="8"/>
      <c r="L33" s="8"/>
      <c r="M33" s="8"/>
    </row>
    <row r="34" spans="1:14" ht="15.75" hidden="1" customHeight="1">
      <c r="A34" s="36">
        <v>8</v>
      </c>
      <c r="B34" s="123" t="s">
        <v>126</v>
      </c>
      <c r="C34" s="124" t="s">
        <v>31</v>
      </c>
      <c r="D34" s="123" t="s">
        <v>68</v>
      </c>
      <c r="E34" s="130">
        <v>0.33333333333333331</v>
      </c>
      <c r="F34" s="126">
        <f>155/3</f>
        <v>51.666666666666664</v>
      </c>
      <c r="G34" s="126">
        <v>60.6</v>
      </c>
      <c r="H34" s="127">
        <f>SUM(G34*155/3/1000)</f>
        <v>3.1309999999999998</v>
      </c>
      <c r="I34" s="14">
        <f t="shared" si="2"/>
        <v>521.83333333333337</v>
      </c>
      <c r="J34" s="29"/>
      <c r="K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2</v>
      </c>
      <c r="G35" s="126">
        <v>204.52</v>
      </c>
      <c r="H35" s="127">
        <f t="shared" si="1"/>
        <v>0.40904000000000001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1214.74</v>
      </c>
      <c r="H36" s="127">
        <f t="shared" si="1"/>
        <v>1.2147399999999999</v>
      </c>
      <c r="I36" s="14">
        <v>0</v>
      </c>
      <c r="J36" s="30"/>
    </row>
    <row r="37" spans="1:14" ht="15.75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</row>
    <row r="38" spans="1:14" ht="15.75" customHeight="1">
      <c r="A38" s="36">
        <v>6</v>
      </c>
      <c r="B38" s="123" t="s">
        <v>26</v>
      </c>
      <c r="C38" s="124" t="s">
        <v>32</v>
      </c>
      <c r="D38" s="123"/>
      <c r="E38" s="125"/>
      <c r="F38" s="126">
        <v>5</v>
      </c>
      <c r="G38" s="126">
        <v>1632.6</v>
      </c>
      <c r="H38" s="127">
        <f t="shared" ref="H38:H44" si="3">SUM(F38*G38/1000)</f>
        <v>8.1630000000000003</v>
      </c>
      <c r="I38" s="14">
        <f t="shared" ref="I38:I44" si="4">F38/6*G38</f>
        <v>1360.5</v>
      </c>
      <c r="J38" s="30"/>
    </row>
    <row r="39" spans="1:14" ht="15.75" customHeight="1">
      <c r="A39" s="36">
        <v>7</v>
      </c>
      <c r="B39" s="123" t="s">
        <v>190</v>
      </c>
      <c r="C39" s="124" t="s">
        <v>29</v>
      </c>
      <c r="D39" s="123" t="s">
        <v>106</v>
      </c>
      <c r="E39" s="125">
        <v>71.91</v>
      </c>
      <c r="F39" s="126">
        <f>E39*30/1000</f>
        <v>2.1572999999999998</v>
      </c>
      <c r="G39" s="126">
        <v>2247.8000000000002</v>
      </c>
      <c r="H39" s="127">
        <f>G39*F39/1000</f>
        <v>4.8491789399999998</v>
      </c>
      <c r="I39" s="14">
        <f t="shared" si="4"/>
        <v>808.19649000000004</v>
      </c>
      <c r="J39" s="30"/>
      <c r="L39" s="23"/>
      <c r="M39" s="24"/>
      <c r="N39" s="25"/>
    </row>
    <row r="40" spans="1:14" ht="15.75" customHeight="1">
      <c r="A40" s="36">
        <v>8</v>
      </c>
      <c r="B40" s="123" t="s">
        <v>191</v>
      </c>
      <c r="C40" s="124" t="s">
        <v>29</v>
      </c>
      <c r="D40" s="123" t="s">
        <v>192</v>
      </c>
      <c r="E40" s="125">
        <v>294.37</v>
      </c>
      <c r="F40" s="126">
        <f>E40*12/1000</f>
        <v>3.5324400000000002</v>
      </c>
      <c r="G40" s="126">
        <v>2247.8000000000002</v>
      </c>
      <c r="H40" s="127">
        <f>G40*F40/1000</f>
        <v>7.9402186320000006</v>
      </c>
      <c r="I40" s="14">
        <f t="shared" si="4"/>
        <v>1323.3697720000002</v>
      </c>
      <c r="J40" s="30"/>
      <c r="L40" s="23"/>
      <c r="M40" s="24"/>
      <c r="N40" s="25"/>
    </row>
    <row r="41" spans="1:14" ht="15.75" customHeight="1">
      <c r="A41" s="36">
        <v>9</v>
      </c>
      <c r="B41" s="123" t="s">
        <v>73</v>
      </c>
      <c r="C41" s="124" t="s">
        <v>29</v>
      </c>
      <c r="D41" s="123" t="s">
        <v>107</v>
      </c>
      <c r="E41" s="126">
        <v>71.91</v>
      </c>
      <c r="F41" s="126">
        <f>SUM(E41*155/1000)</f>
        <v>11.146049999999999</v>
      </c>
      <c r="G41" s="126">
        <v>374.95</v>
      </c>
      <c r="H41" s="127">
        <f t="shared" si="3"/>
        <v>4.1792114475000002</v>
      </c>
      <c r="I41" s="14">
        <f t="shared" si="4"/>
        <v>696.5352412499999</v>
      </c>
      <c r="J41" s="30"/>
      <c r="L41" s="23"/>
      <c r="M41" s="24"/>
      <c r="N41" s="25"/>
    </row>
    <row r="42" spans="1:14" ht="47.25" customHeight="1">
      <c r="A42" s="36">
        <v>10</v>
      </c>
      <c r="B42" s="123" t="s">
        <v>97</v>
      </c>
      <c r="C42" s="124" t="s">
        <v>108</v>
      </c>
      <c r="D42" s="123" t="s">
        <v>149</v>
      </c>
      <c r="E42" s="126">
        <v>71.91</v>
      </c>
      <c r="F42" s="126">
        <f>SUM(E42*24/1000)</f>
        <v>1.7258399999999998</v>
      </c>
      <c r="G42" s="126">
        <v>6203.7</v>
      </c>
      <c r="H42" s="127">
        <f t="shared" si="3"/>
        <v>10.706593607999999</v>
      </c>
      <c r="I42" s="14">
        <f t="shared" si="4"/>
        <v>1784.4322679999996</v>
      </c>
      <c r="J42" s="30"/>
      <c r="L42" s="23"/>
      <c r="M42" s="24"/>
      <c r="N42" s="25"/>
    </row>
    <row r="43" spans="1:14" ht="15.75" customHeight="1">
      <c r="A43" s="36">
        <v>11</v>
      </c>
      <c r="B43" s="123" t="s">
        <v>193</v>
      </c>
      <c r="C43" s="124" t="s">
        <v>108</v>
      </c>
      <c r="D43" s="123" t="s">
        <v>74</v>
      </c>
      <c r="E43" s="126">
        <v>71.91</v>
      </c>
      <c r="F43" s="126">
        <f>SUM(E43*45/1000)</f>
        <v>3.2359499999999999</v>
      </c>
      <c r="G43" s="126">
        <v>458.28</v>
      </c>
      <c r="H43" s="127">
        <f t="shared" si="3"/>
        <v>1.4829711659999998</v>
      </c>
      <c r="I43" s="14">
        <f t="shared" si="4"/>
        <v>247.16186099999996</v>
      </c>
      <c r="J43" s="30"/>
      <c r="L43" s="23"/>
      <c r="M43" s="24"/>
      <c r="N43" s="25"/>
    </row>
    <row r="44" spans="1:14" ht="15.75" customHeight="1">
      <c r="A44" s="36">
        <v>12</v>
      </c>
      <c r="B44" s="123" t="s">
        <v>75</v>
      </c>
      <c r="C44" s="124" t="s">
        <v>33</v>
      </c>
      <c r="D44" s="123"/>
      <c r="E44" s="125"/>
      <c r="F44" s="126">
        <v>0.3</v>
      </c>
      <c r="G44" s="126">
        <v>853.06</v>
      </c>
      <c r="H44" s="127">
        <f t="shared" si="3"/>
        <v>0.25591799999999998</v>
      </c>
      <c r="I44" s="14">
        <f t="shared" si="4"/>
        <v>42.652999999999992</v>
      </c>
      <c r="J44" s="30"/>
      <c r="L44" s="23"/>
      <c r="M44" s="24"/>
      <c r="N44" s="25"/>
    </row>
    <row r="45" spans="1:14" ht="15.75" customHeight="1">
      <c r="A45" s="153" t="s">
        <v>183</v>
      </c>
      <c r="B45" s="154"/>
      <c r="C45" s="154"/>
      <c r="D45" s="154"/>
      <c r="E45" s="154"/>
      <c r="F45" s="154"/>
      <c r="G45" s="154"/>
      <c r="H45" s="154"/>
      <c r="I45" s="155"/>
      <c r="J45" s="30"/>
      <c r="L45" s="23"/>
      <c r="M45" s="24"/>
      <c r="N45" s="25"/>
    </row>
    <row r="46" spans="1:14" ht="15.75" hidden="1" customHeight="1">
      <c r="A46" s="36"/>
      <c r="B46" s="123" t="s">
        <v>129</v>
      </c>
      <c r="C46" s="124" t="s">
        <v>108</v>
      </c>
      <c r="D46" s="123" t="s">
        <v>43</v>
      </c>
      <c r="E46" s="125">
        <v>904.4</v>
      </c>
      <c r="F46" s="126">
        <f>SUM(E46*2/1000)</f>
        <v>1.8088</v>
      </c>
      <c r="G46" s="14">
        <v>865.61</v>
      </c>
      <c r="H46" s="127">
        <f t="shared" ref="H46:H55" si="5">SUM(F46*G46/1000)</f>
        <v>1.565715368</v>
      </c>
      <c r="I46" s="14">
        <v>0</v>
      </c>
      <c r="J46" s="30"/>
      <c r="L46" s="23"/>
      <c r="M46" s="24"/>
      <c r="N46" s="25"/>
    </row>
    <row r="47" spans="1:14" ht="15.75" hidden="1" customHeight="1">
      <c r="A47" s="36"/>
      <c r="B47" s="123" t="s">
        <v>36</v>
      </c>
      <c r="C47" s="124" t="s">
        <v>108</v>
      </c>
      <c r="D47" s="123" t="s">
        <v>43</v>
      </c>
      <c r="E47" s="125">
        <v>27</v>
      </c>
      <c r="F47" s="126">
        <f>E47*2/1000</f>
        <v>5.3999999999999999E-2</v>
      </c>
      <c r="G47" s="14">
        <v>619.46</v>
      </c>
      <c r="H47" s="127">
        <f t="shared" si="5"/>
        <v>3.3450840000000003E-2</v>
      </c>
      <c r="I47" s="14">
        <v>0</v>
      </c>
      <c r="J47" s="30"/>
      <c r="L47" s="23"/>
      <c r="M47" s="24"/>
      <c r="N47" s="25"/>
    </row>
    <row r="48" spans="1:14" ht="15.75" hidden="1" customHeight="1">
      <c r="A48" s="36"/>
      <c r="B48" s="123" t="s">
        <v>37</v>
      </c>
      <c r="C48" s="124" t="s">
        <v>108</v>
      </c>
      <c r="D48" s="123" t="s">
        <v>43</v>
      </c>
      <c r="E48" s="125">
        <v>772</v>
      </c>
      <c r="F48" s="126">
        <f>SUM(E48*2/1000)</f>
        <v>1.544</v>
      </c>
      <c r="G48" s="14">
        <v>619.46</v>
      </c>
      <c r="H48" s="127">
        <f t="shared" si="5"/>
        <v>0.95644624000000011</v>
      </c>
      <c r="I48" s="14">
        <v>0</v>
      </c>
      <c r="J48" s="30"/>
      <c r="L48" s="23"/>
      <c r="M48" s="24"/>
      <c r="N48" s="25"/>
    </row>
    <row r="49" spans="1:22" ht="15.75" hidden="1" customHeight="1">
      <c r="A49" s="36"/>
      <c r="B49" s="123" t="s">
        <v>38</v>
      </c>
      <c r="C49" s="124" t="s">
        <v>108</v>
      </c>
      <c r="D49" s="123" t="s">
        <v>43</v>
      </c>
      <c r="E49" s="125">
        <v>959.35</v>
      </c>
      <c r="F49" s="126">
        <f>SUM(E49*2/1000)</f>
        <v>1.9187000000000001</v>
      </c>
      <c r="G49" s="14">
        <v>648.64</v>
      </c>
      <c r="H49" s="127">
        <f t="shared" si="5"/>
        <v>1.2445455679999999</v>
      </c>
      <c r="I49" s="14">
        <v>0</v>
      </c>
      <c r="J49" s="30"/>
      <c r="L49" s="23"/>
      <c r="M49" s="24"/>
      <c r="N49" s="25"/>
    </row>
    <row r="50" spans="1:22" ht="15.75" hidden="1" customHeight="1">
      <c r="A50" s="36"/>
      <c r="B50" s="123" t="s">
        <v>34</v>
      </c>
      <c r="C50" s="124" t="s">
        <v>35</v>
      </c>
      <c r="D50" s="123" t="s">
        <v>43</v>
      </c>
      <c r="E50" s="125">
        <v>66.02</v>
      </c>
      <c r="F50" s="126">
        <f>SUM(E50*2/100)</f>
        <v>1.3204</v>
      </c>
      <c r="G50" s="14">
        <v>77.84</v>
      </c>
      <c r="H50" s="127">
        <f t="shared" si="5"/>
        <v>0.102779936</v>
      </c>
      <c r="I50" s="14">
        <v>0</v>
      </c>
      <c r="J50" s="30"/>
      <c r="L50" s="23"/>
      <c r="M50" s="24"/>
      <c r="N50" s="25"/>
    </row>
    <row r="51" spans="1:22" ht="15.75" customHeight="1">
      <c r="A51" s="36">
        <v>13</v>
      </c>
      <c r="B51" s="123" t="s">
        <v>59</v>
      </c>
      <c r="C51" s="124" t="s">
        <v>108</v>
      </c>
      <c r="D51" s="123" t="s">
        <v>180</v>
      </c>
      <c r="E51" s="125">
        <v>702.5</v>
      </c>
      <c r="F51" s="126">
        <f>SUM(E51*5/1000)</f>
        <v>3.5125000000000002</v>
      </c>
      <c r="G51" s="14">
        <v>1297.28</v>
      </c>
      <c r="H51" s="127">
        <f t="shared" si="5"/>
        <v>4.5566959999999996</v>
      </c>
      <c r="I51" s="14">
        <f>F51/5*G51</f>
        <v>911.33920000000001</v>
      </c>
      <c r="J51" s="30"/>
      <c r="L51" s="23"/>
      <c r="M51" s="24"/>
      <c r="N51" s="25"/>
    </row>
    <row r="52" spans="1:22" ht="31.5" hidden="1" customHeight="1">
      <c r="A52" s="36"/>
      <c r="B52" s="123" t="s">
        <v>109</v>
      </c>
      <c r="C52" s="124" t="s">
        <v>108</v>
      </c>
      <c r="D52" s="123" t="s">
        <v>43</v>
      </c>
      <c r="E52" s="125">
        <v>702.5</v>
      </c>
      <c r="F52" s="126">
        <f>SUM(E52*2/1000)</f>
        <v>1.405</v>
      </c>
      <c r="G52" s="14">
        <v>1297.28</v>
      </c>
      <c r="H52" s="127">
        <f t="shared" si="5"/>
        <v>1.8226784</v>
      </c>
      <c r="I52" s="14">
        <v>0</v>
      </c>
      <c r="J52" s="30"/>
      <c r="L52" s="23"/>
      <c r="M52" s="24"/>
      <c r="N52" s="25"/>
    </row>
    <row r="53" spans="1:22" ht="31.5" hidden="1" customHeight="1">
      <c r="A53" s="36"/>
      <c r="B53" s="123" t="s">
        <v>110</v>
      </c>
      <c r="C53" s="124" t="s">
        <v>39</v>
      </c>
      <c r="D53" s="123" t="s">
        <v>43</v>
      </c>
      <c r="E53" s="125">
        <v>9</v>
      </c>
      <c r="F53" s="126">
        <f>SUM(E53*2/100)</f>
        <v>0.18</v>
      </c>
      <c r="G53" s="14">
        <v>2918.89</v>
      </c>
      <c r="H53" s="127">
        <f t="shared" si="5"/>
        <v>0.52540019999999987</v>
      </c>
      <c r="I53" s="14">
        <v>0</v>
      </c>
      <c r="J53" s="30"/>
      <c r="L53" s="23"/>
      <c r="M53" s="24"/>
      <c r="N53" s="25"/>
    </row>
    <row r="54" spans="1:22" ht="15.75" hidden="1" customHeight="1">
      <c r="A54" s="36"/>
      <c r="B54" s="123" t="s">
        <v>40</v>
      </c>
      <c r="C54" s="124" t="s">
        <v>41</v>
      </c>
      <c r="D54" s="123" t="s">
        <v>43</v>
      </c>
      <c r="E54" s="125">
        <v>1</v>
      </c>
      <c r="F54" s="126">
        <v>0.02</v>
      </c>
      <c r="G54" s="14">
        <v>6042.12</v>
      </c>
      <c r="H54" s="127">
        <f t="shared" si="5"/>
        <v>0.1208424</v>
      </c>
      <c r="I54" s="14">
        <v>0</v>
      </c>
      <c r="J54" s="30"/>
      <c r="L54" s="23"/>
      <c r="M54" s="24"/>
      <c r="N54" s="25"/>
    </row>
    <row r="55" spans="1:22" ht="15.75" hidden="1" customHeight="1">
      <c r="A55" s="36">
        <v>14</v>
      </c>
      <c r="B55" s="123" t="s">
        <v>42</v>
      </c>
      <c r="C55" s="124" t="s">
        <v>130</v>
      </c>
      <c r="D55" s="123" t="s">
        <v>76</v>
      </c>
      <c r="E55" s="125">
        <v>53</v>
      </c>
      <c r="F55" s="126">
        <f>SUM(E55)*3</f>
        <v>159</v>
      </c>
      <c r="G55" s="14">
        <v>70.209999999999994</v>
      </c>
      <c r="H55" s="127">
        <f t="shared" si="5"/>
        <v>11.16339</v>
      </c>
      <c r="I55" s="14">
        <f>E55*G55</f>
        <v>3721.1299999999997</v>
      </c>
      <c r="J55" s="30"/>
      <c r="L55" s="23"/>
      <c r="M55" s="24"/>
      <c r="N55" s="25"/>
    </row>
    <row r="56" spans="1:22" ht="15.75" customHeight="1">
      <c r="A56" s="153" t="s">
        <v>184</v>
      </c>
      <c r="B56" s="154"/>
      <c r="C56" s="154"/>
      <c r="D56" s="154"/>
      <c r="E56" s="154"/>
      <c r="F56" s="154"/>
      <c r="G56" s="154"/>
      <c r="H56" s="154"/>
      <c r="I56" s="155"/>
      <c r="J56" s="30"/>
      <c r="L56" s="23"/>
      <c r="M56" s="24"/>
      <c r="N56" s="25"/>
    </row>
    <row r="57" spans="1:22" ht="15.75" customHeight="1">
      <c r="A57" s="36"/>
      <c r="B57" s="144" t="s">
        <v>44</v>
      </c>
      <c r="C57" s="124"/>
      <c r="D57" s="123"/>
      <c r="E57" s="125"/>
      <c r="F57" s="126"/>
      <c r="G57" s="126"/>
      <c r="H57" s="127"/>
      <c r="I57" s="14"/>
      <c r="J57" s="30"/>
      <c r="L57" s="23"/>
      <c r="M57" s="24"/>
      <c r="N57" s="25"/>
    </row>
    <row r="58" spans="1:22" ht="31.5" customHeight="1">
      <c r="A58" s="36">
        <v>14</v>
      </c>
      <c r="B58" s="123" t="s">
        <v>131</v>
      </c>
      <c r="C58" s="124" t="s">
        <v>105</v>
      </c>
      <c r="D58" s="123" t="s">
        <v>132</v>
      </c>
      <c r="E58" s="125">
        <v>25</v>
      </c>
      <c r="F58" s="126">
        <f>SUM(E58*6/100)</f>
        <v>1.5</v>
      </c>
      <c r="G58" s="14">
        <v>1654.04</v>
      </c>
      <c r="H58" s="127">
        <f>SUM(F58*G58/1000)</f>
        <v>2.4810599999999998</v>
      </c>
      <c r="I58" s="14">
        <f>F58/6*G58</f>
        <v>413.51</v>
      </c>
      <c r="J58" s="30"/>
      <c r="L58" s="23"/>
      <c r="M58" s="24"/>
      <c r="N58" s="25"/>
    </row>
    <row r="59" spans="1:22" ht="15.75" hidden="1" customHeight="1">
      <c r="A59" s="36"/>
      <c r="B59" s="144" t="s">
        <v>45</v>
      </c>
      <c r="C59" s="124"/>
      <c r="D59" s="123"/>
      <c r="E59" s="125"/>
      <c r="F59" s="126"/>
      <c r="G59" s="116"/>
      <c r="H59" s="127"/>
      <c r="I59" s="14"/>
      <c r="J59" s="30"/>
      <c r="L59" s="23"/>
    </row>
    <row r="60" spans="1:22" ht="15.75" hidden="1" customHeight="1">
      <c r="A60" s="36"/>
      <c r="B60" s="123" t="s">
        <v>133</v>
      </c>
      <c r="C60" s="124" t="s">
        <v>105</v>
      </c>
      <c r="D60" s="123" t="s">
        <v>72</v>
      </c>
      <c r="E60" s="125">
        <v>1026</v>
      </c>
      <c r="F60" s="127">
        <f>E60/100</f>
        <v>10.26</v>
      </c>
      <c r="G60" s="14">
        <v>848.37</v>
      </c>
      <c r="H60" s="132">
        <f>F60*G60/1000</f>
        <v>8.7042762000000007</v>
      </c>
      <c r="I60" s="14">
        <v>0</v>
      </c>
    </row>
    <row r="61" spans="1:22" ht="15.75" hidden="1" customHeight="1">
      <c r="A61" s="36"/>
      <c r="B61" s="145" t="s">
        <v>46</v>
      </c>
      <c r="C61" s="133"/>
      <c r="D61" s="134"/>
      <c r="E61" s="135"/>
      <c r="F61" s="136"/>
      <c r="G61" s="136"/>
      <c r="H61" s="137" t="s">
        <v>145</v>
      </c>
      <c r="I61" s="14"/>
    </row>
    <row r="62" spans="1:22" ht="15.75" hidden="1" customHeight="1">
      <c r="A62" s="36"/>
      <c r="B62" s="16" t="s">
        <v>47</v>
      </c>
      <c r="C62" s="18" t="s">
        <v>130</v>
      </c>
      <c r="D62" s="123" t="s">
        <v>72</v>
      </c>
      <c r="E62" s="21">
        <v>8</v>
      </c>
      <c r="F62" s="126">
        <v>8</v>
      </c>
      <c r="G62" s="14">
        <v>237.74</v>
      </c>
      <c r="H62" s="121">
        <f t="shared" ref="H62:H75" si="6">SUM(F62*G62/1000)</f>
        <v>1.9019200000000001</v>
      </c>
      <c r="I62" s="14">
        <v>0</v>
      </c>
    </row>
    <row r="63" spans="1:22" ht="15.75" hidden="1" customHeight="1">
      <c r="A63" s="36"/>
      <c r="B63" s="16" t="s">
        <v>48</v>
      </c>
      <c r="C63" s="18" t="s">
        <v>130</v>
      </c>
      <c r="D63" s="123" t="s">
        <v>72</v>
      </c>
      <c r="E63" s="21">
        <v>3</v>
      </c>
      <c r="F63" s="126">
        <v>3</v>
      </c>
      <c r="G63" s="14">
        <v>81.510000000000005</v>
      </c>
      <c r="H63" s="121">
        <f t="shared" si="6"/>
        <v>0.24453000000000003</v>
      </c>
      <c r="I63" s="14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6"/>
      <c r="B64" s="16" t="s">
        <v>49</v>
      </c>
      <c r="C64" s="18" t="s">
        <v>134</v>
      </c>
      <c r="D64" s="16" t="s">
        <v>55</v>
      </c>
      <c r="E64" s="125">
        <v>6307</v>
      </c>
      <c r="F64" s="14">
        <f>SUM(E64/100)</f>
        <v>63.07</v>
      </c>
      <c r="G64" s="14">
        <v>226.79</v>
      </c>
      <c r="H64" s="121">
        <f t="shared" si="6"/>
        <v>14.303645299999999</v>
      </c>
      <c r="I64" s="14">
        <v>0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6" t="s">
        <v>50</v>
      </c>
      <c r="C65" s="18" t="s">
        <v>135</v>
      </c>
      <c r="D65" s="16"/>
      <c r="E65" s="125">
        <v>6307</v>
      </c>
      <c r="F65" s="14">
        <f>SUM(E65/1000)</f>
        <v>6.3070000000000004</v>
      </c>
      <c r="G65" s="14">
        <v>176.61</v>
      </c>
      <c r="H65" s="121">
        <f t="shared" si="6"/>
        <v>1.1138792700000002</v>
      </c>
      <c r="I65" s="14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6" t="s">
        <v>51</v>
      </c>
      <c r="C66" s="18" t="s">
        <v>82</v>
      </c>
      <c r="D66" s="16" t="s">
        <v>55</v>
      </c>
      <c r="E66" s="125">
        <v>1003</v>
      </c>
      <c r="F66" s="14">
        <f>SUM(E66/100)</f>
        <v>10.029999999999999</v>
      </c>
      <c r="G66" s="14">
        <v>2217.7800000000002</v>
      </c>
      <c r="H66" s="121">
        <f t="shared" si="6"/>
        <v>22.244333399999999</v>
      </c>
      <c r="I66" s="14">
        <v>0</v>
      </c>
      <c r="J66" s="5"/>
      <c r="K66" s="5"/>
      <c r="L66" s="5"/>
      <c r="M66" s="5"/>
      <c r="N66" s="5"/>
      <c r="O66" s="5"/>
      <c r="P66" s="5"/>
      <c r="Q66" s="5"/>
      <c r="R66" s="163"/>
      <c r="S66" s="163"/>
      <c r="T66" s="163"/>
      <c r="U66" s="163"/>
    </row>
    <row r="67" spans="1:21" ht="15.75" hidden="1" customHeight="1">
      <c r="A67" s="36"/>
      <c r="B67" s="138" t="s">
        <v>136</v>
      </c>
      <c r="C67" s="18" t="s">
        <v>33</v>
      </c>
      <c r="D67" s="16"/>
      <c r="E67" s="125">
        <v>6.6</v>
      </c>
      <c r="F67" s="14">
        <f>SUM(E67)</f>
        <v>6.6</v>
      </c>
      <c r="G67" s="14">
        <v>42.67</v>
      </c>
      <c r="H67" s="121">
        <f t="shared" si="6"/>
        <v>0.28162200000000004</v>
      </c>
      <c r="I67" s="14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38" t="s">
        <v>137</v>
      </c>
      <c r="C68" s="18" t="s">
        <v>33</v>
      </c>
      <c r="D68" s="16"/>
      <c r="E68" s="125">
        <v>6.6</v>
      </c>
      <c r="F68" s="14">
        <f>SUM(E68)</f>
        <v>6.6</v>
      </c>
      <c r="G68" s="14">
        <v>39.81</v>
      </c>
      <c r="H68" s="121">
        <f t="shared" si="6"/>
        <v>0.26274599999999998</v>
      </c>
      <c r="I68" s="14">
        <v>0</v>
      </c>
    </row>
    <row r="69" spans="1:21" ht="15.75" hidden="1" customHeight="1">
      <c r="A69" s="36"/>
      <c r="B69" s="16" t="s">
        <v>60</v>
      </c>
      <c r="C69" s="18" t="s">
        <v>61</v>
      </c>
      <c r="D69" s="16" t="s">
        <v>55</v>
      </c>
      <c r="E69" s="21">
        <v>3</v>
      </c>
      <c r="F69" s="126">
        <v>3</v>
      </c>
      <c r="G69" s="14">
        <v>46.97</v>
      </c>
      <c r="H69" s="121">
        <f t="shared" si="6"/>
        <v>0.14091000000000001</v>
      </c>
      <c r="I69" s="14">
        <v>0</v>
      </c>
    </row>
    <row r="70" spans="1:21" ht="15.75" hidden="1" customHeight="1">
      <c r="A70" s="36"/>
      <c r="B70" s="101" t="s">
        <v>77</v>
      </c>
      <c r="C70" s="18"/>
      <c r="D70" s="16"/>
      <c r="E70" s="21"/>
      <c r="F70" s="14"/>
      <c r="G70" s="14"/>
      <c r="H70" s="121" t="s">
        <v>145</v>
      </c>
      <c r="I70" s="14"/>
    </row>
    <row r="71" spans="1:21" ht="15.75" hidden="1" customHeight="1">
      <c r="A71" s="36"/>
      <c r="B71" s="16" t="s">
        <v>78</v>
      </c>
      <c r="C71" s="18" t="s">
        <v>80</v>
      </c>
      <c r="D71" s="16"/>
      <c r="E71" s="21">
        <v>3</v>
      </c>
      <c r="F71" s="14">
        <v>0.3</v>
      </c>
      <c r="G71" s="14">
        <v>536.23</v>
      </c>
      <c r="H71" s="121">
        <f t="shared" si="6"/>
        <v>0.16086900000000001</v>
      </c>
      <c r="I71" s="14">
        <v>0</v>
      </c>
    </row>
    <row r="72" spans="1:21" ht="15.75" hidden="1" customHeight="1">
      <c r="A72" s="36"/>
      <c r="B72" s="16" t="s">
        <v>79</v>
      </c>
      <c r="C72" s="18" t="s">
        <v>31</v>
      </c>
      <c r="D72" s="16"/>
      <c r="E72" s="21">
        <v>1</v>
      </c>
      <c r="F72" s="116">
        <v>1</v>
      </c>
      <c r="G72" s="14">
        <v>911.85</v>
      </c>
      <c r="H72" s="121">
        <f>F72*G72/1000</f>
        <v>0.91185000000000005</v>
      </c>
      <c r="I72" s="14">
        <v>0</v>
      </c>
    </row>
    <row r="73" spans="1:21" ht="15.75" hidden="1" customHeight="1">
      <c r="A73" s="36"/>
      <c r="B73" s="16" t="s">
        <v>194</v>
      </c>
      <c r="C73" s="18" t="s">
        <v>31</v>
      </c>
      <c r="D73" s="16"/>
      <c r="E73" s="21">
        <v>1</v>
      </c>
      <c r="F73" s="14">
        <v>1</v>
      </c>
      <c r="G73" s="14">
        <v>383.25</v>
      </c>
      <c r="H73" s="121">
        <f>G73*F73/1000</f>
        <v>0.38324999999999998</v>
      </c>
      <c r="I73" s="14">
        <v>0</v>
      </c>
    </row>
    <row r="74" spans="1:21" ht="15.75" hidden="1" customHeight="1">
      <c r="A74" s="36"/>
      <c r="B74" s="140" t="s">
        <v>81</v>
      </c>
      <c r="C74" s="18"/>
      <c r="D74" s="16"/>
      <c r="E74" s="21"/>
      <c r="F74" s="14"/>
      <c r="G74" s="14" t="s">
        <v>145</v>
      </c>
      <c r="H74" s="121" t="s">
        <v>145</v>
      </c>
      <c r="I74" s="14"/>
    </row>
    <row r="75" spans="1:21" ht="15.75" hidden="1" customHeight="1">
      <c r="A75" s="36"/>
      <c r="B75" s="67" t="s">
        <v>162</v>
      </c>
      <c r="C75" s="18" t="s">
        <v>82</v>
      </c>
      <c r="D75" s="16"/>
      <c r="E75" s="21"/>
      <c r="F75" s="14">
        <v>0.1</v>
      </c>
      <c r="G75" s="14">
        <v>2831.38</v>
      </c>
      <c r="H75" s="121">
        <f t="shared" si="6"/>
        <v>0.28313800000000006</v>
      </c>
      <c r="I75" s="14">
        <v>0</v>
      </c>
    </row>
    <row r="76" spans="1:21" ht="15.75" hidden="1" customHeight="1">
      <c r="A76" s="36"/>
      <c r="B76" s="115" t="s">
        <v>111</v>
      </c>
      <c r="C76" s="115"/>
      <c r="D76" s="115"/>
      <c r="E76" s="146"/>
      <c r="F76" s="147"/>
      <c r="G76" s="129"/>
      <c r="H76" s="141">
        <f>SUM(H58:H75)</f>
        <v>53.41802916999999</v>
      </c>
      <c r="I76" s="129"/>
    </row>
    <row r="77" spans="1:21" ht="15.75" hidden="1" customHeight="1">
      <c r="A77" s="36"/>
      <c r="B77" s="148" t="s">
        <v>138</v>
      </c>
      <c r="C77" s="27"/>
      <c r="D77" s="26"/>
      <c r="E77" s="117"/>
      <c r="F77" s="14">
        <v>1</v>
      </c>
      <c r="G77" s="14">
        <v>5637.8</v>
      </c>
      <c r="H77" s="121">
        <f>G77*F77/1000</f>
        <v>5.6378000000000004</v>
      </c>
      <c r="I77" s="14">
        <v>0</v>
      </c>
    </row>
    <row r="78" spans="1:21" ht="15.75" customHeight="1">
      <c r="A78" s="153" t="s">
        <v>185</v>
      </c>
      <c r="B78" s="154"/>
      <c r="C78" s="154"/>
      <c r="D78" s="154"/>
      <c r="E78" s="154"/>
      <c r="F78" s="154"/>
      <c r="G78" s="154"/>
      <c r="H78" s="154"/>
      <c r="I78" s="155"/>
    </row>
    <row r="79" spans="1:21" ht="15.75" customHeight="1">
      <c r="A79" s="36">
        <v>15</v>
      </c>
      <c r="B79" s="123" t="s">
        <v>139</v>
      </c>
      <c r="C79" s="18" t="s">
        <v>56</v>
      </c>
      <c r="D79" s="142" t="s">
        <v>57</v>
      </c>
      <c r="E79" s="14">
        <v>1536.4</v>
      </c>
      <c r="F79" s="14">
        <f>SUM(E79*12)</f>
        <v>18436.800000000003</v>
      </c>
      <c r="G79" s="14">
        <v>2.2400000000000002</v>
      </c>
      <c r="H79" s="121">
        <f>SUM(F79*G79/1000)</f>
        <v>41.298432000000005</v>
      </c>
      <c r="I79" s="14">
        <f>F79/12*G79</f>
        <v>3441.536000000001</v>
      </c>
    </row>
    <row r="80" spans="1:21" ht="31.5" customHeight="1">
      <c r="A80" s="36">
        <v>16</v>
      </c>
      <c r="B80" s="16" t="s">
        <v>83</v>
      </c>
      <c r="C80" s="18"/>
      <c r="D80" s="142" t="s">
        <v>57</v>
      </c>
      <c r="E80" s="125">
        <f>E79</f>
        <v>1536.4</v>
      </c>
      <c r="F80" s="14">
        <f>E80*12</f>
        <v>18436.800000000003</v>
      </c>
      <c r="G80" s="14">
        <v>1.74</v>
      </c>
      <c r="H80" s="121">
        <f>F80*G80/1000</f>
        <v>32.08003200000001</v>
      </c>
      <c r="I80" s="14">
        <f>F80/12*G80</f>
        <v>2673.3360000000007</v>
      </c>
    </row>
    <row r="81" spans="1:9" ht="15.75" customHeight="1">
      <c r="A81" s="36"/>
      <c r="B81" s="54" t="s">
        <v>87</v>
      </c>
      <c r="C81" s="140"/>
      <c r="D81" s="139"/>
      <c r="E81" s="129"/>
      <c r="F81" s="129"/>
      <c r="G81" s="129"/>
      <c r="H81" s="141">
        <f>H80</f>
        <v>32.08003200000001</v>
      </c>
      <c r="I81" s="129">
        <f>I16+I17+I18+I27+I28+I38+I39+I40+I41+I42+I43+I44+I51+I58+I79+I80</f>
        <v>28528.110578916665</v>
      </c>
    </row>
    <row r="82" spans="1:9" ht="15.75" customHeight="1">
      <c r="A82" s="36"/>
      <c r="B82" s="87" t="s">
        <v>63</v>
      </c>
      <c r="C82" s="18"/>
      <c r="D82" s="67"/>
      <c r="E82" s="14"/>
      <c r="F82" s="14"/>
      <c r="G82" s="14"/>
      <c r="H82" s="14"/>
      <c r="I82" s="14"/>
    </row>
    <row r="83" spans="1:9" ht="15.75" customHeight="1">
      <c r="A83" s="36">
        <v>17</v>
      </c>
      <c r="B83" s="88" t="s">
        <v>164</v>
      </c>
      <c r="C83" s="89" t="s">
        <v>130</v>
      </c>
      <c r="D83" s="67"/>
      <c r="E83" s="14"/>
      <c r="F83" s="14">
        <v>216</v>
      </c>
      <c r="G83" s="14">
        <v>50.68</v>
      </c>
      <c r="H83" s="14">
        <f>G83*F83/1000</f>
        <v>10.946879999999998</v>
      </c>
      <c r="I83" s="14">
        <f>G83*27</f>
        <v>1368.36</v>
      </c>
    </row>
    <row r="84" spans="1:9" ht="31.5" hidden="1" customHeight="1">
      <c r="A84" s="36"/>
      <c r="B84" s="88" t="s">
        <v>196</v>
      </c>
      <c r="C84" s="89" t="s">
        <v>197</v>
      </c>
      <c r="D84" s="67"/>
      <c r="E84" s="14"/>
      <c r="F84" s="14">
        <v>1</v>
      </c>
      <c r="G84" s="14">
        <v>51.39</v>
      </c>
      <c r="H84" s="14">
        <f>G84*F84/1000</f>
        <v>5.1389999999999998E-2</v>
      </c>
      <c r="I84" s="14">
        <v>0</v>
      </c>
    </row>
    <row r="85" spans="1:9" ht="15.75" hidden="1" customHeight="1">
      <c r="A85" s="36"/>
      <c r="B85" s="88" t="s">
        <v>152</v>
      </c>
      <c r="C85" s="89" t="s">
        <v>198</v>
      </c>
      <c r="D85" s="67"/>
      <c r="E85" s="14"/>
      <c r="F85" s="14">
        <v>2</v>
      </c>
      <c r="G85" s="14">
        <v>1501</v>
      </c>
      <c r="H85" s="121">
        <f>G85*F85/1000</f>
        <v>3.0019999999999998</v>
      </c>
      <c r="I85" s="14">
        <v>0</v>
      </c>
    </row>
    <row r="86" spans="1:9" ht="15.75" hidden="1" customHeight="1">
      <c r="A86" s="36"/>
      <c r="B86" s="88" t="s">
        <v>199</v>
      </c>
      <c r="C86" s="89" t="s">
        <v>200</v>
      </c>
      <c r="D86" s="67"/>
      <c r="E86" s="14"/>
      <c r="F86" s="14">
        <v>1</v>
      </c>
      <c r="G86" s="14">
        <v>15786</v>
      </c>
      <c r="H86" s="14">
        <f t="shared" ref="H86:H88" si="7">G86*F86/1000</f>
        <v>15.786</v>
      </c>
      <c r="I86" s="14">
        <v>0</v>
      </c>
    </row>
    <row r="87" spans="1:9" ht="31.5" hidden="1" customHeight="1">
      <c r="A87" s="36"/>
      <c r="B87" s="88" t="s">
        <v>201</v>
      </c>
      <c r="C87" s="89" t="s">
        <v>89</v>
      </c>
      <c r="D87" s="67"/>
      <c r="E87" s="14"/>
      <c r="F87" s="14">
        <v>3</v>
      </c>
      <c r="G87" s="14">
        <v>851.93</v>
      </c>
      <c r="H87" s="14">
        <f t="shared" si="7"/>
        <v>2.55579</v>
      </c>
      <c r="I87" s="14">
        <v>0</v>
      </c>
    </row>
    <row r="88" spans="1:9" ht="31.5" hidden="1" customHeight="1">
      <c r="A88" s="36"/>
      <c r="B88" s="88" t="s">
        <v>215</v>
      </c>
      <c r="C88" s="89" t="s">
        <v>31</v>
      </c>
      <c r="D88" s="67"/>
      <c r="E88" s="14"/>
      <c r="F88" s="14">
        <v>3</v>
      </c>
      <c r="G88" s="14">
        <v>160</v>
      </c>
      <c r="H88" s="121">
        <f t="shared" si="7"/>
        <v>0.48</v>
      </c>
      <c r="I88" s="14">
        <v>0</v>
      </c>
    </row>
    <row r="89" spans="1:9" ht="15.75" hidden="1" customHeight="1">
      <c r="A89" s="36"/>
      <c r="B89" s="88" t="s">
        <v>92</v>
      </c>
      <c r="C89" s="89" t="s">
        <v>130</v>
      </c>
      <c r="D89" s="67"/>
      <c r="E89" s="14"/>
      <c r="F89" s="14">
        <v>4</v>
      </c>
      <c r="G89" s="14">
        <v>180.15</v>
      </c>
      <c r="H89" s="121">
        <f>G89*F89/1000</f>
        <v>0.72060000000000002</v>
      </c>
      <c r="I89" s="14">
        <v>0</v>
      </c>
    </row>
    <row r="90" spans="1:9" ht="31.5" hidden="1" customHeight="1">
      <c r="A90" s="36"/>
      <c r="B90" s="143" t="s">
        <v>202</v>
      </c>
      <c r="C90" s="36" t="s">
        <v>203</v>
      </c>
      <c r="D90" s="67"/>
      <c r="E90" s="14"/>
      <c r="F90" s="14">
        <v>1</v>
      </c>
      <c r="G90" s="14">
        <v>1835.8</v>
      </c>
      <c r="H90" s="121">
        <f>G90*F90/1000</f>
        <v>1.8357999999999999</v>
      </c>
      <c r="I90" s="14">
        <v>0</v>
      </c>
    </row>
    <row r="91" spans="1:9" ht="31.5" hidden="1" customHeight="1">
      <c r="A91" s="36"/>
      <c r="B91" s="88" t="s">
        <v>204</v>
      </c>
      <c r="C91" s="89" t="s">
        <v>89</v>
      </c>
      <c r="D91" s="67"/>
      <c r="E91" s="14"/>
      <c r="F91" s="14">
        <v>2</v>
      </c>
      <c r="G91" s="14">
        <v>1206</v>
      </c>
      <c r="H91" s="121">
        <f t="shared" ref="H91" si="8">G91*F91/1000</f>
        <v>2.4119999999999999</v>
      </c>
      <c r="I91" s="14">
        <v>0</v>
      </c>
    </row>
    <row r="92" spans="1:9" ht="31.5" hidden="1" customHeight="1">
      <c r="A92" s="36"/>
      <c r="B92" s="88" t="s">
        <v>96</v>
      </c>
      <c r="C92" s="89" t="s">
        <v>39</v>
      </c>
      <c r="D92" s="67"/>
      <c r="E92" s="14"/>
      <c r="F92" s="14">
        <v>0.03</v>
      </c>
      <c r="G92" s="14">
        <v>3397.65</v>
      </c>
      <c r="H92" s="121">
        <f>G92*F92/1000</f>
        <v>0.10192950000000001</v>
      </c>
      <c r="I92" s="14">
        <v>0</v>
      </c>
    </row>
    <row r="93" spans="1:9" ht="31.5" hidden="1" customHeight="1">
      <c r="A93" s="36"/>
      <c r="B93" s="88" t="s">
        <v>205</v>
      </c>
      <c r="C93" s="89" t="s">
        <v>29</v>
      </c>
      <c r="D93" s="67"/>
      <c r="E93" s="14"/>
      <c r="F93" s="19">
        <f>3/1000</f>
        <v>3.0000000000000001E-3</v>
      </c>
      <c r="G93" s="14">
        <v>1510.06</v>
      </c>
      <c r="H93" s="19">
        <f t="shared" ref="H93" si="9">G93*F93/1000</f>
        <v>4.53018E-3</v>
      </c>
      <c r="I93" s="14">
        <v>0</v>
      </c>
    </row>
    <row r="94" spans="1:9" ht="15.75" hidden="1" customHeight="1">
      <c r="A94" s="36"/>
      <c r="B94" s="88" t="s">
        <v>206</v>
      </c>
      <c r="C94" s="89" t="s">
        <v>207</v>
      </c>
      <c r="D94" s="67"/>
      <c r="E94" s="14"/>
      <c r="F94" s="14">
        <f>3/100</f>
        <v>0.03</v>
      </c>
      <c r="G94" s="14">
        <v>7033.13</v>
      </c>
      <c r="H94" s="121">
        <f>G94*F94/1000</f>
        <v>0.21099389999999998</v>
      </c>
      <c r="I94" s="14">
        <v>0</v>
      </c>
    </row>
    <row r="95" spans="1:9" ht="15.75" hidden="1" customHeight="1">
      <c r="A95" s="36"/>
      <c r="B95" s="88" t="s">
        <v>208</v>
      </c>
      <c r="C95" s="89" t="s">
        <v>130</v>
      </c>
      <c r="D95" s="67"/>
      <c r="E95" s="14"/>
      <c r="F95" s="14">
        <v>1</v>
      </c>
      <c r="G95" s="14">
        <v>124.25</v>
      </c>
      <c r="H95" s="121">
        <f t="shared" ref="H95:H99" si="10">G95*F95/1000</f>
        <v>0.12425</v>
      </c>
      <c r="I95" s="14">
        <v>0</v>
      </c>
    </row>
    <row r="96" spans="1:9" ht="15.75" hidden="1" customHeight="1">
      <c r="A96" s="36"/>
      <c r="B96" s="88" t="s">
        <v>209</v>
      </c>
      <c r="C96" s="89" t="s">
        <v>210</v>
      </c>
      <c r="D96" s="67"/>
      <c r="E96" s="14"/>
      <c r="F96" s="14">
        <v>2</v>
      </c>
      <c r="G96" s="14">
        <v>83.63</v>
      </c>
      <c r="H96" s="121">
        <f t="shared" si="10"/>
        <v>0.16725999999999999</v>
      </c>
      <c r="I96" s="14">
        <v>0</v>
      </c>
    </row>
    <row r="97" spans="1:9" ht="31.5" hidden="1" customHeight="1">
      <c r="A97" s="36"/>
      <c r="B97" s="88" t="s">
        <v>86</v>
      </c>
      <c r="C97" s="89" t="s">
        <v>130</v>
      </c>
      <c r="D97" s="67"/>
      <c r="E97" s="14"/>
      <c r="F97" s="14">
        <v>1</v>
      </c>
      <c r="G97" s="14">
        <v>79.09</v>
      </c>
      <c r="H97" s="121">
        <f t="shared" si="10"/>
        <v>7.9090000000000008E-2</v>
      </c>
      <c r="I97" s="14">
        <v>0</v>
      </c>
    </row>
    <row r="98" spans="1:9" ht="15.75" hidden="1" customHeight="1">
      <c r="A98" s="36"/>
      <c r="B98" s="88" t="s">
        <v>211</v>
      </c>
      <c r="C98" s="89" t="s">
        <v>130</v>
      </c>
      <c r="D98" s="67"/>
      <c r="E98" s="14"/>
      <c r="F98" s="14">
        <v>1</v>
      </c>
      <c r="G98" s="14">
        <v>5692.42</v>
      </c>
      <c r="H98" s="121">
        <f t="shared" si="10"/>
        <v>5.6924200000000003</v>
      </c>
      <c r="I98" s="14">
        <v>0</v>
      </c>
    </row>
    <row r="99" spans="1:9" ht="15.75" hidden="1" customHeight="1">
      <c r="A99" s="36"/>
      <c r="B99" s="88" t="s">
        <v>212</v>
      </c>
      <c r="C99" s="89" t="s">
        <v>213</v>
      </c>
      <c r="D99" s="67"/>
      <c r="E99" s="14"/>
      <c r="F99" s="14">
        <v>1</v>
      </c>
      <c r="G99" s="14">
        <v>2426</v>
      </c>
      <c r="H99" s="121">
        <f t="shared" si="10"/>
        <v>2.4260000000000002</v>
      </c>
      <c r="I99" s="14">
        <v>0</v>
      </c>
    </row>
    <row r="100" spans="1:9" ht="15.75" hidden="1" customHeight="1">
      <c r="A100" s="36"/>
      <c r="B100" s="88" t="s">
        <v>214</v>
      </c>
      <c r="C100" s="89" t="s">
        <v>98</v>
      </c>
      <c r="D100" s="67"/>
      <c r="E100" s="14"/>
      <c r="F100" s="14">
        <v>1</v>
      </c>
      <c r="G100" s="14">
        <v>185.81</v>
      </c>
      <c r="H100" s="121">
        <f>G100*F100/1000</f>
        <v>0.18581</v>
      </c>
      <c r="I100" s="14">
        <v>0</v>
      </c>
    </row>
    <row r="101" spans="1:9" ht="15.75" hidden="1" customHeight="1">
      <c r="A101" s="36"/>
      <c r="B101" s="122" t="s">
        <v>99</v>
      </c>
      <c r="C101" s="89" t="s">
        <v>130</v>
      </c>
      <c r="D101" s="67"/>
      <c r="E101" s="14"/>
      <c r="F101" s="14">
        <v>1</v>
      </c>
      <c r="G101" s="14">
        <v>179.96</v>
      </c>
      <c r="H101" s="121">
        <f t="shared" ref="H101" si="11">G101*F101/1000</f>
        <v>0.17996000000000001</v>
      </c>
      <c r="I101" s="14">
        <v>0</v>
      </c>
    </row>
    <row r="102" spans="1:9">
      <c r="A102" s="36"/>
      <c r="B102" s="61" t="s">
        <v>52</v>
      </c>
      <c r="C102" s="57"/>
      <c r="D102" s="71"/>
      <c r="E102" s="57">
        <v>1</v>
      </c>
      <c r="F102" s="57"/>
      <c r="G102" s="57"/>
      <c r="H102" s="57"/>
      <c r="I102" s="39">
        <f>SUM(I83:I101)</f>
        <v>1368.36</v>
      </c>
    </row>
    <row r="103" spans="1:9" ht="15.75" customHeight="1">
      <c r="A103" s="36"/>
      <c r="B103" s="67" t="s">
        <v>84</v>
      </c>
      <c r="C103" s="17"/>
      <c r="D103" s="17"/>
      <c r="E103" s="58"/>
      <c r="F103" s="58"/>
      <c r="G103" s="59"/>
      <c r="H103" s="59"/>
      <c r="I103" s="20">
        <v>0</v>
      </c>
    </row>
    <row r="104" spans="1:9">
      <c r="A104" s="72"/>
      <c r="B104" s="62" t="s">
        <v>53</v>
      </c>
      <c r="C104" s="45"/>
      <c r="D104" s="45"/>
      <c r="E104" s="45"/>
      <c r="F104" s="45"/>
      <c r="G104" s="45"/>
      <c r="H104" s="45"/>
      <c r="I104" s="60">
        <f>I81+I102</f>
        <v>29896.470578916666</v>
      </c>
    </row>
    <row r="105" spans="1:9" ht="15.75">
      <c r="A105" s="164" t="s">
        <v>220</v>
      </c>
      <c r="B105" s="164"/>
      <c r="C105" s="164"/>
      <c r="D105" s="164"/>
      <c r="E105" s="164"/>
      <c r="F105" s="164"/>
      <c r="G105" s="164"/>
      <c r="H105" s="164"/>
      <c r="I105" s="164"/>
    </row>
    <row r="106" spans="1:9" ht="15.75" customHeight="1">
      <c r="A106" s="107"/>
      <c r="B106" s="165" t="s">
        <v>221</v>
      </c>
      <c r="C106" s="165"/>
      <c r="D106" s="165"/>
      <c r="E106" s="165"/>
      <c r="F106" s="165"/>
      <c r="G106" s="165"/>
      <c r="H106" s="120"/>
      <c r="I106" s="3"/>
    </row>
    <row r="107" spans="1:9">
      <c r="A107" s="106"/>
      <c r="B107" s="161" t="s">
        <v>6</v>
      </c>
      <c r="C107" s="161"/>
      <c r="D107" s="161"/>
      <c r="E107" s="161"/>
      <c r="F107" s="161"/>
      <c r="G107" s="161"/>
      <c r="H107" s="31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66" t="s">
        <v>7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15.75" customHeight="1">
      <c r="A110" s="166" t="s">
        <v>8</v>
      </c>
      <c r="B110" s="166"/>
      <c r="C110" s="166"/>
      <c r="D110" s="166"/>
      <c r="E110" s="166"/>
      <c r="F110" s="166"/>
      <c r="G110" s="166"/>
      <c r="H110" s="166"/>
      <c r="I110" s="166"/>
    </row>
    <row r="111" spans="1:9" ht="15.75">
      <c r="A111" s="158" t="s">
        <v>64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15.75">
      <c r="A112" s="11"/>
    </row>
    <row r="113" spans="1:9" ht="15.75">
      <c r="A113" s="159" t="s">
        <v>9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.75">
      <c r="A114" s="4"/>
    </row>
    <row r="115" spans="1:9" ht="15.75">
      <c r="B115" s="103" t="s">
        <v>10</v>
      </c>
      <c r="C115" s="160" t="s">
        <v>179</v>
      </c>
      <c r="D115" s="160"/>
      <c r="E115" s="160"/>
      <c r="F115" s="118"/>
      <c r="I115" s="105"/>
    </row>
    <row r="116" spans="1:9">
      <c r="A116" s="106"/>
      <c r="C116" s="161" t="s">
        <v>11</v>
      </c>
      <c r="D116" s="161"/>
      <c r="E116" s="161"/>
      <c r="F116" s="31"/>
      <c r="I116" s="104" t="s">
        <v>12</v>
      </c>
    </row>
    <row r="117" spans="1:9" ht="15.75">
      <c r="A117" s="32"/>
      <c r="C117" s="12"/>
      <c r="D117" s="12"/>
      <c r="G117" s="12"/>
      <c r="H117" s="12"/>
    </row>
    <row r="118" spans="1:9" ht="15.75" customHeight="1">
      <c r="B118" s="103" t="s">
        <v>13</v>
      </c>
      <c r="C118" s="162"/>
      <c r="D118" s="162"/>
      <c r="E118" s="162"/>
      <c r="F118" s="119"/>
      <c r="I118" s="105"/>
    </row>
    <row r="119" spans="1:9" ht="15.75" customHeight="1">
      <c r="A119" s="106"/>
      <c r="C119" s="163" t="s">
        <v>11</v>
      </c>
      <c r="D119" s="163"/>
      <c r="E119" s="163"/>
      <c r="F119" s="106"/>
      <c r="I119" s="104" t="s">
        <v>12</v>
      </c>
    </row>
    <row r="120" spans="1:9" ht="15.75" customHeight="1">
      <c r="A120" s="4" t="s">
        <v>14</v>
      </c>
    </row>
    <row r="121" spans="1:9">
      <c r="A121" s="156" t="s">
        <v>15</v>
      </c>
      <c r="B121" s="156"/>
      <c r="C121" s="156"/>
      <c r="D121" s="156"/>
      <c r="E121" s="156"/>
      <c r="F121" s="156"/>
      <c r="G121" s="156"/>
      <c r="H121" s="156"/>
      <c r="I121" s="156"/>
    </row>
    <row r="122" spans="1:9" ht="45" customHeight="1">
      <c r="A122" s="157" t="s">
        <v>16</v>
      </c>
      <c r="B122" s="157"/>
      <c r="C122" s="157"/>
      <c r="D122" s="157"/>
      <c r="E122" s="157"/>
      <c r="F122" s="157"/>
      <c r="G122" s="157"/>
      <c r="H122" s="157"/>
      <c r="I122" s="157"/>
    </row>
    <row r="123" spans="1:9" ht="30" customHeight="1">
      <c r="A123" s="157" t="s">
        <v>17</v>
      </c>
      <c r="B123" s="157"/>
      <c r="C123" s="157"/>
      <c r="D123" s="157"/>
      <c r="E123" s="157"/>
      <c r="F123" s="157"/>
      <c r="G123" s="157"/>
      <c r="H123" s="157"/>
      <c r="I123" s="157"/>
    </row>
    <row r="124" spans="1:9" ht="30" customHeight="1">
      <c r="A124" s="157" t="s">
        <v>21</v>
      </c>
      <c r="B124" s="157"/>
      <c r="C124" s="157"/>
      <c r="D124" s="157"/>
      <c r="E124" s="157"/>
      <c r="F124" s="157"/>
      <c r="G124" s="157"/>
      <c r="H124" s="157"/>
      <c r="I124" s="157"/>
    </row>
    <row r="125" spans="1:9" ht="15" customHeight="1">
      <c r="A125" s="157" t="s">
        <v>20</v>
      </c>
      <c r="B125" s="157"/>
      <c r="C125" s="157"/>
      <c r="D125" s="157"/>
      <c r="E125" s="157"/>
      <c r="F125" s="157"/>
      <c r="G125" s="157"/>
      <c r="H125" s="157"/>
      <c r="I125" s="157"/>
    </row>
  </sheetData>
  <autoFilter ref="I12:I61"/>
  <mergeCells count="28">
    <mergeCell ref="R66:U66"/>
    <mergeCell ref="A78:I78"/>
    <mergeCell ref="A3:I3"/>
    <mergeCell ref="A4:I4"/>
    <mergeCell ref="A5:I5"/>
    <mergeCell ref="A8:I8"/>
    <mergeCell ref="A10:I10"/>
    <mergeCell ref="A14:I14"/>
    <mergeCell ref="A111:I111"/>
    <mergeCell ref="A15:I15"/>
    <mergeCell ref="A29:I29"/>
    <mergeCell ref="A45:I45"/>
    <mergeCell ref="A56:I56"/>
    <mergeCell ref="A105:I105"/>
    <mergeCell ref="B106:G106"/>
    <mergeCell ref="B107:G107"/>
    <mergeCell ref="A109:I109"/>
    <mergeCell ref="A110:I110"/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222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90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7">
        <v>42460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187.48</v>
      </c>
      <c r="H16" s="127">
        <f t="shared" ref="H16:H26" si="0">SUM(F16*G16/1000)</f>
        <v>16.056537119999998</v>
      </c>
      <c r="I16" s="14">
        <f>F16/12*G16</f>
        <v>1338.0447599999998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187.48</v>
      </c>
      <c r="H17" s="127">
        <f t="shared" si="0"/>
        <v>21.408716159999997</v>
      </c>
      <c r="I17" s="14">
        <f>F17/12*G17</f>
        <v>1784.0596799999998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539.30999999999995</v>
      </c>
      <c r="H18" s="127">
        <f t="shared" si="0"/>
        <v>21.317845679999998</v>
      </c>
      <c r="I18" s="14">
        <f>F18/12*G18</f>
        <v>1776.48714</v>
      </c>
      <c r="J18" s="29"/>
      <c r="K18" s="8"/>
      <c r="L18" s="8"/>
      <c r="M18" s="8"/>
    </row>
    <row r="19" spans="1:13" ht="15.75" hidden="1" customHeight="1">
      <c r="A19" s="36">
        <v>4</v>
      </c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181.91</v>
      </c>
      <c r="H19" s="127">
        <f t="shared" si="0"/>
        <v>0.39292560000000004</v>
      </c>
      <c r="I19" s="14">
        <v>0</v>
      </c>
      <c r="J19" s="29"/>
      <c r="K19" s="8"/>
      <c r="L19" s="8"/>
      <c r="M19" s="8"/>
    </row>
    <row r="20" spans="1:13" ht="15.75" hidden="1" customHeight="1">
      <c r="A20" s="36">
        <v>5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232.92</v>
      </c>
      <c r="H20" s="127">
        <f t="shared" si="0"/>
        <v>4.2764112E-2</v>
      </c>
      <c r="I20" s="14">
        <v>0</v>
      </c>
      <c r="J20" s="29"/>
      <c r="K20" s="8"/>
      <c r="L20" s="8"/>
      <c r="M20" s="8"/>
    </row>
    <row r="21" spans="1:13" ht="15.75" hidden="1" customHeight="1">
      <c r="A21" s="36">
        <v>6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231.03</v>
      </c>
      <c r="H21" s="127">
        <f t="shared" si="0"/>
        <v>3.7426860000000006E-2</v>
      </c>
      <c r="I21" s="14">
        <v>0</v>
      </c>
      <c r="J21" s="29"/>
      <c r="K21" s="8"/>
      <c r="L21" s="8"/>
      <c r="M21" s="8"/>
    </row>
    <row r="22" spans="1:13" ht="15.75" hidden="1" customHeight="1">
      <c r="A22" s="36">
        <v>7</v>
      </c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287.83999999999997</v>
      </c>
      <c r="H22" s="127">
        <f t="shared" si="0"/>
        <v>0.63416908799999983</v>
      </c>
      <c r="I22" s="14">
        <v>0</v>
      </c>
      <c r="J22" s="29"/>
      <c r="K22" s="8"/>
      <c r="L22" s="8"/>
      <c r="M22" s="8"/>
    </row>
    <row r="23" spans="1:13" ht="15.75" hidden="1" customHeight="1">
      <c r="A23" s="36">
        <v>8</v>
      </c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47.34</v>
      </c>
      <c r="H23" s="127">
        <f t="shared" si="0"/>
        <v>8.3507760000000007E-3</v>
      </c>
      <c r="I23" s="14">
        <v>0</v>
      </c>
      <c r="J23" s="29"/>
      <c r="K23" s="8"/>
      <c r="L23" s="8"/>
      <c r="M23" s="8"/>
    </row>
    <row r="24" spans="1:13" ht="15.75" hidden="1" customHeight="1">
      <c r="A24" s="36">
        <v>9</v>
      </c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416.62</v>
      </c>
      <c r="H24" s="127">
        <f t="shared" si="0"/>
        <v>2.9996640000000001E-2</v>
      </c>
      <c r="I24" s="14">
        <v>0</v>
      </c>
      <c r="J24" s="29"/>
      <c r="K24" s="8"/>
      <c r="L24" s="8"/>
      <c r="M24" s="8"/>
    </row>
    <row r="25" spans="1:13" ht="15.75" hidden="1" customHeight="1">
      <c r="A25" s="36">
        <v>10</v>
      </c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231.03</v>
      </c>
      <c r="H25" s="127">
        <f>G25*F25/1000</f>
        <v>2.1832334999999998E-2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>
        <v>11</v>
      </c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556.74</v>
      </c>
      <c r="H26" s="127">
        <f t="shared" si="0"/>
        <v>6.0127920000000008E-2</v>
      </c>
      <c r="I26" s="14">
        <v>0</v>
      </c>
      <c r="J26" s="29"/>
      <c r="K26" s="8"/>
      <c r="L26" s="8"/>
      <c r="M26" s="8"/>
    </row>
    <row r="27" spans="1:13" ht="15.75" customHeight="1">
      <c r="A27" s="36">
        <v>4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4">
        <f>F27/12*G27</f>
        <v>478.08916666666664</v>
      </c>
      <c r="J27" s="30"/>
    </row>
    <row r="28" spans="1:13" ht="15.75" customHeight="1">
      <c r="A28" s="36">
        <v>5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6.15</v>
      </c>
      <c r="H28" s="127">
        <f>SUM(F28*G28/1000)</f>
        <v>113.38632000000003</v>
      </c>
      <c r="I28" s="14">
        <f>F28/12*G28</f>
        <v>9448.8600000000024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29"/>
      <c r="K29" s="8"/>
      <c r="L29" s="8"/>
      <c r="M29" s="8"/>
    </row>
    <row r="30" spans="1:13" ht="15.75" hidden="1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29"/>
      <c r="K30" s="8"/>
      <c r="L30" s="8"/>
      <c r="M30" s="8"/>
    </row>
    <row r="31" spans="1:13" ht="31.5" hidden="1" customHeight="1">
      <c r="A31" s="36">
        <v>6</v>
      </c>
      <c r="B31" s="123" t="s">
        <v>128</v>
      </c>
      <c r="C31" s="124" t="s">
        <v>108</v>
      </c>
      <c r="D31" s="123" t="s">
        <v>123</v>
      </c>
      <c r="E31" s="126">
        <v>565.4</v>
      </c>
      <c r="F31" s="126">
        <f>SUM(E31*52/1000)</f>
        <v>29.4008</v>
      </c>
      <c r="G31" s="126">
        <v>166.65</v>
      </c>
      <c r="H31" s="127">
        <f t="shared" ref="H31:H36" si="1">SUM(F31*G31/1000)</f>
        <v>4.89964332</v>
      </c>
      <c r="I31" s="14">
        <f t="shared" ref="I31:I34" si="2">F31/6*G31</f>
        <v>816.6072200000001</v>
      </c>
      <c r="J31" s="29"/>
      <c r="K31" s="8"/>
      <c r="L31" s="8"/>
      <c r="M31" s="8"/>
    </row>
    <row r="32" spans="1:13" ht="31.5" hidden="1" customHeight="1">
      <c r="A32" s="36">
        <v>7</v>
      </c>
      <c r="B32" s="123" t="s">
        <v>127</v>
      </c>
      <c r="C32" s="124" t="s">
        <v>108</v>
      </c>
      <c r="D32" s="123" t="s">
        <v>124</v>
      </c>
      <c r="E32" s="126">
        <v>71.91</v>
      </c>
      <c r="F32" s="126">
        <f>SUM(E32*78/1000)</f>
        <v>5.6089799999999999</v>
      </c>
      <c r="G32" s="126">
        <v>276.48</v>
      </c>
      <c r="H32" s="127">
        <f t="shared" si="1"/>
        <v>1.5507707904000001</v>
      </c>
      <c r="I32" s="14">
        <f t="shared" si="2"/>
        <v>258.46179840000002</v>
      </c>
      <c r="J32" s="29"/>
      <c r="K32" s="8"/>
      <c r="L32" s="8"/>
      <c r="M32" s="8"/>
    </row>
    <row r="33" spans="1:14" ht="15.75" hidden="1" customHeight="1">
      <c r="A33" s="36">
        <v>14</v>
      </c>
      <c r="B33" s="123" t="s">
        <v>27</v>
      </c>
      <c r="C33" s="124" t="s">
        <v>108</v>
      </c>
      <c r="D33" s="123" t="s">
        <v>55</v>
      </c>
      <c r="E33" s="126">
        <v>565.4</v>
      </c>
      <c r="F33" s="126">
        <f>SUM(E33/1000)</f>
        <v>0.56540000000000001</v>
      </c>
      <c r="G33" s="126">
        <v>3228.73</v>
      </c>
      <c r="H33" s="127">
        <f t="shared" si="1"/>
        <v>1.825523942</v>
      </c>
      <c r="I33" s="14">
        <f>F33*G33</f>
        <v>1825.523942</v>
      </c>
      <c r="J33" s="29"/>
      <c r="K33" s="8"/>
      <c r="L33" s="8"/>
      <c r="M33" s="8"/>
    </row>
    <row r="34" spans="1:14" ht="15.75" hidden="1" customHeight="1">
      <c r="A34" s="36">
        <v>8</v>
      </c>
      <c r="B34" s="123" t="s">
        <v>126</v>
      </c>
      <c r="C34" s="124" t="s">
        <v>31</v>
      </c>
      <c r="D34" s="123" t="s">
        <v>68</v>
      </c>
      <c r="E34" s="130">
        <v>0.33333333333333331</v>
      </c>
      <c r="F34" s="126">
        <f>155/3</f>
        <v>51.666666666666664</v>
      </c>
      <c r="G34" s="126">
        <v>60.6</v>
      </c>
      <c r="H34" s="127">
        <f>SUM(G34*155/3/1000)</f>
        <v>3.1309999999999998</v>
      </c>
      <c r="I34" s="14">
        <f t="shared" si="2"/>
        <v>521.83333333333337</v>
      </c>
      <c r="J34" s="29"/>
      <c r="K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2</v>
      </c>
      <c r="G35" s="126">
        <v>204.52</v>
      </c>
      <c r="H35" s="127">
        <f t="shared" si="1"/>
        <v>0.40904000000000001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1214.74</v>
      </c>
      <c r="H36" s="127">
        <f t="shared" si="1"/>
        <v>1.2147399999999999</v>
      </c>
      <c r="I36" s="14">
        <v>0</v>
      </c>
      <c r="J36" s="30"/>
    </row>
    <row r="37" spans="1:14" ht="15.75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</row>
    <row r="38" spans="1:14" ht="15.75" customHeight="1">
      <c r="A38" s="36">
        <v>6</v>
      </c>
      <c r="B38" s="123" t="s">
        <v>26</v>
      </c>
      <c r="C38" s="124" t="s">
        <v>32</v>
      </c>
      <c r="D38" s="123"/>
      <c r="E38" s="125"/>
      <c r="F38" s="126">
        <v>5</v>
      </c>
      <c r="G38" s="126">
        <v>1632.6</v>
      </c>
      <c r="H38" s="127">
        <f t="shared" ref="H38:H44" si="3">SUM(F38*G38/1000)</f>
        <v>8.1630000000000003</v>
      </c>
      <c r="I38" s="14">
        <f t="shared" ref="I38:I44" si="4">F38/6*G38</f>
        <v>1360.5</v>
      </c>
      <c r="J38" s="30"/>
    </row>
    <row r="39" spans="1:14" ht="15.75" customHeight="1">
      <c r="A39" s="36">
        <v>7</v>
      </c>
      <c r="B39" s="123" t="s">
        <v>190</v>
      </c>
      <c r="C39" s="124" t="s">
        <v>29</v>
      </c>
      <c r="D39" s="123" t="s">
        <v>106</v>
      </c>
      <c r="E39" s="125">
        <v>71.91</v>
      </c>
      <c r="F39" s="126">
        <f>E39*30/1000</f>
        <v>2.1572999999999998</v>
      </c>
      <c r="G39" s="126">
        <v>2247.8000000000002</v>
      </c>
      <c r="H39" s="127">
        <f>G39*F39/1000</f>
        <v>4.8491789399999998</v>
      </c>
      <c r="I39" s="14">
        <f t="shared" si="4"/>
        <v>808.19649000000004</v>
      </c>
      <c r="J39" s="30"/>
      <c r="L39" s="23"/>
      <c r="M39" s="24"/>
      <c r="N39" s="25"/>
    </row>
    <row r="40" spans="1:14" ht="15.75" customHeight="1">
      <c r="A40" s="36">
        <v>8</v>
      </c>
      <c r="B40" s="123" t="s">
        <v>191</v>
      </c>
      <c r="C40" s="124" t="s">
        <v>29</v>
      </c>
      <c r="D40" s="123" t="s">
        <v>192</v>
      </c>
      <c r="E40" s="125">
        <v>294.37</v>
      </c>
      <c r="F40" s="126">
        <f>E40*12/1000</f>
        <v>3.5324400000000002</v>
      </c>
      <c r="G40" s="126">
        <v>2247.8000000000002</v>
      </c>
      <c r="H40" s="127">
        <f>G40*F40/1000</f>
        <v>7.9402186320000006</v>
      </c>
      <c r="I40" s="14">
        <f t="shared" si="4"/>
        <v>1323.3697720000002</v>
      </c>
      <c r="J40" s="30"/>
      <c r="L40" s="23"/>
      <c r="M40" s="24"/>
      <c r="N40" s="25"/>
    </row>
    <row r="41" spans="1:14" ht="15.75" customHeight="1">
      <c r="A41" s="36">
        <v>9</v>
      </c>
      <c r="B41" s="123" t="s">
        <v>73</v>
      </c>
      <c r="C41" s="124" t="s">
        <v>29</v>
      </c>
      <c r="D41" s="123" t="s">
        <v>107</v>
      </c>
      <c r="E41" s="126">
        <v>71.91</v>
      </c>
      <c r="F41" s="126">
        <f>SUM(E41*155/1000)</f>
        <v>11.146049999999999</v>
      </c>
      <c r="G41" s="126">
        <v>374.95</v>
      </c>
      <c r="H41" s="127">
        <f t="shared" si="3"/>
        <v>4.1792114475000002</v>
      </c>
      <c r="I41" s="14">
        <f t="shared" si="4"/>
        <v>696.5352412499999</v>
      </c>
      <c r="J41" s="30"/>
      <c r="L41" s="23"/>
      <c r="M41" s="24"/>
      <c r="N41" s="25"/>
    </row>
    <row r="42" spans="1:14" ht="47.25" customHeight="1">
      <c r="A42" s="36">
        <v>10</v>
      </c>
      <c r="B42" s="123" t="s">
        <v>97</v>
      </c>
      <c r="C42" s="124" t="s">
        <v>108</v>
      </c>
      <c r="D42" s="123" t="s">
        <v>149</v>
      </c>
      <c r="E42" s="126">
        <v>71.91</v>
      </c>
      <c r="F42" s="126">
        <f>SUM(E42*24/1000)</f>
        <v>1.7258399999999998</v>
      </c>
      <c r="G42" s="126">
        <v>6203.7</v>
      </c>
      <c r="H42" s="127">
        <f t="shared" si="3"/>
        <v>10.706593607999999</v>
      </c>
      <c r="I42" s="14">
        <f t="shared" si="4"/>
        <v>1784.4322679999996</v>
      </c>
      <c r="J42" s="30"/>
      <c r="L42" s="23"/>
      <c r="M42" s="24"/>
      <c r="N42" s="25"/>
    </row>
    <row r="43" spans="1:14" ht="15.75" customHeight="1">
      <c r="A43" s="36">
        <v>11</v>
      </c>
      <c r="B43" s="123" t="s">
        <v>193</v>
      </c>
      <c r="C43" s="124" t="s">
        <v>108</v>
      </c>
      <c r="D43" s="123" t="s">
        <v>74</v>
      </c>
      <c r="E43" s="126">
        <v>71.91</v>
      </c>
      <c r="F43" s="126">
        <f>SUM(E43*45/1000)</f>
        <v>3.2359499999999999</v>
      </c>
      <c r="G43" s="126">
        <v>458.28</v>
      </c>
      <c r="H43" s="127">
        <f t="shared" si="3"/>
        <v>1.4829711659999998</v>
      </c>
      <c r="I43" s="14">
        <f t="shared" si="4"/>
        <v>247.16186099999996</v>
      </c>
      <c r="J43" s="30"/>
      <c r="L43" s="23"/>
      <c r="M43" s="24"/>
      <c r="N43" s="25"/>
    </row>
    <row r="44" spans="1:14" ht="15.75" customHeight="1">
      <c r="A44" s="36">
        <v>12</v>
      </c>
      <c r="B44" s="123" t="s">
        <v>75</v>
      </c>
      <c r="C44" s="124" t="s">
        <v>33</v>
      </c>
      <c r="D44" s="123"/>
      <c r="E44" s="125"/>
      <c r="F44" s="126">
        <v>0.3</v>
      </c>
      <c r="G44" s="126">
        <v>853.06</v>
      </c>
      <c r="H44" s="127">
        <f t="shared" si="3"/>
        <v>0.25591799999999998</v>
      </c>
      <c r="I44" s="14">
        <f t="shared" si="4"/>
        <v>42.652999999999992</v>
      </c>
      <c r="J44" s="30"/>
      <c r="L44" s="23"/>
      <c r="M44" s="24"/>
      <c r="N44" s="25"/>
    </row>
    <row r="45" spans="1:14" ht="15.75" hidden="1" customHeight="1">
      <c r="A45" s="153" t="s">
        <v>183</v>
      </c>
      <c r="B45" s="154"/>
      <c r="C45" s="154"/>
      <c r="D45" s="154"/>
      <c r="E45" s="154"/>
      <c r="F45" s="154"/>
      <c r="G45" s="154"/>
      <c r="H45" s="154"/>
      <c r="I45" s="155"/>
      <c r="J45" s="30"/>
      <c r="L45" s="23"/>
      <c r="M45" s="24"/>
      <c r="N45" s="25"/>
    </row>
    <row r="46" spans="1:14" ht="15.75" hidden="1" customHeight="1">
      <c r="A46" s="36"/>
      <c r="B46" s="123" t="s">
        <v>129</v>
      </c>
      <c r="C46" s="124" t="s">
        <v>108</v>
      </c>
      <c r="D46" s="123" t="s">
        <v>43</v>
      </c>
      <c r="E46" s="125">
        <v>904.4</v>
      </c>
      <c r="F46" s="126">
        <f>SUM(E46*2/1000)</f>
        <v>1.8088</v>
      </c>
      <c r="G46" s="14">
        <v>865.61</v>
      </c>
      <c r="H46" s="127">
        <f t="shared" ref="H46:H55" si="5">SUM(F46*G46/1000)</f>
        <v>1.565715368</v>
      </c>
      <c r="I46" s="14">
        <v>0</v>
      </c>
      <c r="J46" s="30"/>
      <c r="L46" s="23"/>
      <c r="M46" s="24"/>
      <c r="N46" s="25"/>
    </row>
    <row r="47" spans="1:14" ht="15.75" hidden="1" customHeight="1">
      <c r="A47" s="36"/>
      <c r="B47" s="123" t="s">
        <v>36</v>
      </c>
      <c r="C47" s="124" t="s">
        <v>108</v>
      </c>
      <c r="D47" s="123" t="s">
        <v>43</v>
      </c>
      <c r="E47" s="125">
        <v>27</v>
      </c>
      <c r="F47" s="126">
        <f>E47*2/1000</f>
        <v>5.3999999999999999E-2</v>
      </c>
      <c r="G47" s="14">
        <v>619.46</v>
      </c>
      <c r="H47" s="127">
        <f t="shared" si="5"/>
        <v>3.3450840000000003E-2</v>
      </c>
      <c r="I47" s="14">
        <v>0</v>
      </c>
      <c r="J47" s="30"/>
      <c r="L47" s="23"/>
      <c r="M47" s="24"/>
      <c r="N47" s="25"/>
    </row>
    <row r="48" spans="1:14" ht="15.75" hidden="1" customHeight="1">
      <c r="A48" s="36"/>
      <c r="B48" s="123" t="s">
        <v>37</v>
      </c>
      <c r="C48" s="124" t="s">
        <v>108</v>
      </c>
      <c r="D48" s="123" t="s">
        <v>43</v>
      </c>
      <c r="E48" s="125">
        <v>772</v>
      </c>
      <c r="F48" s="126">
        <f>SUM(E48*2/1000)</f>
        <v>1.544</v>
      </c>
      <c r="G48" s="14">
        <v>619.46</v>
      </c>
      <c r="H48" s="127">
        <f t="shared" si="5"/>
        <v>0.95644624000000011</v>
      </c>
      <c r="I48" s="14">
        <v>0</v>
      </c>
      <c r="J48" s="30"/>
      <c r="L48" s="23"/>
      <c r="M48" s="24"/>
      <c r="N48" s="25"/>
    </row>
    <row r="49" spans="1:22" ht="15.75" hidden="1" customHeight="1">
      <c r="A49" s="36"/>
      <c r="B49" s="123" t="s">
        <v>38</v>
      </c>
      <c r="C49" s="124" t="s">
        <v>108</v>
      </c>
      <c r="D49" s="123" t="s">
        <v>43</v>
      </c>
      <c r="E49" s="125">
        <v>959.35</v>
      </c>
      <c r="F49" s="126">
        <f>SUM(E49*2/1000)</f>
        <v>1.9187000000000001</v>
      </c>
      <c r="G49" s="14">
        <v>648.64</v>
      </c>
      <c r="H49" s="127">
        <f t="shared" si="5"/>
        <v>1.2445455679999999</v>
      </c>
      <c r="I49" s="14">
        <v>0</v>
      </c>
      <c r="J49" s="30"/>
      <c r="L49" s="23"/>
      <c r="M49" s="24"/>
      <c r="N49" s="25"/>
    </row>
    <row r="50" spans="1:22" ht="15.75" hidden="1" customHeight="1">
      <c r="A50" s="36"/>
      <c r="B50" s="123" t="s">
        <v>34</v>
      </c>
      <c r="C50" s="124" t="s">
        <v>35</v>
      </c>
      <c r="D50" s="123" t="s">
        <v>43</v>
      </c>
      <c r="E50" s="125">
        <v>66.02</v>
      </c>
      <c r="F50" s="126">
        <f>SUM(E50*2/100)</f>
        <v>1.3204</v>
      </c>
      <c r="G50" s="14">
        <v>77.84</v>
      </c>
      <c r="H50" s="127">
        <f t="shared" si="5"/>
        <v>0.102779936</v>
      </c>
      <c r="I50" s="14">
        <v>0</v>
      </c>
      <c r="J50" s="30"/>
      <c r="L50" s="23"/>
      <c r="M50" s="24"/>
      <c r="N50" s="25"/>
    </row>
    <row r="51" spans="1:22" ht="15.75" hidden="1" customHeight="1">
      <c r="A51" s="36">
        <v>13</v>
      </c>
      <c r="B51" s="123" t="s">
        <v>59</v>
      </c>
      <c r="C51" s="124" t="s">
        <v>108</v>
      </c>
      <c r="D51" s="123" t="s">
        <v>180</v>
      </c>
      <c r="E51" s="125">
        <v>702.5</v>
      </c>
      <c r="F51" s="126">
        <f>SUM(E51*5/1000)</f>
        <v>3.5125000000000002</v>
      </c>
      <c r="G51" s="14">
        <v>1297.28</v>
      </c>
      <c r="H51" s="127">
        <f t="shared" si="5"/>
        <v>4.5566959999999996</v>
      </c>
      <c r="I51" s="14">
        <f>F51/5*G51</f>
        <v>911.33920000000001</v>
      </c>
      <c r="J51" s="30"/>
      <c r="L51" s="23"/>
      <c r="M51" s="24"/>
      <c r="N51" s="25"/>
    </row>
    <row r="52" spans="1:22" ht="31.5" hidden="1" customHeight="1">
      <c r="A52" s="36"/>
      <c r="B52" s="123" t="s">
        <v>109</v>
      </c>
      <c r="C52" s="124" t="s">
        <v>108</v>
      </c>
      <c r="D52" s="123" t="s">
        <v>43</v>
      </c>
      <c r="E52" s="125">
        <v>702.5</v>
      </c>
      <c r="F52" s="126">
        <f>SUM(E52*2/1000)</f>
        <v>1.405</v>
      </c>
      <c r="G52" s="14">
        <v>1297.28</v>
      </c>
      <c r="H52" s="127">
        <f t="shared" si="5"/>
        <v>1.8226784</v>
      </c>
      <c r="I52" s="14">
        <v>0</v>
      </c>
      <c r="J52" s="30"/>
      <c r="L52" s="23"/>
      <c r="M52" s="24"/>
      <c r="N52" s="25"/>
    </row>
    <row r="53" spans="1:22" ht="31.5" hidden="1" customHeight="1">
      <c r="A53" s="36"/>
      <c r="B53" s="123" t="s">
        <v>110</v>
      </c>
      <c r="C53" s="124" t="s">
        <v>39</v>
      </c>
      <c r="D53" s="123" t="s">
        <v>43</v>
      </c>
      <c r="E53" s="125">
        <v>9</v>
      </c>
      <c r="F53" s="126">
        <f>SUM(E53*2/100)</f>
        <v>0.18</v>
      </c>
      <c r="G53" s="14">
        <v>2918.89</v>
      </c>
      <c r="H53" s="127">
        <f t="shared" si="5"/>
        <v>0.52540019999999987</v>
      </c>
      <c r="I53" s="14">
        <v>0</v>
      </c>
      <c r="J53" s="30"/>
      <c r="L53" s="23"/>
      <c r="M53" s="24"/>
      <c r="N53" s="25"/>
    </row>
    <row r="54" spans="1:22" ht="15.75" hidden="1" customHeight="1">
      <c r="A54" s="36"/>
      <c r="B54" s="123" t="s">
        <v>40</v>
      </c>
      <c r="C54" s="124" t="s">
        <v>41</v>
      </c>
      <c r="D54" s="123" t="s">
        <v>43</v>
      </c>
      <c r="E54" s="125">
        <v>1</v>
      </c>
      <c r="F54" s="126">
        <v>0.02</v>
      </c>
      <c r="G54" s="14">
        <v>6042.12</v>
      </c>
      <c r="H54" s="127">
        <f t="shared" si="5"/>
        <v>0.1208424</v>
      </c>
      <c r="I54" s="14">
        <v>0</v>
      </c>
      <c r="J54" s="30"/>
      <c r="L54" s="23"/>
      <c r="M54" s="24"/>
      <c r="N54" s="25"/>
    </row>
    <row r="55" spans="1:22" ht="15.75" hidden="1" customHeight="1">
      <c r="A55" s="36">
        <v>14</v>
      </c>
      <c r="B55" s="123" t="s">
        <v>42</v>
      </c>
      <c r="C55" s="124" t="s">
        <v>130</v>
      </c>
      <c r="D55" s="123" t="s">
        <v>76</v>
      </c>
      <c r="E55" s="125">
        <v>53</v>
      </c>
      <c r="F55" s="126">
        <f>SUM(E55)*3</f>
        <v>159</v>
      </c>
      <c r="G55" s="14">
        <v>70.209999999999994</v>
      </c>
      <c r="H55" s="127">
        <f t="shared" si="5"/>
        <v>11.16339</v>
      </c>
      <c r="I55" s="14">
        <f>E55*G55</f>
        <v>3721.1299999999997</v>
      </c>
      <c r="J55" s="30"/>
      <c r="L55" s="23"/>
      <c r="M55" s="24"/>
      <c r="N55" s="25"/>
    </row>
    <row r="56" spans="1:22" ht="15.75" customHeight="1">
      <c r="A56" s="153" t="s">
        <v>223</v>
      </c>
      <c r="B56" s="154"/>
      <c r="C56" s="154"/>
      <c r="D56" s="154"/>
      <c r="E56" s="154"/>
      <c r="F56" s="154"/>
      <c r="G56" s="154"/>
      <c r="H56" s="154"/>
      <c r="I56" s="155"/>
      <c r="J56" s="30"/>
      <c r="L56" s="23"/>
      <c r="M56" s="24"/>
      <c r="N56" s="25"/>
    </row>
    <row r="57" spans="1:22" ht="15.75" customHeight="1">
      <c r="A57" s="36"/>
      <c r="B57" s="144" t="s">
        <v>44</v>
      </c>
      <c r="C57" s="124"/>
      <c r="D57" s="123"/>
      <c r="E57" s="125"/>
      <c r="F57" s="126"/>
      <c r="G57" s="126"/>
      <c r="H57" s="127"/>
      <c r="I57" s="14"/>
      <c r="J57" s="30"/>
      <c r="L57" s="23"/>
      <c r="M57" s="24"/>
      <c r="N57" s="25"/>
    </row>
    <row r="58" spans="1:22" ht="31.5" customHeight="1">
      <c r="A58" s="36">
        <v>13</v>
      </c>
      <c r="B58" s="123" t="s">
        <v>131</v>
      </c>
      <c r="C58" s="124" t="s">
        <v>105</v>
      </c>
      <c r="D58" s="123" t="s">
        <v>132</v>
      </c>
      <c r="E58" s="125">
        <v>25</v>
      </c>
      <c r="F58" s="126">
        <f>SUM(E58*6/100)</f>
        <v>1.5</v>
      </c>
      <c r="G58" s="14">
        <v>1654.04</v>
      </c>
      <c r="H58" s="127">
        <f>SUM(F58*G58/1000)</f>
        <v>2.4810599999999998</v>
      </c>
      <c r="I58" s="14">
        <f>F58/6*G58</f>
        <v>413.51</v>
      </c>
      <c r="J58" s="30"/>
      <c r="L58" s="23"/>
      <c r="M58" s="24"/>
      <c r="N58" s="25"/>
    </row>
    <row r="59" spans="1:22" ht="15.75" hidden="1" customHeight="1">
      <c r="A59" s="36"/>
      <c r="B59" s="144" t="s">
        <v>45</v>
      </c>
      <c r="C59" s="124"/>
      <c r="D59" s="123"/>
      <c r="E59" s="125"/>
      <c r="F59" s="126"/>
      <c r="G59" s="116"/>
      <c r="H59" s="127"/>
      <c r="I59" s="14"/>
      <c r="J59" s="30"/>
      <c r="L59" s="23"/>
    </row>
    <row r="60" spans="1:22" ht="15.75" hidden="1" customHeight="1">
      <c r="A60" s="36"/>
      <c r="B60" s="123" t="s">
        <v>133</v>
      </c>
      <c r="C60" s="124" t="s">
        <v>105</v>
      </c>
      <c r="D60" s="123" t="s">
        <v>72</v>
      </c>
      <c r="E60" s="125">
        <v>1026</v>
      </c>
      <c r="F60" s="127">
        <f>E60/100</f>
        <v>10.26</v>
      </c>
      <c r="G60" s="14">
        <v>848.37</v>
      </c>
      <c r="H60" s="132">
        <f>F60*G60/1000</f>
        <v>8.7042762000000007</v>
      </c>
      <c r="I60" s="14">
        <v>0</v>
      </c>
    </row>
    <row r="61" spans="1:22" ht="15.75" hidden="1" customHeight="1">
      <c r="A61" s="36"/>
      <c r="B61" s="145" t="s">
        <v>46</v>
      </c>
      <c r="C61" s="133"/>
      <c r="D61" s="134"/>
      <c r="E61" s="135"/>
      <c r="F61" s="136"/>
      <c r="G61" s="136"/>
      <c r="H61" s="137" t="s">
        <v>145</v>
      </c>
      <c r="I61" s="14"/>
    </row>
    <row r="62" spans="1:22" ht="15.75" hidden="1" customHeight="1">
      <c r="A62" s="36"/>
      <c r="B62" s="16" t="s">
        <v>47</v>
      </c>
      <c r="C62" s="18" t="s">
        <v>130</v>
      </c>
      <c r="D62" s="123" t="s">
        <v>72</v>
      </c>
      <c r="E62" s="21">
        <v>8</v>
      </c>
      <c r="F62" s="126">
        <v>8</v>
      </c>
      <c r="G62" s="14">
        <v>237.74</v>
      </c>
      <c r="H62" s="121">
        <f t="shared" ref="H62:H75" si="6">SUM(F62*G62/1000)</f>
        <v>1.9019200000000001</v>
      </c>
      <c r="I62" s="14">
        <v>0</v>
      </c>
    </row>
    <row r="63" spans="1:22" ht="15.75" hidden="1" customHeight="1">
      <c r="A63" s="36"/>
      <c r="B63" s="16" t="s">
        <v>48</v>
      </c>
      <c r="C63" s="18" t="s">
        <v>130</v>
      </c>
      <c r="D63" s="123" t="s">
        <v>72</v>
      </c>
      <c r="E63" s="21">
        <v>3</v>
      </c>
      <c r="F63" s="126">
        <v>3</v>
      </c>
      <c r="G63" s="14">
        <v>81.510000000000005</v>
      </c>
      <c r="H63" s="121">
        <f t="shared" si="6"/>
        <v>0.24453000000000003</v>
      </c>
      <c r="I63" s="14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6"/>
      <c r="B64" s="16" t="s">
        <v>49</v>
      </c>
      <c r="C64" s="18" t="s">
        <v>134</v>
      </c>
      <c r="D64" s="16" t="s">
        <v>55</v>
      </c>
      <c r="E64" s="125">
        <v>6307</v>
      </c>
      <c r="F64" s="14">
        <f>SUM(E64/100)</f>
        <v>63.07</v>
      </c>
      <c r="G64" s="14">
        <v>226.79</v>
      </c>
      <c r="H64" s="121">
        <f t="shared" si="6"/>
        <v>14.303645299999999</v>
      </c>
      <c r="I64" s="14">
        <v>0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6" t="s">
        <v>50</v>
      </c>
      <c r="C65" s="18" t="s">
        <v>135</v>
      </c>
      <c r="D65" s="16"/>
      <c r="E65" s="125">
        <v>6307</v>
      </c>
      <c r="F65" s="14">
        <f>SUM(E65/1000)</f>
        <v>6.3070000000000004</v>
      </c>
      <c r="G65" s="14">
        <v>176.61</v>
      </c>
      <c r="H65" s="121">
        <f t="shared" si="6"/>
        <v>1.1138792700000002</v>
      </c>
      <c r="I65" s="14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6" t="s">
        <v>51</v>
      </c>
      <c r="C66" s="18" t="s">
        <v>82</v>
      </c>
      <c r="D66" s="16" t="s">
        <v>55</v>
      </c>
      <c r="E66" s="125">
        <v>1003</v>
      </c>
      <c r="F66" s="14">
        <f>SUM(E66/100)</f>
        <v>10.029999999999999</v>
      </c>
      <c r="G66" s="14">
        <v>2217.7800000000002</v>
      </c>
      <c r="H66" s="121">
        <f t="shared" si="6"/>
        <v>22.244333399999999</v>
      </c>
      <c r="I66" s="14">
        <v>0</v>
      </c>
      <c r="J66" s="5"/>
      <c r="K66" s="5"/>
      <c r="L66" s="5"/>
      <c r="M66" s="5"/>
      <c r="N66" s="5"/>
      <c r="O66" s="5"/>
      <c r="P66" s="5"/>
      <c r="Q66" s="5"/>
      <c r="R66" s="163"/>
      <c r="S66" s="163"/>
      <c r="T66" s="163"/>
      <c r="U66" s="163"/>
    </row>
    <row r="67" spans="1:21" ht="15.75" hidden="1" customHeight="1">
      <c r="A67" s="36"/>
      <c r="B67" s="138" t="s">
        <v>136</v>
      </c>
      <c r="C67" s="18" t="s">
        <v>33</v>
      </c>
      <c r="D67" s="16"/>
      <c r="E67" s="125">
        <v>6.6</v>
      </c>
      <c r="F67" s="14">
        <f>SUM(E67)</f>
        <v>6.6</v>
      </c>
      <c r="G67" s="14">
        <v>42.67</v>
      </c>
      <c r="H67" s="121">
        <f t="shared" si="6"/>
        <v>0.28162200000000004</v>
      </c>
      <c r="I67" s="14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38" t="s">
        <v>137</v>
      </c>
      <c r="C68" s="18" t="s">
        <v>33</v>
      </c>
      <c r="D68" s="16"/>
      <c r="E68" s="125">
        <v>6.6</v>
      </c>
      <c r="F68" s="14">
        <f>SUM(E68)</f>
        <v>6.6</v>
      </c>
      <c r="G68" s="14">
        <v>39.81</v>
      </c>
      <c r="H68" s="121">
        <f t="shared" si="6"/>
        <v>0.26274599999999998</v>
      </c>
      <c r="I68" s="14">
        <v>0</v>
      </c>
    </row>
    <row r="69" spans="1:21" ht="15.75" hidden="1" customHeight="1">
      <c r="A69" s="36"/>
      <c r="B69" s="16" t="s">
        <v>60</v>
      </c>
      <c r="C69" s="18" t="s">
        <v>61</v>
      </c>
      <c r="D69" s="16" t="s">
        <v>55</v>
      </c>
      <c r="E69" s="21">
        <v>3</v>
      </c>
      <c r="F69" s="126">
        <v>3</v>
      </c>
      <c r="G69" s="14">
        <v>46.97</v>
      </c>
      <c r="H69" s="121">
        <f t="shared" si="6"/>
        <v>0.14091000000000001</v>
      </c>
      <c r="I69" s="14">
        <v>0</v>
      </c>
    </row>
    <row r="70" spans="1:21" ht="15.75" hidden="1" customHeight="1">
      <c r="A70" s="36"/>
      <c r="B70" s="101" t="s">
        <v>77</v>
      </c>
      <c r="C70" s="18"/>
      <c r="D70" s="16"/>
      <c r="E70" s="21"/>
      <c r="F70" s="14"/>
      <c r="G70" s="14"/>
      <c r="H70" s="121" t="s">
        <v>145</v>
      </c>
      <c r="I70" s="14"/>
    </row>
    <row r="71" spans="1:21" ht="15.75" hidden="1" customHeight="1">
      <c r="A71" s="36"/>
      <c r="B71" s="16" t="s">
        <v>78</v>
      </c>
      <c r="C71" s="18" t="s">
        <v>80</v>
      </c>
      <c r="D71" s="16"/>
      <c r="E71" s="21">
        <v>3</v>
      </c>
      <c r="F71" s="14">
        <v>0.3</v>
      </c>
      <c r="G71" s="14">
        <v>536.23</v>
      </c>
      <c r="H71" s="121">
        <f t="shared" si="6"/>
        <v>0.16086900000000001</v>
      </c>
      <c r="I71" s="14">
        <v>0</v>
      </c>
    </row>
    <row r="72" spans="1:21" ht="15.75" hidden="1" customHeight="1">
      <c r="A72" s="36"/>
      <c r="B72" s="16" t="s">
        <v>79</v>
      </c>
      <c r="C72" s="18" t="s">
        <v>31</v>
      </c>
      <c r="D72" s="16"/>
      <c r="E72" s="21">
        <v>1</v>
      </c>
      <c r="F72" s="116">
        <v>1</v>
      </c>
      <c r="G72" s="14">
        <v>911.85</v>
      </c>
      <c r="H72" s="121">
        <f>F72*G72/1000</f>
        <v>0.91185000000000005</v>
      </c>
      <c r="I72" s="14">
        <v>0</v>
      </c>
    </row>
    <row r="73" spans="1:21" ht="15.75" hidden="1" customHeight="1">
      <c r="A73" s="36"/>
      <c r="B73" s="16" t="s">
        <v>194</v>
      </c>
      <c r="C73" s="18" t="s">
        <v>31</v>
      </c>
      <c r="D73" s="16"/>
      <c r="E73" s="21">
        <v>1</v>
      </c>
      <c r="F73" s="14">
        <v>1</v>
      </c>
      <c r="G73" s="14">
        <v>383.25</v>
      </c>
      <c r="H73" s="121">
        <f>G73*F73/1000</f>
        <v>0.38324999999999998</v>
      </c>
      <c r="I73" s="14">
        <v>0</v>
      </c>
    </row>
    <row r="74" spans="1:21" ht="15.75" hidden="1" customHeight="1">
      <c r="A74" s="36"/>
      <c r="B74" s="140" t="s">
        <v>81</v>
      </c>
      <c r="C74" s="18"/>
      <c r="D74" s="16"/>
      <c r="E74" s="21"/>
      <c r="F74" s="14"/>
      <c r="G74" s="14" t="s">
        <v>145</v>
      </c>
      <c r="H74" s="121" t="s">
        <v>145</v>
      </c>
      <c r="I74" s="14"/>
    </row>
    <row r="75" spans="1:21" ht="15.75" hidden="1" customHeight="1">
      <c r="A75" s="36"/>
      <c r="B75" s="67" t="s">
        <v>162</v>
      </c>
      <c r="C75" s="18" t="s">
        <v>82</v>
      </c>
      <c r="D75" s="16"/>
      <c r="E75" s="21"/>
      <c r="F75" s="14">
        <v>0.1</v>
      </c>
      <c r="G75" s="14">
        <v>2831.38</v>
      </c>
      <c r="H75" s="121">
        <f t="shared" si="6"/>
        <v>0.28313800000000006</v>
      </c>
      <c r="I75" s="14">
        <v>0</v>
      </c>
    </row>
    <row r="76" spans="1:21" ht="15.75" hidden="1" customHeight="1">
      <c r="A76" s="36"/>
      <c r="B76" s="115" t="s">
        <v>111</v>
      </c>
      <c r="C76" s="115"/>
      <c r="D76" s="115"/>
      <c r="E76" s="146"/>
      <c r="F76" s="147"/>
      <c r="G76" s="129"/>
      <c r="H76" s="141">
        <f>SUM(H58:H75)</f>
        <v>53.41802916999999</v>
      </c>
      <c r="I76" s="129"/>
    </row>
    <row r="77" spans="1:21" ht="15.75" hidden="1" customHeight="1">
      <c r="A77" s="36"/>
      <c r="B77" s="148" t="s">
        <v>138</v>
      </c>
      <c r="C77" s="27"/>
      <c r="D77" s="26"/>
      <c r="E77" s="117"/>
      <c r="F77" s="14">
        <v>1</v>
      </c>
      <c r="G77" s="14">
        <v>5637.8</v>
      </c>
      <c r="H77" s="121">
        <f>G77*F77/1000</f>
        <v>5.6378000000000004</v>
      </c>
      <c r="I77" s="14">
        <v>0</v>
      </c>
    </row>
    <row r="78" spans="1:21" ht="15.75" customHeight="1">
      <c r="A78" s="153" t="s">
        <v>224</v>
      </c>
      <c r="B78" s="154"/>
      <c r="C78" s="154"/>
      <c r="D78" s="154"/>
      <c r="E78" s="154"/>
      <c r="F78" s="154"/>
      <c r="G78" s="154"/>
      <c r="H78" s="154"/>
      <c r="I78" s="155"/>
    </row>
    <row r="79" spans="1:21" ht="15.75" customHeight="1">
      <c r="A79" s="36">
        <v>14</v>
      </c>
      <c r="B79" s="123" t="s">
        <v>139</v>
      </c>
      <c r="C79" s="18" t="s">
        <v>56</v>
      </c>
      <c r="D79" s="142" t="s">
        <v>57</v>
      </c>
      <c r="E79" s="14">
        <v>1536.4</v>
      </c>
      <c r="F79" s="14">
        <f>SUM(E79*12)</f>
        <v>18436.800000000003</v>
      </c>
      <c r="G79" s="14">
        <v>2.2400000000000002</v>
      </c>
      <c r="H79" s="121">
        <f>SUM(F79*G79/1000)</f>
        <v>41.298432000000005</v>
      </c>
      <c r="I79" s="14">
        <f>F79/12*G79</f>
        <v>3441.536000000001</v>
      </c>
    </row>
    <row r="80" spans="1:21" ht="31.5" customHeight="1">
      <c r="A80" s="36">
        <v>15</v>
      </c>
      <c r="B80" s="16" t="s">
        <v>83</v>
      </c>
      <c r="C80" s="18"/>
      <c r="D80" s="142" t="s">
        <v>57</v>
      </c>
      <c r="E80" s="125">
        <f>E79</f>
        <v>1536.4</v>
      </c>
      <c r="F80" s="14">
        <f>E80*12</f>
        <v>18436.800000000003</v>
      </c>
      <c r="G80" s="14">
        <v>1.74</v>
      </c>
      <c r="H80" s="121">
        <f>F80*G80/1000</f>
        <v>32.08003200000001</v>
      </c>
      <c r="I80" s="14">
        <f>F80/12*G80</f>
        <v>2673.3360000000007</v>
      </c>
    </row>
    <row r="81" spans="1:9" ht="15.75" customHeight="1">
      <c r="A81" s="36"/>
      <c r="B81" s="54" t="s">
        <v>87</v>
      </c>
      <c r="C81" s="140"/>
      <c r="D81" s="139"/>
      <c r="E81" s="129"/>
      <c r="F81" s="129"/>
      <c r="G81" s="129"/>
      <c r="H81" s="141">
        <f>H80</f>
        <v>32.08003200000001</v>
      </c>
      <c r="I81" s="129">
        <f>I16+I17+I18+I27+I28+I38+I39+I40+I41+I42+I43+I44+I58+I79+I80</f>
        <v>27616.771378916666</v>
      </c>
    </row>
    <row r="82" spans="1:9" ht="15.75" customHeight="1">
      <c r="A82" s="36"/>
      <c r="B82" s="87" t="s">
        <v>63</v>
      </c>
      <c r="C82" s="18"/>
      <c r="D82" s="67"/>
      <c r="E82" s="14"/>
      <c r="F82" s="14"/>
      <c r="G82" s="14"/>
      <c r="H82" s="14"/>
      <c r="I82" s="14"/>
    </row>
    <row r="83" spans="1:9" ht="15.75" customHeight="1">
      <c r="A83" s="36">
        <v>16</v>
      </c>
      <c r="B83" s="88" t="s">
        <v>164</v>
      </c>
      <c r="C83" s="89" t="s">
        <v>130</v>
      </c>
      <c r="D83" s="67"/>
      <c r="E83" s="14"/>
      <c r="F83" s="14">
        <v>216</v>
      </c>
      <c r="G83" s="14">
        <v>50.68</v>
      </c>
      <c r="H83" s="14">
        <f>G83*F83/1000</f>
        <v>10.946879999999998</v>
      </c>
      <c r="I83" s="14">
        <f>G83*27</f>
        <v>1368.36</v>
      </c>
    </row>
    <row r="84" spans="1:9" ht="31.5" hidden="1" customHeight="1">
      <c r="A84" s="36"/>
      <c r="B84" s="88" t="s">
        <v>196</v>
      </c>
      <c r="C84" s="89" t="s">
        <v>197</v>
      </c>
      <c r="D84" s="67"/>
      <c r="E84" s="14"/>
      <c r="F84" s="14">
        <v>1</v>
      </c>
      <c r="G84" s="14">
        <v>51.39</v>
      </c>
      <c r="H84" s="14">
        <f>G84*F84/1000</f>
        <v>5.1389999999999998E-2</v>
      </c>
      <c r="I84" s="14">
        <v>0</v>
      </c>
    </row>
    <row r="85" spans="1:9" ht="15.75" hidden="1" customHeight="1">
      <c r="A85" s="36"/>
      <c r="B85" s="88" t="s">
        <v>152</v>
      </c>
      <c r="C85" s="89" t="s">
        <v>198</v>
      </c>
      <c r="D85" s="67"/>
      <c r="E85" s="14"/>
      <c r="F85" s="14">
        <v>2</v>
      </c>
      <c r="G85" s="14">
        <v>1501</v>
      </c>
      <c r="H85" s="121">
        <f>G85*F85/1000</f>
        <v>3.0019999999999998</v>
      </c>
      <c r="I85" s="14">
        <v>0</v>
      </c>
    </row>
    <row r="86" spans="1:9" ht="15.75" hidden="1" customHeight="1">
      <c r="A86" s="36"/>
      <c r="B86" s="88" t="s">
        <v>199</v>
      </c>
      <c r="C86" s="89" t="s">
        <v>200</v>
      </c>
      <c r="D86" s="67"/>
      <c r="E86" s="14"/>
      <c r="F86" s="14">
        <v>1</v>
      </c>
      <c r="G86" s="14">
        <v>15786</v>
      </c>
      <c r="H86" s="14">
        <f t="shared" ref="H86:H88" si="7">G86*F86/1000</f>
        <v>15.786</v>
      </c>
      <c r="I86" s="14">
        <v>0</v>
      </c>
    </row>
    <row r="87" spans="1:9" ht="31.5" hidden="1" customHeight="1">
      <c r="A87" s="36"/>
      <c r="B87" s="88" t="s">
        <v>201</v>
      </c>
      <c r="C87" s="89" t="s">
        <v>89</v>
      </c>
      <c r="D87" s="67"/>
      <c r="E87" s="14"/>
      <c r="F87" s="14">
        <v>3</v>
      </c>
      <c r="G87" s="14">
        <v>851.93</v>
      </c>
      <c r="H87" s="14">
        <f t="shared" si="7"/>
        <v>2.55579</v>
      </c>
      <c r="I87" s="14">
        <v>0</v>
      </c>
    </row>
    <row r="88" spans="1:9" ht="31.5" hidden="1" customHeight="1">
      <c r="A88" s="36"/>
      <c r="B88" s="88" t="s">
        <v>215</v>
      </c>
      <c r="C88" s="89" t="s">
        <v>31</v>
      </c>
      <c r="D88" s="67"/>
      <c r="E88" s="14"/>
      <c r="F88" s="14">
        <v>3</v>
      </c>
      <c r="G88" s="14">
        <v>160</v>
      </c>
      <c r="H88" s="121">
        <f t="shared" si="7"/>
        <v>0.48</v>
      </c>
      <c r="I88" s="14">
        <v>0</v>
      </c>
    </row>
    <row r="89" spans="1:9" ht="15.75" hidden="1" customHeight="1">
      <c r="A89" s="36"/>
      <c r="B89" s="88" t="s">
        <v>92</v>
      </c>
      <c r="C89" s="89" t="s">
        <v>130</v>
      </c>
      <c r="D89" s="67"/>
      <c r="E89" s="14"/>
      <c r="F89" s="14">
        <v>4</v>
      </c>
      <c r="G89" s="14">
        <v>180.15</v>
      </c>
      <c r="H89" s="121">
        <f>G89*F89/1000</f>
        <v>0.72060000000000002</v>
      </c>
      <c r="I89" s="14">
        <v>0</v>
      </c>
    </row>
    <row r="90" spans="1:9" ht="31.5" hidden="1" customHeight="1">
      <c r="A90" s="36"/>
      <c r="B90" s="143" t="s">
        <v>202</v>
      </c>
      <c r="C90" s="36" t="s">
        <v>203</v>
      </c>
      <c r="D90" s="67"/>
      <c r="E90" s="14"/>
      <c r="F90" s="14">
        <v>1</v>
      </c>
      <c r="G90" s="14">
        <v>1835.8</v>
      </c>
      <c r="H90" s="121">
        <f>G90*F90/1000</f>
        <v>1.8357999999999999</v>
      </c>
      <c r="I90" s="14">
        <v>0</v>
      </c>
    </row>
    <row r="91" spans="1:9" ht="31.5" hidden="1" customHeight="1">
      <c r="A91" s="36"/>
      <c r="B91" s="88" t="s">
        <v>204</v>
      </c>
      <c r="C91" s="89" t="s">
        <v>89</v>
      </c>
      <c r="D91" s="67"/>
      <c r="E91" s="14"/>
      <c r="F91" s="14">
        <v>2</v>
      </c>
      <c r="G91" s="14">
        <v>1206</v>
      </c>
      <c r="H91" s="121">
        <f t="shared" ref="H91" si="8">G91*F91/1000</f>
        <v>2.4119999999999999</v>
      </c>
      <c r="I91" s="14">
        <v>0</v>
      </c>
    </row>
    <row r="92" spans="1:9" ht="31.5" hidden="1" customHeight="1">
      <c r="A92" s="36"/>
      <c r="B92" s="88" t="s">
        <v>96</v>
      </c>
      <c r="C92" s="89" t="s">
        <v>39</v>
      </c>
      <c r="D92" s="67"/>
      <c r="E92" s="14"/>
      <c r="F92" s="14">
        <v>0.03</v>
      </c>
      <c r="G92" s="14">
        <v>3397.65</v>
      </c>
      <c r="H92" s="121">
        <f>G92*F92/1000</f>
        <v>0.10192950000000001</v>
      </c>
      <c r="I92" s="14">
        <v>0</v>
      </c>
    </row>
    <row r="93" spans="1:9" ht="31.5" hidden="1" customHeight="1">
      <c r="A93" s="36"/>
      <c r="B93" s="88" t="s">
        <v>205</v>
      </c>
      <c r="C93" s="89" t="s">
        <v>29</v>
      </c>
      <c r="D93" s="67"/>
      <c r="E93" s="14"/>
      <c r="F93" s="19">
        <f>3/1000</f>
        <v>3.0000000000000001E-3</v>
      </c>
      <c r="G93" s="14">
        <v>1510.06</v>
      </c>
      <c r="H93" s="19">
        <f t="shared" ref="H93" si="9">G93*F93/1000</f>
        <v>4.53018E-3</v>
      </c>
      <c r="I93" s="14">
        <v>0</v>
      </c>
    </row>
    <row r="94" spans="1:9" ht="15.75" hidden="1" customHeight="1">
      <c r="A94" s="36"/>
      <c r="B94" s="88" t="s">
        <v>206</v>
      </c>
      <c r="C94" s="89" t="s">
        <v>207</v>
      </c>
      <c r="D94" s="67"/>
      <c r="E94" s="14"/>
      <c r="F94" s="14">
        <f>3/100</f>
        <v>0.03</v>
      </c>
      <c r="G94" s="14">
        <v>7033.13</v>
      </c>
      <c r="H94" s="121">
        <f>G94*F94/1000</f>
        <v>0.21099389999999998</v>
      </c>
      <c r="I94" s="14">
        <v>0</v>
      </c>
    </row>
    <row r="95" spans="1:9" ht="15.75" hidden="1" customHeight="1">
      <c r="A95" s="36"/>
      <c r="B95" s="88" t="s">
        <v>208</v>
      </c>
      <c r="C95" s="89" t="s">
        <v>130</v>
      </c>
      <c r="D95" s="67"/>
      <c r="E95" s="14"/>
      <c r="F95" s="14">
        <v>1</v>
      </c>
      <c r="G95" s="14">
        <v>124.25</v>
      </c>
      <c r="H95" s="121">
        <f t="shared" ref="H95:H99" si="10">G95*F95/1000</f>
        <v>0.12425</v>
      </c>
      <c r="I95" s="14">
        <v>0</v>
      </c>
    </row>
    <row r="96" spans="1:9" ht="15.75" hidden="1" customHeight="1">
      <c r="A96" s="36"/>
      <c r="B96" s="88" t="s">
        <v>209</v>
      </c>
      <c r="C96" s="89" t="s">
        <v>210</v>
      </c>
      <c r="D96" s="67"/>
      <c r="E96" s="14"/>
      <c r="F96" s="14">
        <v>2</v>
      </c>
      <c r="G96" s="14">
        <v>83.63</v>
      </c>
      <c r="H96" s="121">
        <f t="shared" si="10"/>
        <v>0.16725999999999999</v>
      </c>
      <c r="I96" s="14">
        <v>0</v>
      </c>
    </row>
    <row r="97" spans="1:9" ht="31.5" hidden="1" customHeight="1">
      <c r="A97" s="36"/>
      <c r="B97" s="88" t="s">
        <v>86</v>
      </c>
      <c r="C97" s="89" t="s">
        <v>130</v>
      </c>
      <c r="D97" s="67"/>
      <c r="E97" s="14"/>
      <c r="F97" s="14">
        <v>1</v>
      </c>
      <c r="G97" s="14">
        <v>79.09</v>
      </c>
      <c r="H97" s="121">
        <f t="shared" si="10"/>
        <v>7.9090000000000008E-2</v>
      </c>
      <c r="I97" s="14">
        <v>0</v>
      </c>
    </row>
    <row r="98" spans="1:9" ht="15.75" hidden="1" customHeight="1">
      <c r="A98" s="36"/>
      <c r="B98" s="88" t="s">
        <v>211</v>
      </c>
      <c r="C98" s="89" t="s">
        <v>130</v>
      </c>
      <c r="D98" s="67"/>
      <c r="E98" s="14"/>
      <c r="F98" s="14">
        <v>1</v>
      </c>
      <c r="G98" s="14">
        <v>5692.42</v>
      </c>
      <c r="H98" s="121">
        <f t="shared" si="10"/>
        <v>5.6924200000000003</v>
      </c>
      <c r="I98" s="14">
        <v>0</v>
      </c>
    </row>
    <row r="99" spans="1:9" ht="15.75" hidden="1" customHeight="1">
      <c r="A99" s="36"/>
      <c r="B99" s="88" t="s">
        <v>212</v>
      </c>
      <c r="C99" s="89" t="s">
        <v>213</v>
      </c>
      <c r="D99" s="67"/>
      <c r="E99" s="14"/>
      <c r="F99" s="14">
        <v>1</v>
      </c>
      <c r="G99" s="14">
        <v>2426</v>
      </c>
      <c r="H99" s="121">
        <f t="shared" si="10"/>
        <v>2.4260000000000002</v>
      </c>
      <c r="I99" s="14">
        <v>0</v>
      </c>
    </row>
    <row r="100" spans="1:9" ht="15.75" hidden="1" customHeight="1">
      <c r="A100" s="36"/>
      <c r="B100" s="88" t="s">
        <v>214</v>
      </c>
      <c r="C100" s="89" t="s">
        <v>98</v>
      </c>
      <c r="D100" s="67"/>
      <c r="E100" s="14"/>
      <c r="F100" s="14">
        <v>1</v>
      </c>
      <c r="G100" s="14">
        <v>185.81</v>
      </c>
      <c r="H100" s="121">
        <f>G100*F100/1000</f>
        <v>0.18581</v>
      </c>
      <c r="I100" s="14">
        <v>0</v>
      </c>
    </row>
    <row r="101" spans="1:9" ht="15.75" hidden="1" customHeight="1">
      <c r="A101" s="36"/>
      <c r="B101" s="122" t="s">
        <v>99</v>
      </c>
      <c r="C101" s="89" t="s">
        <v>130</v>
      </c>
      <c r="D101" s="67"/>
      <c r="E101" s="14"/>
      <c r="F101" s="14">
        <v>1</v>
      </c>
      <c r="G101" s="14">
        <v>179.96</v>
      </c>
      <c r="H101" s="121">
        <f t="shared" ref="H101" si="11">G101*F101/1000</f>
        <v>0.17996000000000001</v>
      </c>
      <c r="I101" s="14">
        <v>0</v>
      </c>
    </row>
    <row r="102" spans="1:9">
      <c r="A102" s="36"/>
      <c r="B102" s="61" t="s">
        <v>52</v>
      </c>
      <c r="C102" s="57"/>
      <c r="D102" s="71"/>
      <c r="E102" s="57">
        <v>1</v>
      </c>
      <c r="F102" s="57"/>
      <c r="G102" s="57"/>
      <c r="H102" s="57"/>
      <c r="I102" s="39">
        <f>SUM(I83:I101)</f>
        <v>1368.36</v>
      </c>
    </row>
    <row r="103" spans="1:9" ht="15.75" customHeight="1">
      <c r="A103" s="36"/>
      <c r="B103" s="67" t="s">
        <v>84</v>
      </c>
      <c r="C103" s="17"/>
      <c r="D103" s="17"/>
      <c r="E103" s="58"/>
      <c r="F103" s="58"/>
      <c r="G103" s="59"/>
      <c r="H103" s="59"/>
      <c r="I103" s="20">
        <v>0</v>
      </c>
    </row>
    <row r="104" spans="1:9">
      <c r="A104" s="72"/>
      <c r="B104" s="62" t="s">
        <v>53</v>
      </c>
      <c r="C104" s="45"/>
      <c r="D104" s="45"/>
      <c r="E104" s="45"/>
      <c r="F104" s="45"/>
      <c r="G104" s="45"/>
      <c r="H104" s="45"/>
      <c r="I104" s="60">
        <f>I81+I102</f>
        <v>28985.131378916667</v>
      </c>
    </row>
    <row r="105" spans="1:9" ht="15.75">
      <c r="A105" s="164" t="s">
        <v>225</v>
      </c>
      <c r="B105" s="164"/>
      <c r="C105" s="164"/>
      <c r="D105" s="164"/>
      <c r="E105" s="164"/>
      <c r="F105" s="164"/>
      <c r="G105" s="164"/>
      <c r="H105" s="164"/>
      <c r="I105" s="164"/>
    </row>
    <row r="106" spans="1:9" ht="15.75" customHeight="1">
      <c r="A106" s="107"/>
      <c r="B106" s="165" t="s">
        <v>226</v>
      </c>
      <c r="C106" s="165"/>
      <c r="D106" s="165"/>
      <c r="E106" s="165"/>
      <c r="F106" s="165"/>
      <c r="G106" s="165"/>
      <c r="H106" s="120"/>
      <c r="I106" s="3"/>
    </row>
    <row r="107" spans="1:9">
      <c r="A107" s="106"/>
      <c r="B107" s="161" t="s">
        <v>6</v>
      </c>
      <c r="C107" s="161"/>
      <c r="D107" s="161"/>
      <c r="E107" s="161"/>
      <c r="F107" s="161"/>
      <c r="G107" s="161"/>
      <c r="H107" s="31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66" t="s">
        <v>7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15.75" customHeight="1">
      <c r="A110" s="166" t="s">
        <v>8</v>
      </c>
      <c r="B110" s="166"/>
      <c r="C110" s="166"/>
      <c r="D110" s="166"/>
      <c r="E110" s="166"/>
      <c r="F110" s="166"/>
      <c r="G110" s="166"/>
      <c r="H110" s="166"/>
      <c r="I110" s="166"/>
    </row>
    <row r="111" spans="1:9" ht="15.75">
      <c r="A111" s="158" t="s">
        <v>64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15.75">
      <c r="A112" s="11"/>
    </row>
    <row r="113" spans="1:9" ht="15.75">
      <c r="A113" s="159" t="s">
        <v>9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.75">
      <c r="A114" s="4"/>
    </row>
    <row r="115" spans="1:9" ht="15.75">
      <c r="B115" s="103" t="s">
        <v>10</v>
      </c>
      <c r="C115" s="160" t="s">
        <v>179</v>
      </c>
      <c r="D115" s="160"/>
      <c r="E115" s="160"/>
      <c r="F115" s="118"/>
      <c r="I115" s="105"/>
    </row>
    <row r="116" spans="1:9">
      <c r="A116" s="106"/>
      <c r="C116" s="161" t="s">
        <v>11</v>
      </c>
      <c r="D116" s="161"/>
      <c r="E116" s="161"/>
      <c r="F116" s="31"/>
      <c r="I116" s="104" t="s">
        <v>12</v>
      </c>
    </row>
    <row r="117" spans="1:9" ht="15.75">
      <c r="A117" s="32"/>
      <c r="C117" s="12"/>
      <c r="D117" s="12"/>
      <c r="G117" s="12"/>
      <c r="H117" s="12"/>
    </row>
    <row r="118" spans="1:9" ht="15.75" customHeight="1">
      <c r="B118" s="103" t="s">
        <v>13</v>
      </c>
      <c r="C118" s="162"/>
      <c r="D118" s="162"/>
      <c r="E118" s="162"/>
      <c r="F118" s="119"/>
      <c r="I118" s="105"/>
    </row>
    <row r="119" spans="1:9" ht="15.75" customHeight="1">
      <c r="A119" s="106"/>
      <c r="C119" s="163" t="s">
        <v>11</v>
      </c>
      <c r="D119" s="163"/>
      <c r="E119" s="163"/>
      <c r="F119" s="106"/>
      <c r="I119" s="104" t="s">
        <v>12</v>
      </c>
    </row>
    <row r="120" spans="1:9" ht="15.75" customHeight="1">
      <c r="A120" s="4" t="s">
        <v>14</v>
      </c>
    </row>
    <row r="121" spans="1:9">
      <c r="A121" s="156" t="s">
        <v>15</v>
      </c>
      <c r="B121" s="156"/>
      <c r="C121" s="156"/>
      <c r="D121" s="156"/>
      <c r="E121" s="156"/>
      <c r="F121" s="156"/>
      <c r="G121" s="156"/>
      <c r="H121" s="156"/>
      <c r="I121" s="156"/>
    </row>
    <row r="122" spans="1:9" ht="45" customHeight="1">
      <c r="A122" s="157" t="s">
        <v>16</v>
      </c>
      <c r="B122" s="157"/>
      <c r="C122" s="157"/>
      <c r="D122" s="157"/>
      <c r="E122" s="157"/>
      <c r="F122" s="157"/>
      <c r="G122" s="157"/>
      <c r="H122" s="157"/>
      <c r="I122" s="157"/>
    </row>
    <row r="123" spans="1:9" ht="30" customHeight="1">
      <c r="A123" s="157" t="s">
        <v>17</v>
      </c>
      <c r="B123" s="157"/>
      <c r="C123" s="157"/>
      <c r="D123" s="157"/>
      <c r="E123" s="157"/>
      <c r="F123" s="157"/>
      <c r="G123" s="157"/>
      <c r="H123" s="157"/>
      <c r="I123" s="157"/>
    </row>
    <row r="124" spans="1:9" ht="30" customHeight="1">
      <c r="A124" s="157" t="s">
        <v>21</v>
      </c>
      <c r="B124" s="157"/>
      <c r="C124" s="157"/>
      <c r="D124" s="157"/>
      <c r="E124" s="157"/>
      <c r="F124" s="157"/>
      <c r="G124" s="157"/>
      <c r="H124" s="157"/>
      <c r="I124" s="157"/>
    </row>
    <row r="125" spans="1:9" ht="15" customHeight="1">
      <c r="A125" s="157" t="s">
        <v>20</v>
      </c>
      <c r="B125" s="157"/>
      <c r="C125" s="157"/>
      <c r="D125" s="157"/>
      <c r="E125" s="157"/>
      <c r="F125" s="157"/>
      <c r="G125" s="157"/>
      <c r="H125" s="157"/>
      <c r="I125" s="157"/>
    </row>
  </sheetData>
  <autoFilter ref="I12:I61"/>
  <mergeCells count="28">
    <mergeCell ref="R66:U66"/>
    <mergeCell ref="A78:I78"/>
    <mergeCell ref="A3:I3"/>
    <mergeCell ref="A4:I4"/>
    <mergeCell ref="A5:I5"/>
    <mergeCell ref="A8:I8"/>
    <mergeCell ref="A10:I10"/>
    <mergeCell ref="A14:I14"/>
    <mergeCell ref="A111:I111"/>
    <mergeCell ref="A15:I15"/>
    <mergeCell ref="A29:I29"/>
    <mergeCell ref="A45:I45"/>
    <mergeCell ref="A56:I56"/>
    <mergeCell ref="A105:I105"/>
    <mergeCell ref="B106:G106"/>
    <mergeCell ref="B107:G107"/>
    <mergeCell ref="A109:I109"/>
    <mergeCell ref="A110:I110"/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227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91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7">
        <v>42490</v>
      </c>
      <c r="J6" s="2"/>
      <c r="K6" s="2"/>
      <c r="L6" s="2"/>
      <c r="M6" s="2"/>
    </row>
    <row r="7" spans="1:13" ht="8.25" customHeight="1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187.48</v>
      </c>
      <c r="H16" s="127">
        <f t="shared" ref="H16:H26" si="0">SUM(F16*G16/1000)</f>
        <v>16.056537119999998</v>
      </c>
      <c r="I16" s="14">
        <f>F16/12*G16</f>
        <v>1338.0447599999998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187.48</v>
      </c>
      <c r="H17" s="127">
        <f t="shared" si="0"/>
        <v>21.408716159999997</v>
      </c>
      <c r="I17" s="14">
        <f>F17/12*G17</f>
        <v>1784.0596799999998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539.30999999999995</v>
      </c>
      <c r="H18" s="127">
        <f t="shared" si="0"/>
        <v>21.317845679999998</v>
      </c>
      <c r="I18" s="14">
        <f>F18/12*G18</f>
        <v>1776.48714</v>
      </c>
      <c r="J18" s="29"/>
      <c r="K18" s="8"/>
      <c r="L18" s="8"/>
      <c r="M18" s="8"/>
    </row>
    <row r="19" spans="1:13" ht="15.75" hidden="1" customHeight="1">
      <c r="A19" s="36">
        <v>4</v>
      </c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181.91</v>
      </c>
      <c r="H19" s="127">
        <f t="shared" si="0"/>
        <v>0.39292560000000004</v>
      </c>
      <c r="I19" s="14">
        <v>0</v>
      </c>
      <c r="J19" s="29"/>
      <c r="K19" s="8"/>
      <c r="L19" s="8"/>
      <c r="M19" s="8"/>
    </row>
    <row r="20" spans="1:13" ht="15.75" hidden="1" customHeight="1">
      <c r="A20" s="36">
        <v>5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232.92</v>
      </c>
      <c r="H20" s="127">
        <f t="shared" si="0"/>
        <v>4.2764112E-2</v>
      </c>
      <c r="I20" s="14">
        <v>0</v>
      </c>
      <c r="J20" s="29"/>
      <c r="K20" s="8"/>
      <c r="L20" s="8"/>
      <c r="M20" s="8"/>
    </row>
    <row r="21" spans="1:13" ht="15.75" hidden="1" customHeight="1">
      <c r="A21" s="36">
        <v>6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231.03</v>
      </c>
      <c r="H21" s="127">
        <f t="shared" si="0"/>
        <v>3.7426860000000006E-2</v>
      </c>
      <c r="I21" s="14">
        <v>0</v>
      </c>
      <c r="J21" s="29"/>
      <c r="K21" s="8"/>
      <c r="L21" s="8"/>
      <c r="M21" s="8"/>
    </row>
    <row r="22" spans="1:13" ht="15.75" hidden="1" customHeight="1">
      <c r="A22" s="36">
        <v>7</v>
      </c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287.83999999999997</v>
      </c>
      <c r="H22" s="127">
        <f t="shared" si="0"/>
        <v>0.63416908799999983</v>
      </c>
      <c r="I22" s="14">
        <v>0</v>
      </c>
      <c r="J22" s="29"/>
      <c r="K22" s="8"/>
      <c r="L22" s="8"/>
      <c r="M22" s="8"/>
    </row>
    <row r="23" spans="1:13" ht="15.75" hidden="1" customHeight="1">
      <c r="A23" s="36">
        <v>8</v>
      </c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47.34</v>
      </c>
      <c r="H23" s="127">
        <f t="shared" si="0"/>
        <v>8.3507760000000007E-3</v>
      </c>
      <c r="I23" s="14">
        <v>0</v>
      </c>
      <c r="J23" s="29"/>
      <c r="K23" s="8"/>
      <c r="L23" s="8"/>
      <c r="M23" s="8"/>
    </row>
    <row r="24" spans="1:13" ht="15.75" hidden="1" customHeight="1">
      <c r="A24" s="36">
        <v>9</v>
      </c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416.62</v>
      </c>
      <c r="H24" s="127">
        <f t="shared" si="0"/>
        <v>2.9996640000000001E-2</v>
      </c>
      <c r="I24" s="14">
        <v>0</v>
      </c>
      <c r="J24" s="29"/>
      <c r="K24" s="8"/>
      <c r="L24" s="8"/>
      <c r="M24" s="8"/>
    </row>
    <row r="25" spans="1:13" ht="15.75" hidden="1" customHeight="1">
      <c r="A25" s="36">
        <v>10</v>
      </c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231.03</v>
      </c>
      <c r="H25" s="127">
        <f>G25*F25/1000</f>
        <v>2.1832334999999998E-2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>
        <v>11</v>
      </c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556.74</v>
      </c>
      <c r="H26" s="127">
        <f t="shared" si="0"/>
        <v>6.0127920000000008E-2</v>
      </c>
      <c r="I26" s="14">
        <v>0</v>
      </c>
      <c r="J26" s="29"/>
      <c r="K26" s="8"/>
      <c r="L26" s="8"/>
      <c r="M26" s="8"/>
    </row>
    <row r="27" spans="1:13" ht="15.75" customHeight="1">
      <c r="A27" s="36">
        <v>4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4">
        <f>F27/12*G27</f>
        <v>478.08916666666664</v>
      </c>
      <c r="J27" s="30"/>
    </row>
    <row r="28" spans="1:13" ht="15.75" customHeight="1">
      <c r="A28" s="36">
        <v>5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6.15</v>
      </c>
      <c r="H28" s="127">
        <f>SUM(F28*G28/1000)</f>
        <v>113.38632000000003</v>
      </c>
      <c r="I28" s="14">
        <f>F28/12*G28</f>
        <v>9448.8600000000024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29"/>
      <c r="K29" s="8"/>
      <c r="L29" s="8"/>
      <c r="M29" s="8"/>
    </row>
    <row r="30" spans="1:13" ht="15.75" hidden="1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29"/>
      <c r="K30" s="8"/>
      <c r="L30" s="8"/>
      <c r="M30" s="8"/>
    </row>
    <row r="31" spans="1:13" ht="31.5" hidden="1" customHeight="1">
      <c r="A31" s="36">
        <v>6</v>
      </c>
      <c r="B31" s="123" t="s">
        <v>128</v>
      </c>
      <c r="C31" s="124" t="s">
        <v>108</v>
      </c>
      <c r="D31" s="123" t="s">
        <v>123</v>
      </c>
      <c r="E31" s="126">
        <v>565.4</v>
      </c>
      <c r="F31" s="126">
        <f>SUM(E31*52/1000)</f>
        <v>29.4008</v>
      </c>
      <c r="G31" s="126">
        <v>166.65</v>
      </c>
      <c r="H31" s="127">
        <f t="shared" ref="H31:H36" si="1">SUM(F31*G31/1000)</f>
        <v>4.89964332</v>
      </c>
      <c r="I31" s="14">
        <f t="shared" ref="I31:I34" si="2">F31/6*G31</f>
        <v>816.6072200000001</v>
      </c>
      <c r="J31" s="29"/>
      <c r="K31" s="8"/>
      <c r="L31" s="8"/>
      <c r="M31" s="8"/>
    </row>
    <row r="32" spans="1:13" ht="31.5" hidden="1" customHeight="1">
      <c r="A32" s="36">
        <v>7</v>
      </c>
      <c r="B32" s="123" t="s">
        <v>127</v>
      </c>
      <c r="C32" s="124" t="s">
        <v>108</v>
      </c>
      <c r="D32" s="123" t="s">
        <v>124</v>
      </c>
      <c r="E32" s="126">
        <v>71.91</v>
      </c>
      <c r="F32" s="126">
        <f>SUM(E32*78/1000)</f>
        <v>5.6089799999999999</v>
      </c>
      <c r="G32" s="126">
        <v>276.48</v>
      </c>
      <c r="H32" s="127">
        <f t="shared" si="1"/>
        <v>1.5507707904000001</v>
      </c>
      <c r="I32" s="14">
        <f t="shared" si="2"/>
        <v>258.46179840000002</v>
      </c>
      <c r="J32" s="29"/>
      <c r="K32" s="8"/>
      <c r="L32" s="8"/>
      <c r="M32" s="8"/>
    </row>
    <row r="33" spans="1:14" ht="15.75" hidden="1" customHeight="1">
      <c r="A33" s="36">
        <v>14</v>
      </c>
      <c r="B33" s="123" t="s">
        <v>27</v>
      </c>
      <c r="C33" s="124" t="s">
        <v>108</v>
      </c>
      <c r="D33" s="123" t="s">
        <v>55</v>
      </c>
      <c r="E33" s="126">
        <v>565.4</v>
      </c>
      <c r="F33" s="126">
        <f>SUM(E33/1000)</f>
        <v>0.56540000000000001</v>
      </c>
      <c r="G33" s="126">
        <v>3228.73</v>
      </c>
      <c r="H33" s="127">
        <f t="shared" si="1"/>
        <v>1.825523942</v>
      </c>
      <c r="I33" s="14">
        <f>F33*G33</f>
        <v>1825.523942</v>
      </c>
      <c r="J33" s="29"/>
      <c r="K33" s="8"/>
      <c r="L33" s="8"/>
      <c r="M33" s="8"/>
    </row>
    <row r="34" spans="1:14" ht="15.75" hidden="1" customHeight="1">
      <c r="A34" s="36">
        <v>8</v>
      </c>
      <c r="B34" s="123" t="s">
        <v>126</v>
      </c>
      <c r="C34" s="124" t="s">
        <v>31</v>
      </c>
      <c r="D34" s="123" t="s">
        <v>68</v>
      </c>
      <c r="E34" s="130">
        <v>0.33333333333333331</v>
      </c>
      <c r="F34" s="126">
        <f>155/3</f>
        <v>51.666666666666664</v>
      </c>
      <c r="G34" s="126">
        <v>60.6</v>
      </c>
      <c r="H34" s="127">
        <f>SUM(G34*155/3/1000)</f>
        <v>3.1309999999999998</v>
      </c>
      <c r="I34" s="14">
        <f t="shared" si="2"/>
        <v>521.83333333333337</v>
      </c>
      <c r="J34" s="29"/>
      <c r="K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2</v>
      </c>
      <c r="G35" s="126">
        <v>204.52</v>
      </c>
      <c r="H35" s="127">
        <f t="shared" si="1"/>
        <v>0.40904000000000001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1214.74</v>
      </c>
      <c r="H36" s="127">
        <f t="shared" si="1"/>
        <v>1.2147399999999999</v>
      </c>
      <c r="I36" s="14">
        <v>0</v>
      </c>
      <c r="J36" s="30"/>
    </row>
    <row r="37" spans="1:14" ht="15.75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</row>
    <row r="38" spans="1:14" ht="15.75" customHeight="1">
      <c r="A38" s="36">
        <v>6</v>
      </c>
      <c r="B38" s="123" t="s">
        <v>26</v>
      </c>
      <c r="C38" s="124" t="s">
        <v>32</v>
      </c>
      <c r="D38" s="123"/>
      <c r="E38" s="125"/>
      <c r="F38" s="126">
        <v>5</v>
      </c>
      <c r="G38" s="126">
        <v>1632.6</v>
      </c>
      <c r="H38" s="127">
        <f t="shared" ref="H38:H44" si="3">SUM(F38*G38/1000)</f>
        <v>8.1630000000000003</v>
      </c>
      <c r="I38" s="14">
        <f t="shared" ref="I38:I44" si="4">F38/6*G38</f>
        <v>1360.5</v>
      </c>
      <c r="J38" s="30"/>
    </row>
    <row r="39" spans="1:14" ht="15.75" customHeight="1">
      <c r="A39" s="36">
        <v>7</v>
      </c>
      <c r="B39" s="123" t="s">
        <v>190</v>
      </c>
      <c r="C39" s="124" t="s">
        <v>29</v>
      </c>
      <c r="D39" s="123" t="s">
        <v>106</v>
      </c>
      <c r="E39" s="125">
        <v>71.91</v>
      </c>
      <c r="F39" s="126">
        <f>E39*30/1000</f>
        <v>2.1572999999999998</v>
      </c>
      <c r="G39" s="126">
        <v>2247.8000000000002</v>
      </c>
      <c r="H39" s="127">
        <f>G39*F39/1000</f>
        <v>4.8491789399999998</v>
      </c>
      <c r="I39" s="14">
        <f t="shared" si="4"/>
        <v>808.19649000000004</v>
      </c>
      <c r="J39" s="30"/>
      <c r="L39" s="23"/>
      <c r="M39" s="24"/>
      <c r="N39" s="25"/>
    </row>
    <row r="40" spans="1:14" ht="15.75" customHeight="1">
      <c r="A40" s="36">
        <v>8</v>
      </c>
      <c r="B40" s="123" t="s">
        <v>191</v>
      </c>
      <c r="C40" s="124" t="s">
        <v>29</v>
      </c>
      <c r="D40" s="123" t="s">
        <v>192</v>
      </c>
      <c r="E40" s="125">
        <v>294.37</v>
      </c>
      <c r="F40" s="126">
        <f>E40*12/1000</f>
        <v>3.5324400000000002</v>
      </c>
      <c r="G40" s="126">
        <v>2247.8000000000002</v>
      </c>
      <c r="H40" s="127">
        <f>G40*F40/1000</f>
        <v>7.9402186320000006</v>
      </c>
      <c r="I40" s="14">
        <f t="shared" si="4"/>
        <v>1323.3697720000002</v>
      </c>
      <c r="J40" s="30"/>
      <c r="L40" s="23"/>
      <c r="M40" s="24"/>
      <c r="N40" s="25"/>
    </row>
    <row r="41" spans="1:14" ht="15.75" customHeight="1">
      <c r="A41" s="36">
        <v>9</v>
      </c>
      <c r="B41" s="123" t="s">
        <v>73</v>
      </c>
      <c r="C41" s="124" t="s">
        <v>29</v>
      </c>
      <c r="D41" s="123" t="s">
        <v>107</v>
      </c>
      <c r="E41" s="126">
        <v>71.91</v>
      </c>
      <c r="F41" s="126">
        <f>SUM(E41*155/1000)</f>
        <v>11.146049999999999</v>
      </c>
      <c r="G41" s="126">
        <v>374.95</v>
      </c>
      <c r="H41" s="127">
        <f t="shared" si="3"/>
        <v>4.1792114475000002</v>
      </c>
      <c r="I41" s="14">
        <f t="shared" si="4"/>
        <v>696.5352412499999</v>
      </c>
      <c r="J41" s="30"/>
      <c r="L41" s="23"/>
      <c r="M41" s="24"/>
      <c r="N41" s="25"/>
    </row>
    <row r="42" spans="1:14" ht="47.25" customHeight="1">
      <c r="A42" s="36">
        <v>10</v>
      </c>
      <c r="B42" s="123" t="s">
        <v>97</v>
      </c>
      <c r="C42" s="124" t="s">
        <v>108</v>
      </c>
      <c r="D42" s="123" t="s">
        <v>149</v>
      </c>
      <c r="E42" s="126">
        <v>71.91</v>
      </c>
      <c r="F42" s="126">
        <f>SUM(E42*24/1000)</f>
        <v>1.7258399999999998</v>
      </c>
      <c r="G42" s="126">
        <v>6203.7</v>
      </c>
      <c r="H42" s="127">
        <f t="shared" si="3"/>
        <v>10.706593607999999</v>
      </c>
      <c r="I42" s="14">
        <f t="shared" si="4"/>
        <v>1784.4322679999996</v>
      </c>
      <c r="J42" s="30"/>
      <c r="L42" s="23"/>
      <c r="M42" s="24"/>
      <c r="N42" s="25"/>
    </row>
    <row r="43" spans="1:14" ht="15.75" customHeight="1">
      <c r="A43" s="36">
        <v>11</v>
      </c>
      <c r="B43" s="123" t="s">
        <v>193</v>
      </c>
      <c r="C43" s="124" t="s">
        <v>108</v>
      </c>
      <c r="D43" s="123" t="s">
        <v>74</v>
      </c>
      <c r="E43" s="126">
        <v>71.91</v>
      </c>
      <c r="F43" s="126">
        <f>SUM(E43*45/1000)</f>
        <v>3.2359499999999999</v>
      </c>
      <c r="G43" s="126">
        <v>458.28</v>
      </c>
      <c r="H43" s="127">
        <f t="shared" si="3"/>
        <v>1.4829711659999998</v>
      </c>
      <c r="I43" s="14">
        <f t="shared" si="4"/>
        <v>247.16186099999996</v>
      </c>
      <c r="J43" s="30"/>
      <c r="L43" s="23"/>
      <c r="M43" s="24"/>
      <c r="N43" s="25"/>
    </row>
    <row r="44" spans="1:14" ht="15.75" customHeight="1">
      <c r="A44" s="36">
        <v>12</v>
      </c>
      <c r="B44" s="123" t="s">
        <v>75</v>
      </c>
      <c r="C44" s="124" t="s">
        <v>33</v>
      </c>
      <c r="D44" s="123"/>
      <c r="E44" s="125"/>
      <c r="F44" s="126">
        <v>0.3</v>
      </c>
      <c r="G44" s="126">
        <v>853.06</v>
      </c>
      <c r="H44" s="127">
        <f t="shared" si="3"/>
        <v>0.25591799999999998</v>
      </c>
      <c r="I44" s="14">
        <f t="shared" si="4"/>
        <v>42.652999999999992</v>
      </c>
      <c r="J44" s="30"/>
      <c r="L44" s="23"/>
      <c r="M44" s="24"/>
      <c r="N44" s="25"/>
    </row>
    <row r="45" spans="1:14" ht="15.75" customHeight="1">
      <c r="A45" s="153" t="s">
        <v>183</v>
      </c>
      <c r="B45" s="154"/>
      <c r="C45" s="154"/>
      <c r="D45" s="154"/>
      <c r="E45" s="154"/>
      <c r="F45" s="154"/>
      <c r="G45" s="154"/>
      <c r="H45" s="154"/>
      <c r="I45" s="155"/>
      <c r="J45" s="30"/>
      <c r="L45" s="23"/>
      <c r="M45" s="24"/>
      <c r="N45" s="25"/>
    </row>
    <row r="46" spans="1:14" ht="15.75" hidden="1" customHeight="1">
      <c r="A46" s="36"/>
      <c r="B46" s="123" t="s">
        <v>129</v>
      </c>
      <c r="C46" s="124" t="s">
        <v>108</v>
      </c>
      <c r="D46" s="123" t="s">
        <v>43</v>
      </c>
      <c r="E46" s="125">
        <v>904.4</v>
      </c>
      <c r="F46" s="126">
        <f>SUM(E46*2/1000)</f>
        <v>1.8088</v>
      </c>
      <c r="G46" s="14">
        <v>865.61</v>
      </c>
      <c r="H46" s="127">
        <f t="shared" ref="H46:H55" si="5">SUM(F46*G46/1000)</f>
        <v>1.565715368</v>
      </c>
      <c r="I46" s="14">
        <v>0</v>
      </c>
      <c r="J46" s="30"/>
      <c r="L46" s="23"/>
      <c r="M46" s="24"/>
      <c r="N46" s="25"/>
    </row>
    <row r="47" spans="1:14" ht="15.75" hidden="1" customHeight="1">
      <c r="A47" s="36"/>
      <c r="B47" s="123" t="s">
        <v>36</v>
      </c>
      <c r="C47" s="124" t="s">
        <v>108</v>
      </c>
      <c r="D47" s="123" t="s">
        <v>43</v>
      </c>
      <c r="E47" s="125">
        <v>27</v>
      </c>
      <c r="F47" s="126">
        <f>E47*2/1000</f>
        <v>5.3999999999999999E-2</v>
      </c>
      <c r="G47" s="14">
        <v>619.46</v>
      </c>
      <c r="H47" s="127">
        <f t="shared" si="5"/>
        <v>3.3450840000000003E-2</v>
      </c>
      <c r="I47" s="14">
        <v>0</v>
      </c>
      <c r="J47" s="30"/>
      <c r="L47" s="23"/>
      <c r="M47" s="24"/>
      <c r="N47" s="25"/>
    </row>
    <row r="48" spans="1:14" ht="15.75" hidden="1" customHeight="1">
      <c r="A48" s="36"/>
      <c r="B48" s="123" t="s">
        <v>37</v>
      </c>
      <c r="C48" s="124" t="s">
        <v>108</v>
      </c>
      <c r="D48" s="123" t="s">
        <v>43</v>
      </c>
      <c r="E48" s="125">
        <v>772</v>
      </c>
      <c r="F48" s="126">
        <f>SUM(E48*2/1000)</f>
        <v>1.544</v>
      </c>
      <c r="G48" s="14">
        <v>619.46</v>
      </c>
      <c r="H48" s="127">
        <f t="shared" si="5"/>
        <v>0.95644624000000011</v>
      </c>
      <c r="I48" s="14">
        <v>0</v>
      </c>
      <c r="J48" s="30"/>
      <c r="L48" s="23"/>
      <c r="M48" s="24"/>
      <c r="N48" s="25"/>
    </row>
    <row r="49" spans="1:22" ht="15.75" hidden="1" customHeight="1">
      <c r="A49" s="36"/>
      <c r="B49" s="123" t="s">
        <v>38</v>
      </c>
      <c r="C49" s="124" t="s">
        <v>108</v>
      </c>
      <c r="D49" s="123" t="s">
        <v>43</v>
      </c>
      <c r="E49" s="125">
        <v>959.35</v>
      </c>
      <c r="F49" s="126">
        <f>SUM(E49*2/1000)</f>
        <v>1.9187000000000001</v>
      </c>
      <c r="G49" s="14">
        <v>648.64</v>
      </c>
      <c r="H49" s="127">
        <f t="shared" si="5"/>
        <v>1.2445455679999999</v>
      </c>
      <c r="I49" s="14">
        <v>0</v>
      </c>
      <c r="J49" s="30"/>
      <c r="L49" s="23"/>
      <c r="M49" s="24"/>
      <c r="N49" s="25"/>
    </row>
    <row r="50" spans="1:22" ht="15.75" hidden="1" customHeight="1">
      <c r="A50" s="36"/>
      <c r="B50" s="123" t="s">
        <v>34</v>
      </c>
      <c r="C50" s="124" t="s">
        <v>35</v>
      </c>
      <c r="D50" s="123" t="s">
        <v>43</v>
      </c>
      <c r="E50" s="125">
        <v>66.02</v>
      </c>
      <c r="F50" s="126">
        <f>SUM(E50*2/100)</f>
        <v>1.3204</v>
      </c>
      <c r="G50" s="14">
        <v>77.84</v>
      </c>
      <c r="H50" s="127">
        <f t="shared" si="5"/>
        <v>0.102779936</v>
      </c>
      <c r="I50" s="14">
        <v>0</v>
      </c>
      <c r="J50" s="30"/>
      <c r="L50" s="23"/>
      <c r="M50" s="24"/>
      <c r="N50" s="25"/>
    </row>
    <row r="51" spans="1:22" ht="15.75" hidden="1" customHeight="1">
      <c r="A51" s="36">
        <v>13</v>
      </c>
      <c r="B51" s="123" t="s">
        <v>59</v>
      </c>
      <c r="C51" s="124" t="s">
        <v>108</v>
      </c>
      <c r="D51" s="123" t="s">
        <v>180</v>
      </c>
      <c r="E51" s="125">
        <v>702.5</v>
      </c>
      <c r="F51" s="126">
        <f>SUM(E51*5/1000)</f>
        <v>3.5125000000000002</v>
      </c>
      <c r="G51" s="14">
        <v>1297.28</v>
      </c>
      <c r="H51" s="127">
        <f t="shared" si="5"/>
        <v>4.5566959999999996</v>
      </c>
      <c r="I51" s="14">
        <f>F51/5*G51</f>
        <v>911.33920000000001</v>
      </c>
      <c r="J51" s="30"/>
      <c r="L51" s="23"/>
      <c r="M51" s="24"/>
      <c r="N51" s="25"/>
    </row>
    <row r="52" spans="1:22" ht="31.5" hidden="1" customHeight="1">
      <c r="A52" s="36"/>
      <c r="B52" s="123" t="s">
        <v>109</v>
      </c>
      <c r="C52" s="124" t="s">
        <v>108</v>
      </c>
      <c r="D52" s="123" t="s">
        <v>43</v>
      </c>
      <c r="E52" s="125">
        <v>702.5</v>
      </c>
      <c r="F52" s="126">
        <f>SUM(E52*2/1000)</f>
        <v>1.405</v>
      </c>
      <c r="G52" s="14">
        <v>1297.28</v>
      </c>
      <c r="H52" s="127">
        <f t="shared" si="5"/>
        <v>1.8226784</v>
      </c>
      <c r="I52" s="14">
        <v>0</v>
      </c>
      <c r="J52" s="30"/>
      <c r="L52" s="23"/>
      <c r="M52" s="24"/>
      <c r="N52" s="25"/>
    </row>
    <row r="53" spans="1:22" ht="31.5" customHeight="1">
      <c r="A53" s="36">
        <v>13</v>
      </c>
      <c r="B53" s="123" t="s">
        <v>110</v>
      </c>
      <c r="C53" s="124" t="s">
        <v>39</v>
      </c>
      <c r="D53" s="123" t="s">
        <v>43</v>
      </c>
      <c r="E53" s="125">
        <v>9</v>
      </c>
      <c r="F53" s="126">
        <f>SUM(E53*2/100)</f>
        <v>0.18</v>
      </c>
      <c r="G53" s="14">
        <v>2918.89</v>
      </c>
      <c r="H53" s="127">
        <f t="shared" si="5"/>
        <v>0.52540019999999987</v>
      </c>
      <c r="I53" s="14">
        <f>F53/2*G53</f>
        <v>262.70009999999996</v>
      </c>
      <c r="J53" s="30"/>
      <c r="L53" s="23"/>
      <c r="M53" s="24"/>
      <c r="N53" s="25"/>
    </row>
    <row r="54" spans="1:22" ht="15.75" customHeight="1">
      <c r="A54" s="36">
        <v>14</v>
      </c>
      <c r="B54" s="123" t="s">
        <v>40</v>
      </c>
      <c r="C54" s="124" t="s">
        <v>41</v>
      </c>
      <c r="D54" s="123" t="s">
        <v>43</v>
      </c>
      <c r="E54" s="125">
        <v>1</v>
      </c>
      <c r="F54" s="126">
        <v>0.02</v>
      </c>
      <c r="G54" s="14">
        <v>6042.12</v>
      </c>
      <c r="H54" s="127">
        <f t="shared" si="5"/>
        <v>0.1208424</v>
      </c>
      <c r="I54" s="14">
        <f>F54/2*G54</f>
        <v>60.421199999999999</v>
      </c>
      <c r="J54" s="30"/>
      <c r="L54" s="23"/>
      <c r="M54" s="24"/>
      <c r="N54" s="25"/>
    </row>
    <row r="55" spans="1:22" ht="15.75" customHeight="1">
      <c r="A55" s="36">
        <v>15</v>
      </c>
      <c r="B55" s="123" t="s">
        <v>42</v>
      </c>
      <c r="C55" s="124" t="s">
        <v>130</v>
      </c>
      <c r="D55" s="123" t="s">
        <v>76</v>
      </c>
      <c r="E55" s="125">
        <v>53</v>
      </c>
      <c r="F55" s="126">
        <f>SUM(E55)*3</f>
        <v>159</v>
      </c>
      <c r="G55" s="14">
        <v>70.209999999999994</v>
      </c>
      <c r="H55" s="127">
        <f t="shared" si="5"/>
        <v>11.16339</v>
      </c>
      <c r="I55" s="14">
        <f>E55*G55</f>
        <v>3721.1299999999997</v>
      </c>
      <c r="J55" s="30"/>
      <c r="L55" s="23"/>
      <c r="M55" s="24"/>
      <c r="N55" s="25"/>
    </row>
    <row r="56" spans="1:22" ht="15.75" customHeight="1">
      <c r="A56" s="153" t="s">
        <v>184</v>
      </c>
      <c r="B56" s="154"/>
      <c r="C56" s="154"/>
      <c r="D56" s="154"/>
      <c r="E56" s="154"/>
      <c r="F56" s="154"/>
      <c r="G56" s="154"/>
      <c r="H56" s="154"/>
      <c r="I56" s="155"/>
      <c r="J56" s="30"/>
      <c r="L56" s="23"/>
      <c r="M56" s="24"/>
      <c r="N56" s="25"/>
    </row>
    <row r="57" spans="1:22" ht="15.75" customHeight="1">
      <c r="A57" s="36"/>
      <c r="B57" s="144" t="s">
        <v>44</v>
      </c>
      <c r="C57" s="124"/>
      <c r="D57" s="123"/>
      <c r="E57" s="125"/>
      <c r="F57" s="126"/>
      <c r="G57" s="126"/>
      <c r="H57" s="127"/>
      <c r="I57" s="14"/>
      <c r="J57" s="30"/>
      <c r="L57" s="23"/>
      <c r="M57" s="24"/>
      <c r="N57" s="25"/>
    </row>
    <row r="58" spans="1:22" ht="31.5" customHeight="1">
      <c r="A58" s="36">
        <v>16</v>
      </c>
      <c r="B58" s="123" t="s">
        <v>131</v>
      </c>
      <c r="C58" s="124" t="s">
        <v>105</v>
      </c>
      <c r="D58" s="123" t="s">
        <v>132</v>
      </c>
      <c r="E58" s="125">
        <v>25</v>
      </c>
      <c r="F58" s="126">
        <f>SUM(E58*6/100)</f>
        <v>1.5</v>
      </c>
      <c r="G58" s="14">
        <v>1654.04</v>
      </c>
      <c r="H58" s="127">
        <f>SUM(F58*G58/1000)</f>
        <v>2.4810599999999998</v>
      </c>
      <c r="I58" s="14">
        <f>F58/6*G58</f>
        <v>413.51</v>
      </c>
      <c r="J58" s="30"/>
      <c r="L58" s="23"/>
      <c r="M58" s="24"/>
      <c r="N58" s="25"/>
    </row>
    <row r="59" spans="1:22" ht="15.75" hidden="1" customHeight="1">
      <c r="A59" s="36"/>
      <c r="B59" s="144" t="s">
        <v>45</v>
      </c>
      <c r="C59" s="124"/>
      <c r="D59" s="123"/>
      <c r="E59" s="125"/>
      <c r="F59" s="126"/>
      <c r="G59" s="116"/>
      <c r="H59" s="127"/>
      <c r="I59" s="14"/>
      <c r="J59" s="30"/>
      <c r="L59" s="23"/>
    </row>
    <row r="60" spans="1:22" ht="15.75" hidden="1" customHeight="1">
      <c r="A60" s="36"/>
      <c r="B60" s="123" t="s">
        <v>133</v>
      </c>
      <c r="C60" s="124" t="s">
        <v>105</v>
      </c>
      <c r="D60" s="123" t="s">
        <v>72</v>
      </c>
      <c r="E60" s="125">
        <v>1026</v>
      </c>
      <c r="F60" s="127">
        <f>E60/100</f>
        <v>10.26</v>
      </c>
      <c r="G60" s="14">
        <v>848.37</v>
      </c>
      <c r="H60" s="132">
        <f>F60*G60/1000</f>
        <v>8.7042762000000007</v>
      </c>
      <c r="I60" s="14">
        <v>0</v>
      </c>
    </row>
    <row r="61" spans="1:22" ht="15.75" customHeight="1">
      <c r="A61" s="36"/>
      <c r="B61" s="145" t="s">
        <v>46</v>
      </c>
      <c r="C61" s="133"/>
      <c r="D61" s="134"/>
      <c r="E61" s="135"/>
      <c r="F61" s="136"/>
      <c r="G61" s="136"/>
      <c r="H61" s="137" t="s">
        <v>145</v>
      </c>
      <c r="I61" s="14"/>
    </row>
    <row r="62" spans="1:22" ht="15.75" customHeight="1">
      <c r="A62" s="36">
        <v>17</v>
      </c>
      <c r="B62" s="16" t="s">
        <v>47</v>
      </c>
      <c r="C62" s="18" t="s">
        <v>130</v>
      </c>
      <c r="D62" s="123" t="s">
        <v>72</v>
      </c>
      <c r="E62" s="21">
        <v>8</v>
      </c>
      <c r="F62" s="126">
        <v>8</v>
      </c>
      <c r="G62" s="14">
        <v>237.74</v>
      </c>
      <c r="H62" s="121">
        <f t="shared" ref="H62:H75" si="6">SUM(F62*G62/1000)</f>
        <v>1.9019200000000001</v>
      </c>
      <c r="I62" s="14">
        <f>G62</f>
        <v>237.74</v>
      </c>
    </row>
    <row r="63" spans="1:22" ht="15.75" hidden="1" customHeight="1">
      <c r="A63" s="36"/>
      <c r="B63" s="16" t="s">
        <v>48</v>
      </c>
      <c r="C63" s="18" t="s">
        <v>130</v>
      </c>
      <c r="D63" s="123" t="s">
        <v>72</v>
      </c>
      <c r="E63" s="21">
        <v>3</v>
      </c>
      <c r="F63" s="126">
        <v>3</v>
      </c>
      <c r="G63" s="14">
        <v>81.510000000000005</v>
      </c>
      <c r="H63" s="121">
        <f t="shared" si="6"/>
        <v>0.24453000000000003</v>
      </c>
      <c r="I63" s="14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6"/>
      <c r="B64" s="16" t="s">
        <v>49</v>
      </c>
      <c r="C64" s="18" t="s">
        <v>134</v>
      </c>
      <c r="D64" s="16" t="s">
        <v>55</v>
      </c>
      <c r="E64" s="125">
        <v>6307</v>
      </c>
      <c r="F64" s="14">
        <f>SUM(E64/100)</f>
        <v>63.07</v>
      </c>
      <c r="G64" s="14">
        <v>226.79</v>
      </c>
      <c r="H64" s="121">
        <f t="shared" si="6"/>
        <v>14.303645299999999</v>
      </c>
      <c r="I64" s="14">
        <v>0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6" t="s">
        <v>50</v>
      </c>
      <c r="C65" s="18" t="s">
        <v>135</v>
      </c>
      <c r="D65" s="16"/>
      <c r="E65" s="125">
        <v>6307</v>
      </c>
      <c r="F65" s="14">
        <f>SUM(E65/1000)</f>
        <v>6.3070000000000004</v>
      </c>
      <c r="G65" s="14">
        <v>176.61</v>
      </c>
      <c r="H65" s="121">
        <f t="shared" si="6"/>
        <v>1.1138792700000002</v>
      </c>
      <c r="I65" s="14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6" t="s">
        <v>51</v>
      </c>
      <c r="C66" s="18" t="s">
        <v>82</v>
      </c>
      <c r="D66" s="16" t="s">
        <v>55</v>
      </c>
      <c r="E66" s="125">
        <v>1003</v>
      </c>
      <c r="F66" s="14">
        <f>SUM(E66/100)</f>
        <v>10.029999999999999</v>
      </c>
      <c r="G66" s="14">
        <v>2217.7800000000002</v>
      </c>
      <c r="H66" s="121">
        <f t="shared" si="6"/>
        <v>22.244333399999999</v>
      </c>
      <c r="I66" s="14">
        <v>0</v>
      </c>
      <c r="J66" s="5"/>
      <c r="K66" s="5"/>
      <c r="L66" s="5"/>
      <c r="M66" s="5"/>
      <c r="N66" s="5"/>
      <c r="O66" s="5"/>
      <c r="P66" s="5"/>
      <c r="Q66" s="5"/>
      <c r="R66" s="163"/>
      <c r="S66" s="163"/>
      <c r="T66" s="163"/>
      <c r="U66" s="163"/>
    </row>
    <row r="67" spans="1:21" ht="15.75" hidden="1" customHeight="1">
      <c r="A67" s="36"/>
      <c r="B67" s="138" t="s">
        <v>136</v>
      </c>
      <c r="C67" s="18" t="s">
        <v>33</v>
      </c>
      <c r="D67" s="16"/>
      <c r="E67" s="125">
        <v>6.6</v>
      </c>
      <c r="F67" s="14">
        <f>SUM(E67)</f>
        <v>6.6</v>
      </c>
      <c r="G67" s="14">
        <v>42.67</v>
      </c>
      <c r="H67" s="121">
        <f t="shared" si="6"/>
        <v>0.28162200000000004</v>
      </c>
      <c r="I67" s="14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38" t="s">
        <v>137</v>
      </c>
      <c r="C68" s="18" t="s">
        <v>33</v>
      </c>
      <c r="D68" s="16"/>
      <c r="E68" s="125">
        <v>6.6</v>
      </c>
      <c r="F68" s="14">
        <f>SUM(E68)</f>
        <v>6.6</v>
      </c>
      <c r="G68" s="14">
        <v>39.81</v>
      </c>
      <c r="H68" s="121">
        <f t="shared" si="6"/>
        <v>0.26274599999999998</v>
      </c>
      <c r="I68" s="14">
        <v>0</v>
      </c>
    </row>
    <row r="69" spans="1:21" ht="15.75" hidden="1" customHeight="1">
      <c r="A69" s="36"/>
      <c r="B69" s="16" t="s">
        <v>60</v>
      </c>
      <c r="C69" s="18" t="s">
        <v>61</v>
      </c>
      <c r="D69" s="16" t="s">
        <v>55</v>
      </c>
      <c r="E69" s="21">
        <v>3</v>
      </c>
      <c r="F69" s="126">
        <v>3</v>
      </c>
      <c r="G69" s="14">
        <v>46.97</v>
      </c>
      <c r="H69" s="121">
        <f t="shared" si="6"/>
        <v>0.14091000000000001</v>
      </c>
      <c r="I69" s="14">
        <v>0</v>
      </c>
    </row>
    <row r="70" spans="1:21" ht="15.75" hidden="1" customHeight="1">
      <c r="A70" s="36"/>
      <c r="B70" s="101" t="s">
        <v>77</v>
      </c>
      <c r="C70" s="18"/>
      <c r="D70" s="16"/>
      <c r="E70" s="21"/>
      <c r="F70" s="14"/>
      <c r="G70" s="14"/>
      <c r="H70" s="121" t="s">
        <v>145</v>
      </c>
      <c r="I70" s="14"/>
    </row>
    <row r="71" spans="1:21" ht="15.75" hidden="1" customHeight="1">
      <c r="A71" s="36"/>
      <c r="B71" s="16" t="s">
        <v>78</v>
      </c>
      <c r="C71" s="18" t="s">
        <v>80</v>
      </c>
      <c r="D71" s="16"/>
      <c r="E71" s="21">
        <v>3</v>
      </c>
      <c r="F71" s="14">
        <v>0.3</v>
      </c>
      <c r="G71" s="14">
        <v>536.23</v>
      </c>
      <c r="H71" s="121">
        <f t="shared" si="6"/>
        <v>0.16086900000000001</v>
      </c>
      <c r="I71" s="14">
        <v>0</v>
      </c>
    </row>
    <row r="72" spans="1:21" ht="15.75" hidden="1" customHeight="1">
      <c r="A72" s="36"/>
      <c r="B72" s="16" t="s">
        <v>79</v>
      </c>
      <c r="C72" s="18" t="s">
        <v>31</v>
      </c>
      <c r="D72" s="16"/>
      <c r="E72" s="21">
        <v>1</v>
      </c>
      <c r="F72" s="116">
        <v>1</v>
      </c>
      <c r="G72" s="14">
        <v>911.85</v>
      </c>
      <c r="H72" s="121">
        <f>F72*G72/1000</f>
        <v>0.91185000000000005</v>
      </c>
      <c r="I72" s="14">
        <v>0</v>
      </c>
    </row>
    <row r="73" spans="1:21" ht="15.75" hidden="1" customHeight="1">
      <c r="A73" s="36"/>
      <c r="B73" s="16" t="s">
        <v>194</v>
      </c>
      <c r="C73" s="18" t="s">
        <v>31</v>
      </c>
      <c r="D73" s="16"/>
      <c r="E73" s="21">
        <v>1</v>
      </c>
      <c r="F73" s="14">
        <v>1</v>
      </c>
      <c r="G73" s="14">
        <v>383.25</v>
      </c>
      <c r="H73" s="121">
        <f>G73*F73/1000</f>
        <v>0.38324999999999998</v>
      </c>
      <c r="I73" s="14">
        <v>0</v>
      </c>
    </row>
    <row r="74" spans="1:21" ht="15.75" hidden="1" customHeight="1">
      <c r="A74" s="36"/>
      <c r="B74" s="140" t="s">
        <v>81</v>
      </c>
      <c r="C74" s="18"/>
      <c r="D74" s="16"/>
      <c r="E74" s="21"/>
      <c r="F74" s="14"/>
      <c r="G74" s="14" t="s">
        <v>145</v>
      </c>
      <c r="H74" s="121" t="s">
        <v>145</v>
      </c>
      <c r="I74" s="14"/>
    </row>
    <row r="75" spans="1:21" ht="15.75" hidden="1" customHeight="1">
      <c r="A75" s="36"/>
      <c r="B75" s="67" t="s">
        <v>162</v>
      </c>
      <c r="C75" s="18" t="s">
        <v>82</v>
      </c>
      <c r="D75" s="16"/>
      <c r="E75" s="21"/>
      <c r="F75" s="14">
        <v>0.1</v>
      </c>
      <c r="G75" s="14">
        <v>2831.38</v>
      </c>
      <c r="H75" s="121">
        <f t="shared" si="6"/>
        <v>0.28313800000000006</v>
      </c>
      <c r="I75" s="14">
        <v>0</v>
      </c>
    </row>
    <row r="76" spans="1:21" ht="15.75" hidden="1" customHeight="1">
      <c r="A76" s="36"/>
      <c r="B76" s="115" t="s">
        <v>111</v>
      </c>
      <c r="C76" s="115"/>
      <c r="D76" s="115"/>
      <c r="E76" s="146"/>
      <c r="F76" s="147"/>
      <c r="G76" s="129"/>
      <c r="H76" s="141">
        <f>SUM(H58:H75)</f>
        <v>53.41802916999999</v>
      </c>
      <c r="I76" s="129"/>
    </row>
    <row r="77" spans="1:21" ht="15.75" hidden="1" customHeight="1">
      <c r="A77" s="36"/>
      <c r="B77" s="148" t="s">
        <v>138</v>
      </c>
      <c r="C77" s="27"/>
      <c r="D77" s="26"/>
      <c r="E77" s="117"/>
      <c r="F77" s="14">
        <v>1</v>
      </c>
      <c r="G77" s="14">
        <v>5637.8</v>
      </c>
      <c r="H77" s="121">
        <f>G77*F77/1000</f>
        <v>5.6378000000000004</v>
      </c>
      <c r="I77" s="14">
        <v>0</v>
      </c>
    </row>
    <row r="78" spans="1:21" ht="15.75" customHeight="1">
      <c r="A78" s="153" t="s">
        <v>185</v>
      </c>
      <c r="B78" s="154"/>
      <c r="C78" s="154"/>
      <c r="D78" s="154"/>
      <c r="E78" s="154"/>
      <c r="F78" s="154"/>
      <c r="G78" s="154"/>
      <c r="H78" s="154"/>
      <c r="I78" s="155"/>
    </row>
    <row r="79" spans="1:21" ht="15.75" customHeight="1">
      <c r="A79" s="36">
        <v>18</v>
      </c>
      <c r="B79" s="123" t="s">
        <v>139</v>
      </c>
      <c r="C79" s="18" t="s">
        <v>56</v>
      </c>
      <c r="D79" s="142" t="s">
        <v>57</v>
      </c>
      <c r="E79" s="14">
        <v>1536.4</v>
      </c>
      <c r="F79" s="14">
        <f>SUM(E79*12)</f>
        <v>18436.800000000003</v>
      </c>
      <c r="G79" s="14">
        <v>2.2400000000000002</v>
      </c>
      <c r="H79" s="121">
        <f>SUM(F79*G79/1000)</f>
        <v>41.298432000000005</v>
      </c>
      <c r="I79" s="14">
        <f>F79/12*G79</f>
        <v>3441.536000000001</v>
      </c>
    </row>
    <row r="80" spans="1:21" ht="31.5" customHeight="1">
      <c r="A80" s="36">
        <v>19</v>
      </c>
      <c r="B80" s="16" t="s">
        <v>83</v>
      </c>
      <c r="C80" s="18"/>
      <c r="D80" s="142" t="s">
        <v>57</v>
      </c>
      <c r="E80" s="125">
        <f>E79</f>
        <v>1536.4</v>
      </c>
      <c r="F80" s="14">
        <f>E80*12</f>
        <v>18436.800000000003</v>
      </c>
      <c r="G80" s="14">
        <v>1.74</v>
      </c>
      <c r="H80" s="121">
        <f>F80*G80/1000</f>
        <v>32.08003200000001</v>
      </c>
      <c r="I80" s="14">
        <f>F80/12*G80</f>
        <v>2673.3360000000007</v>
      </c>
    </row>
    <row r="81" spans="1:9" ht="15.75" customHeight="1">
      <c r="A81" s="36"/>
      <c r="B81" s="54" t="s">
        <v>87</v>
      </c>
      <c r="C81" s="140"/>
      <c r="D81" s="139"/>
      <c r="E81" s="129"/>
      <c r="F81" s="129"/>
      <c r="G81" s="129"/>
      <c r="H81" s="141">
        <f>H80</f>
        <v>32.08003200000001</v>
      </c>
      <c r="I81" s="129">
        <f>I16+I17+I18+I27+I28+I38+I39+I40+I41+I42+I43+I44+I53+I54+I55+I58+I62+I79+I80</f>
        <v>31898.762678916668</v>
      </c>
    </row>
    <row r="82" spans="1:9" ht="15.75" customHeight="1">
      <c r="A82" s="36"/>
      <c r="B82" s="87" t="s">
        <v>63</v>
      </c>
      <c r="C82" s="18"/>
      <c r="D82" s="67"/>
      <c r="E82" s="14"/>
      <c r="F82" s="14"/>
      <c r="G82" s="14"/>
      <c r="H82" s="14"/>
      <c r="I82" s="14"/>
    </row>
    <row r="83" spans="1:9" ht="15.75" customHeight="1">
      <c r="A83" s="36">
        <v>20</v>
      </c>
      <c r="B83" s="88" t="s">
        <v>164</v>
      </c>
      <c r="C83" s="89" t="s">
        <v>130</v>
      </c>
      <c r="D83" s="67"/>
      <c r="E83" s="14"/>
      <c r="F83" s="14">
        <v>216</v>
      </c>
      <c r="G83" s="14">
        <v>50.68</v>
      </c>
      <c r="H83" s="14">
        <f>G83*F83/1000</f>
        <v>10.946879999999998</v>
      </c>
      <c r="I83" s="14">
        <f>G83*27</f>
        <v>1368.36</v>
      </c>
    </row>
    <row r="84" spans="1:9" ht="31.5" customHeight="1">
      <c r="A84" s="36">
        <v>21</v>
      </c>
      <c r="B84" s="88" t="s">
        <v>196</v>
      </c>
      <c r="C84" s="89" t="s">
        <v>197</v>
      </c>
      <c r="D84" s="67"/>
      <c r="E84" s="14"/>
      <c r="F84" s="14">
        <v>1</v>
      </c>
      <c r="G84" s="14">
        <v>51.39</v>
      </c>
      <c r="H84" s="14">
        <f>G84*F84/1000</f>
        <v>5.1389999999999998E-2</v>
      </c>
      <c r="I84" s="14">
        <f>G84</f>
        <v>51.39</v>
      </c>
    </row>
    <row r="85" spans="1:9" ht="15.75" customHeight="1">
      <c r="A85" s="36">
        <v>22</v>
      </c>
      <c r="B85" s="88" t="s">
        <v>152</v>
      </c>
      <c r="C85" s="89" t="s">
        <v>198</v>
      </c>
      <c r="D85" s="67"/>
      <c r="E85" s="14"/>
      <c r="F85" s="14">
        <v>2</v>
      </c>
      <c r="G85" s="14">
        <v>1501</v>
      </c>
      <c r="H85" s="121">
        <f>G85*F85/1000</f>
        <v>3.0019999999999998</v>
      </c>
      <c r="I85" s="14">
        <f>G85*2</f>
        <v>3002</v>
      </c>
    </row>
    <row r="86" spans="1:9" ht="15.75" customHeight="1">
      <c r="A86" s="36">
        <v>23</v>
      </c>
      <c r="B86" s="88" t="s">
        <v>199</v>
      </c>
      <c r="C86" s="89" t="s">
        <v>200</v>
      </c>
      <c r="D86" s="67"/>
      <c r="E86" s="14"/>
      <c r="F86" s="14">
        <v>1</v>
      </c>
      <c r="G86" s="14">
        <v>15786</v>
      </c>
      <c r="H86" s="14">
        <f t="shared" ref="H86:H88" si="7">G86*F86/1000</f>
        <v>15.786</v>
      </c>
      <c r="I86" s="14">
        <f>G86</f>
        <v>15786</v>
      </c>
    </row>
    <row r="87" spans="1:9" ht="31.5" customHeight="1">
      <c r="A87" s="36">
        <v>24</v>
      </c>
      <c r="B87" s="88" t="s">
        <v>201</v>
      </c>
      <c r="C87" s="89" t="s">
        <v>89</v>
      </c>
      <c r="D87" s="67"/>
      <c r="E87" s="14"/>
      <c r="F87" s="14">
        <v>3</v>
      </c>
      <c r="G87" s="14">
        <v>851.93</v>
      </c>
      <c r="H87" s="14">
        <f t="shared" si="7"/>
        <v>2.55579</v>
      </c>
      <c r="I87" s="14">
        <f>G87*3</f>
        <v>2555.79</v>
      </c>
    </row>
    <row r="88" spans="1:9" ht="31.5" customHeight="1">
      <c r="A88" s="36">
        <v>25</v>
      </c>
      <c r="B88" s="88" t="s">
        <v>215</v>
      </c>
      <c r="C88" s="89" t="s">
        <v>31</v>
      </c>
      <c r="D88" s="67"/>
      <c r="E88" s="14"/>
      <c r="F88" s="14">
        <v>3</v>
      </c>
      <c r="G88" s="14">
        <v>160</v>
      </c>
      <c r="H88" s="121">
        <f t="shared" si="7"/>
        <v>0.48</v>
      </c>
      <c r="I88" s="14">
        <f>G88*3</f>
        <v>480</v>
      </c>
    </row>
    <row r="89" spans="1:9" ht="15.75" customHeight="1">
      <c r="A89" s="36">
        <v>26</v>
      </c>
      <c r="B89" s="88" t="s">
        <v>92</v>
      </c>
      <c r="C89" s="89" t="s">
        <v>130</v>
      </c>
      <c r="D89" s="67"/>
      <c r="E89" s="14"/>
      <c r="F89" s="14">
        <v>4</v>
      </c>
      <c r="G89" s="14">
        <v>180.15</v>
      </c>
      <c r="H89" s="121">
        <f>G89*F89/1000</f>
        <v>0.72060000000000002</v>
      </c>
      <c r="I89" s="14">
        <f>G89*3</f>
        <v>540.45000000000005</v>
      </c>
    </row>
    <row r="90" spans="1:9">
      <c r="A90" s="36"/>
      <c r="B90" s="61" t="s">
        <v>52</v>
      </c>
      <c r="C90" s="57"/>
      <c r="D90" s="71"/>
      <c r="E90" s="57">
        <v>1</v>
      </c>
      <c r="F90" s="57"/>
      <c r="G90" s="57"/>
      <c r="H90" s="57"/>
      <c r="I90" s="39">
        <f>SUM(I83:I89)</f>
        <v>23783.99</v>
      </c>
    </row>
    <row r="91" spans="1:9" ht="15.75" customHeight="1">
      <c r="A91" s="36"/>
      <c r="B91" s="67" t="s">
        <v>84</v>
      </c>
      <c r="C91" s="17"/>
      <c r="D91" s="17"/>
      <c r="E91" s="58"/>
      <c r="F91" s="58"/>
      <c r="G91" s="59"/>
      <c r="H91" s="59"/>
      <c r="I91" s="20">
        <v>0</v>
      </c>
    </row>
    <row r="92" spans="1:9">
      <c r="A92" s="72"/>
      <c r="B92" s="62" t="s">
        <v>53</v>
      </c>
      <c r="C92" s="45"/>
      <c r="D92" s="45"/>
      <c r="E92" s="45"/>
      <c r="F92" s="45"/>
      <c r="G92" s="45"/>
      <c r="H92" s="45"/>
      <c r="I92" s="60">
        <f>I81+I90</f>
        <v>55682.752678916673</v>
      </c>
    </row>
    <row r="93" spans="1:9" ht="15.75">
      <c r="A93" s="164" t="s">
        <v>228</v>
      </c>
      <c r="B93" s="164"/>
      <c r="C93" s="164"/>
      <c r="D93" s="164"/>
      <c r="E93" s="164"/>
      <c r="F93" s="164"/>
      <c r="G93" s="164"/>
      <c r="H93" s="164"/>
      <c r="I93" s="164"/>
    </row>
    <row r="94" spans="1:9" ht="15.75" customHeight="1">
      <c r="A94" s="107"/>
      <c r="B94" s="165" t="s">
        <v>229</v>
      </c>
      <c r="C94" s="165"/>
      <c r="D94" s="165"/>
      <c r="E94" s="165"/>
      <c r="F94" s="165"/>
      <c r="G94" s="165"/>
      <c r="H94" s="120"/>
      <c r="I94" s="3"/>
    </row>
    <row r="95" spans="1:9">
      <c r="A95" s="106"/>
      <c r="B95" s="161" t="s">
        <v>6</v>
      </c>
      <c r="C95" s="161"/>
      <c r="D95" s="161"/>
      <c r="E95" s="161"/>
      <c r="F95" s="161"/>
      <c r="G95" s="161"/>
      <c r="H95" s="31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66" t="s">
        <v>7</v>
      </c>
      <c r="B97" s="166"/>
      <c r="C97" s="166"/>
      <c r="D97" s="166"/>
      <c r="E97" s="166"/>
      <c r="F97" s="166"/>
      <c r="G97" s="166"/>
      <c r="H97" s="166"/>
      <c r="I97" s="166"/>
    </row>
    <row r="98" spans="1:9" ht="15.75" customHeight="1">
      <c r="A98" s="166" t="s">
        <v>8</v>
      </c>
      <c r="B98" s="166"/>
      <c r="C98" s="166"/>
      <c r="D98" s="166"/>
      <c r="E98" s="166"/>
      <c r="F98" s="166"/>
      <c r="G98" s="166"/>
      <c r="H98" s="166"/>
      <c r="I98" s="166"/>
    </row>
    <row r="99" spans="1:9" ht="15.75">
      <c r="A99" s="158" t="s">
        <v>64</v>
      </c>
      <c r="B99" s="158"/>
      <c r="C99" s="158"/>
      <c r="D99" s="158"/>
      <c r="E99" s="158"/>
      <c r="F99" s="158"/>
      <c r="G99" s="158"/>
      <c r="H99" s="158"/>
      <c r="I99" s="158"/>
    </row>
    <row r="100" spans="1:9" ht="7.5" customHeight="1">
      <c r="A100" s="11"/>
    </row>
    <row r="101" spans="1:9" ht="15.75">
      <c r="A101" s="159" t="s">
        <v>9</v>
      </c>
      <c r="B101" s="159"/>
      <c r="C101" s="159"/>
      <c r="D101" s="159"/>
      <c r="E101" s="159"/>
      <c r="F101" s="159"/>
      <c r="G101" s="159"/>
      <c r="H101" s="159"/>
      <c r="I101" s="159"/>
    </row>
    <row r="102" spans="1:9" ht="15.75">
      <c r="A102" s="4"/>
    </row>
    <row r="103" spans="1:9" ht="15.75">
      <c r="B103" s="103" t="s">
        <v>10</v>
      </c>
      <c r="C103" s="160" t="s">
        <v>179</v>
      </c>
      <c r="D103" s="160"/>
      <c r="E103" s="160"/>
      <c r="F103" s="118"/>
      <c r="I103" s="105"/>
    </row>
    <row r="104" spans="1:9">
      <c r="A104" s="106"/>
      <c r="C104" s="161" t="s">
        <v>11</v>
      </c>
      <c r="D104" s="161"/>
      <c r="E104" s="161"/>
      <c r="F104" s="31"/>
      <c r="I104" s="104" t="s">
        <v>12</v>
      </c>
    </row>
    <row r="105" spans="1:9" ht="15.75">
      <c r="A105" s="32"/>
      <c r="C105" s="12"/>
      <c r="D105" s="12"/>
      <c r="G105" s="12"/>
      <c r="H105" s="12"/>
    </row>
    <row r="106" spans="1:9" ht="15.75" customHeight="1">
      <c r="B106" s="103" t="s">
        <v>13</v>
      </c>
      <c r="C106" s="162"/>
      <c r="D106" s="162"/>
      <c r="E106" s="162"/>
      <c r="F106" s="119"/>
      <c r="I106" s="105"/>
    </row>
    <row r="107" spans="1:9" ht="15.75" customHeight="1">
      <c r="A107" s="106"/>
      <c r="C107" s="163" t="s">
        <v>11</v>
      </c>
      <c r="D107" s="163"/>
      <c r="E107" s="163"/>
      <c r="F107" s="106"/>
      <c r="I107" s="104" t="s">
        <v>12</v>
      </c>
    </row>
    <row r="108" spans="1:9" ht="15.75" customHeight="1">
      <c r="A108" s="4" t="s">
        <v>14</v>
      </c>
    </row>
    <row r="109" spans="1:9">
      <c r="A109" s="156" t="s">
        <v>15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ht="45" customHeight="1">
      <c r="A110" s="157" t="s">
        <v>16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30" customHeight="1">
      <c r="A111" s="157" t="s">
        <v>17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30" customHeight="1">
      <c r="A112" s="157" t="s">
        <v>21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15" customHeight="1">
      <c r="A113" s="157" t="s">
        <v>20</v>
      </c>
      <c r="B113" s="157"/>
      <c r="C113" s="157"/>
      <c r="D113" s="157"/>
      <c r="E113" s="157"/>
      <c r="F113" s="157"/>
      <c r="G113" s="157"/>
      <c r="H113" s="157"/>
      <c r="I113" s="157"/>
    </row>
  </sheetData>
  <autoFilter ref="I12:I61"/>
  <mergeCells count="28">
    <mergeCell ref="R66:U66"/>
    <mergeCell ref="A78:I78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5:I45"/>
    <mergeCell ref="A56:I56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230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93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7">
        <v>42521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187.48</v>
      </c>
      <c r="H16" s="127">
        <f t="shared" ref="H16:H26" si="0">SUM(F16*G16/1000)</f>
        <v>16.056537119999998</v>
      </c>
      <c r="I16" s="14">
        <f>F16/12*G16</f>
        <v>1338.0447599999998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187.48</v>
      </c>
      <c r="H17" s="127">
        <f t="shared" si="0"/>
        <v>21.408716159999997</v>
      </c>
      <c r="I17" s="14">
        <f>F17/12*G17</f>
        <v>1784.0596799999998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539.30999999999995</v>
      </c>
      <c r="H18" s="127">
        <f t="shared" si="0"/>
        <v>21.317845679999998</v>
      </c>
      <c r="I18" s="14">
        <f>F18/12*G18</f>
        <v>1776.48714</v>
      </c>
      <c r="J18" s="29"/>
      <c r="K18" s="8"/>
      <c r="L18" s="8"/>
      <c r="M18" s="8"/>
    </row>
    <row r="19" spans="1:13" ht="15.75" customHeight="1">
      <c r="A19" s="36">
        <v>4</v>
      </c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181.91</v>
      </c>
      <c r="H19" s="127">
        <f t="shared" si="0"/>
        <v>0.39292560000000004</v>
      </c>
      <c r="I19" s="14">
        <f>F19/2*G19</f>
        <v>196.46280000000002</v>
      </c>
      <c r="J19" s="29"/>
      <c r="K19" s="8"/>
      <c r="L19" s="8"/>
      <c r="M19" s="8"/>
    </row>
    <row r="20" spans="1:13" ht="15.75" customHeight="1">
      <c r="A20" s="36">
        <v>5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232.92</v>
      </c>
      <c r="H20" s="127">
        <f t="shared" si="0"/>
        <v>4.2764112E-2</v>
      </c>
      <c r="I20" s="14">
        <f t="shared" ref="I20:I21" si="1">F20/2*G20</f>
        <v>21.382055999999999</v>
      </c>
      <c r="J20" s="29"/>
      <c r="K20" s="8"/>
      <c r="L20" s="8"/>
      <c r="M20" s="8"/>
    </row>
    <row r="21" spans="1:13" ht="15.75" customHeight="1">
      <c r="A21" s="36">
        <v>6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231.03</v>
      </c>
      <c r="H21" s="127">
        <f t="shared" si="0"/>
        <v>3.7426860000000006E-2</v>
      </c>
      <c r="I21" s="14">
        <f t="shared" si="1"/>
        <v>18.713430000000002</v>
      </c>
      <c r="J21" s="29"/>
      <c r="K21" s="8"/>
      <c r="L21" s="8"/>
      <c r="M21" s="8"/>
    </row>
    <row r="22" spans="1:13" ht="15.75" customHeight="1">
      <c r="A22" s="36">
        <v>7</v>
      </c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287.83999999999997</v>
      </c>
      <c r="H22" s="127">
        <f t="shared" si="0"/>
        <v>0.63416908799999983</v>
      </c>
      <c r="I22" s="14">
        <f>F22*G22</f>
        <v>634.16908799999987</v>
      </c>
      <c r="J22" s="29"/>
      <c r="K22" s="8"/>
      <c r="L22" s="8"/>
      <c r="M22" s="8"/>
    </row>
    <row r="23" spans="1:13" ht="15.75" customHeight="1">
      <c r="A23" s="36">
        <v>8</v>
      </c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47.34</v>
      </c>
      <c r="H23" s="127">
        <f t="shared" si="0"/>
        <v>8.3507760000000007E-3</v>
      </c>
      <c r="I23" s="14">
        <f t="shared" ref="I23:I26" si="2">F23*G23</f>
        <v>8.3507760000000015</v>
      </c>
      <c r="J23" s="29"/>
      <c r="K23" s="8"/>
      <c r="L23" s="8"/>
      <c r="M23" s="8"/>
    </row>
    <row r="24" spans="1:13" ht="15.75" customHeight="1">
      <c r="A24" s="36">
        <v>9</v>
      </c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416.62</v>
      </c>
      <c r="H24" s="127">
        <f t="shared" si="0"/>
        <v>2.9996640000000001E-2</v>
      </c>
      <c r="I24" s="14">
        <f t="shared" si="2"/>
        <v>29.996640000000003</v>
      </c>
      <c r="J24" s="29"/>
      <c r="K24" s="8"/>
      <c r="L24" s="8"/>
      <c r="M24" s="8"/>
    </row>
    <row r="25" spans="1:13" ht="15.75" customHeight="1">
      <c r="A25" s="36">
        <v>10</v>
      </c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231.03</v>
      </c>
      <c r="H25" s="127">
        <f>G25*F25/1000</f>
        <v>2.1832334999999998E-2</v>
      </c>
      <c r="I25" s="14">
        <f t="shared" si="2"/>
        <v>21.832334999999997</v>
      </c>
      <c r="J25" s="29"/>
      <c r="K25" s="8"/>
      <c r="L25" s="8"/>
      <c r="M25" s="8"/>
    </row>
    <row r="26" spans="1:13" ht="15.75" customHeight="1">
      <c r="A26" s="36">
        <v>11</v>
      </c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556.74</v>
      </c>
      <c r="H26" s="127">
        <f t="shared" si="0"/>
        <v>6.0127920000000008E-2</v>
      </c>
      <c r="I26" s="14">
        <f t="shared" si="2"/>
        <v>60.12792000000001</v>
      </c>
      <c r="J26" s="29"/>
      <c r="K26" s="8"/>
      <c r="L26" s="8"/>
      <c r="M26" s="8"/>
    </row>
    <row r="27" spans="1:13" ht="15.75" customHeight="1">
      <c r="A27" s="36">
        <v>12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4">
        <f>F27/12*G27</f>
        <v>478.08916666666664</v>
      </c>
      <c r="J27" s="30"/>
    </row>
    <row r="28" spans="1:13" ht="15.75" customHeight="1">
      <c r="A28" s="36">
        <v>13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6.15</v>
      </c>
      <c r="H28" s="127">
        <f>SUM(F28*G28/1000)</f>
        <v>113.38632000000003</v>
      </c>
      <c r="I28" s="14">
        <f>F28/12*G28</f>
        <v>9448.8600000000024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29"/>
      <c r="K29" s="8"/>
      <c r="L29" s="8"/>
      <c r="M29" s="8"/>
    </row>
    <row r="30" spans="1:13" ht="15.75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29"/>
      <c r="K30" s="8"/>
      <c r="L30" s="8"/>
      <c r="M30" s="8"/>
    </row>
    <row r="31" spans="1:13" ht="31.5" customHeight="1">
      <c r="A31" s="36">
        <v>14</v>
      </c>
      <c r="B31" s="123" t="s">
        <v>128</v>
      </c>
      <c r="C31" s="124" t="s">
        <v>108</v>
      </c>
      <c r="D31" s="123" t="s">
        <v>123</v>
      </c>
      <c r="E31" s="126">
        <v>565.4</v>
      </c>
      <c r="F31" s="126">
        <f>SUM(E31*52/1000)</f>
        <v>29.4008</v>
      </c>
      <c r="G31" s="126">
        <v>166.65</v>
      </c>
      <c r="H31" s="127">
        <f t="shared" ref="H31:H36" si="3">SUM(F31*G31/1000)</f>
        <v>4.89964332</v>
      </c>
      <c r="I31" s="14">
        <f t="shared" ref="I31:I34" si="4">F31/6*G31</f>
        <v>816.6072200000001</v>
      </c>
      <c r="J31" s="29"/>
      <c r="K31" s="8"/>
      <c r="L31" s="8"/>
      <c r="M31" s="8"/>
    </row>
    <row r="32" spans="1:13" ht="31.5" customHeight="1">
      <c r="A32" s="36">
        <v>15</v>
      </c>
      <c r="B32" s="123" t="s">
        <v>127</v>
      </c>
      <c r="C32" s="124" t="s">
        <v>108</v>
      </c>
      <c r="D32" s="123" t="s">
        <v>124</v>
      </c>
      <c r="E32" s="126">
        <v>71.91</v>
      </c>
      <c r="F32" s="126">
        <f>SUM(E32*78/1000)</f>
        <v>5.6089799999999999</v>
      </c>
      <c r="G32" s="126">
        <v>276.48</v>
      </c>
      <c r="H32" s="127">
        <f t="shared" si="3"/>
        <v>1.5507707904000001</v>
      </c>
      <c r="I32" s="14">
        <f t="shared" si="4"/>
        <v>258.46179840000002</v>
      </c>
      <c r="J32" s="29"/>
      <c r="K32" s="8"/>
      <c r="L32" s="8"/>
      <c r="M32" s="8"/>
    </row>
    <row r="33" spans="1:14" ht="15.75" customHeight="1">
      <c r="A33" s="36">
        <v>16</v>
      </c>
      <c r="B33" s="123" t="s">
        <v>27</v>
      </c>
      <c r="C33" s="124" t="s">
        <v>108</v>
      </c>
      <c r="D33" s="123" t="s">
        <v>55</v>
      </c>
      <c r="E33" s="126">
        <v>565.4</v>
      </c>
      <c r="F33" s="126">
        <f>SUM(E33/1000)</f>
        <v>0.56540000000000001</v>
      </c>
      <c r="G33" s="126">
        <v>3228.73</v>
      </c>
      <c r="H33" s="127">
        <f t="shared" si="3"/>
        <v>1.825523942</v>
      </c>
      <c r="I33" s="14">
        <f>F33*G33</f>
        <v>1825.523942</v>
      </c>
      <c r="J33" s="29"/>
      <c r="K33" s="8"/>
      <c r="L33" s="8"/>
      <c r="M33" s="8"/>
    </row>
    <row r="34" spans="1:14" ht="15.75" customHeight="1">
      <c r="A34" s="36">
        <v>17</v>
      </c>
      <c r="B34" s="123" t="s">
        <v>126</v>
      </c>
      <c r="C34" s="124" t="s">
        <v>31</v>
      </c>
      <c r="D34" s="123" t="s">
        <v>68</v>
      </c>
      <c r="E34" s="130">
        <v>0.33333333333333331</v>
      </c>
      <c r="F34" s="126">
        <f>155/3</f>
        <v>51.666666666666664</v>
      </c>
      <c r="G34" s="126">
        <v>60.6</v>
      </c>
      <c r="H34" s="127">
        <f>SUM(G34*155/3/1000)</f>
        <v>3.1309999999999998</v>
      </c>
      <c r="I34" s="14">
        <f t="shared" si="4"/>
        <v>521.83333333333337</v>
      </c>
      <c r="J34" s="29"/>
      <c r="K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2</v>
      </c>
      <c r="G35" s="126">
        <v>204.52</v>
      </c>
      <c r="H35" s="127">
        <f t="shared" si="3"/>
        <v>0.40904000000000001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1214.74</v>
      </c>
      <c r="H36" s="127">
        <f t="shared" si="3"/>
        <v>1.2147399999999999</v>
      </c>
      <c r="I36" s="14">
        <v>0</v>
      </c>
      <c r="J36" s="30"/>
    </row>
    <row r="37" spans="1:14" ht="15.75" hidden="1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</row>
    <row r="38" spans="1:14" ht="15.75" hidden="1" customHeight="1">
      <c r="A38" s="36">
        <v>6</v>
      </c>
      <c r="B38" s="123" t="s">
        <v>26</v>
      </c>
      <c r="C38" s="124" t="s">
        <v>32</v>
      </c>
      <c r="D38" s="123"/>
      <c r="E38" s="125"/>
      <c r="F38" s="126">
        <v>5</v>
      </c>
      <c r="G38" s="126">
        <v>1632.6</v>
      </c>
      <c r="H38" s="127">
        <f t="shared" ref="H38:H44" si="5">SUM(F38*G38/1000)</f>
        <v>8.1630000000000003</v>
      </c>
      <c r="I38" s="14">
        <f t="shared" ref="I38:I44" si="6">F38/6*G38</f>
        <v>1360.5</v>
      </c>
      <c r="J38" s="30"/>
    </row>
    <row r="39" spans="1:14" ht="15.75" hidden="1" customHeight="1">
      <c r="A39" s="36">
        <v>7</v>
      </c>
      <c r="B39" s="123" t="s">
        <v>190</v>
      </c>
      <c r="C39" s="124" t="s">
        <v>29</v>
      </c>
      <c r="D39" s="123" t="s">
        <v>106</v>
      </c>
      <c r="E39" s="125">
        <v>71.91</v>
      </c>
      <c r="F39" s="126">
        <f>E39*30/1000</f>
        <v>2.1572999999999998</v>
      </c>
      <c r="G39" s="126">
        <v>2247.8000000000002</v>
      </c>
      <c r="H39" s="127">
        <f>G39*F39/1000</f>
        <v>4.8491789399999998</v>
      </c>
      <c r="I39" s="14">
        <f t="shared" si="6"/>
        <v>808.19649000000004</v>
      </c>
      <c r="J39" s="30"/>
      <c r="L39" s="23"/>
      <c r="M39" s="24"/>
      <c r="N39" s="25"/>
    </row>
    <row r="40" spans="1:14" ht="15.75" hidden="1" customHeight="1">
      <c r="A40" s="36">
        <v>8</v>
      </c>
      <c r="B40" s="123" t="s">
        <v>191</v>
      </c>
      <c r="C40" s="124" t="s">
        <v>29</v>
      </c>
      <c r="D40" s="123" t="s">
        <v>192</v>
      </c>
      <c r="E40" s="125">
        <v>294.37</v>
      </c>
      <c r="F40" s="126">
        <f>E40*12/1000</f>
        <v>3.5324400000000002</v>
      </c>
      <c r="G40" s="126">
        <v>2247.8000000000002</v>
      </c>
      <c r="H40" s="127">
        <f>G40*F40/1000</f>
        <v>7.9402186320000006</v>
      </c>
      <c r="I40" s="14">
        <f t="shared" si="6"/>
        <v>1323.3697720000002</v>
      </c>
      <c r="J40" s="30"/>
      <c r="L40" s="23"/>
      <c r="M40" s="24"/>
      <c r="N40" s="25"/>
    </row>
    <row r="41" spans="1:14" ht="15.75" hidden="1" customHeight="1">
      <c r="A41" s="36">
        <v>9</v>
      </c>
      <c r="B41" s="123" t="s">
        <v>73</v>
      </c>
      <c r="C41" s="124" t="s">
        <v>29</v>
      </c>
      <c r="D41" s="123" t="s">
        <v>107</v>
      </c>
      <c r="E41" s="126">
        <v>71.91</v>
      </c>
      <c r="F41" s="126">
        <f>SUM(E41*155/1000)</f>
        <v>11.146049999999999</v>
      </c>
      <c r="G41" s="126">
        <v>374.95</v>
      </c>
      <c r="H41" s="127">
        <f t="shared" si="5"/>
        <v>4.1792114475000002</v>
      </c>
      <c r="I41" s="14">
        <f t="shared" si="6"/>
        <v>696.5352412499999</v>
      </c>
      <c r="J41" s="30"/>
      <c r="L41" s="23"/>
      <c r="M41" s="24"/>
      <c r="N41" s="25"/>
    </row>
    <row r="42" spans="1:14" ht="47.25" hidden="1" customHeight="1">
      <c r="A42" s="36">
        <v>10</v>
      </c>
      <c r="B42" s="123" t="s">
        <v>97</v>
      </c>
      <c r="C42" s="124" t="s">
        <v>108</v>
      </c>
      <c r="D42" s="123" t="s">
        <v>149</v>
      </c>
      <c r="E42" s="126">
        <v>71.91</v>
      </c>
      <c r="F42" s="126">
        <f>SUM(E42*24/1000)</f>
        <v>1.7258399999999998</v>
      </c>
      <c r="G42" s="126">
        <v>6203.7</v>
      </c>
      <c r="H42" s="127">
        <f t="shared" si="5"/>
        <v>10.706593607999999</v>
      </c>
      <c r="I42" s="14">
        <f t="shared" si="6"/>
        <v>1784.4322679999996</v>
      </c>
      <c r="J42" s="30"/>
      <c r="L42" s="23"/>
      <c r="M42" s="24"/>
      <c r="N42" s="25"/>
    </row>
    <row r="43" spans="1:14" ht="15.75" hidden="1" customHeight="1">
      <c r="A43" s="36">
        <v>11</v>
      </c>
      <c r="B43" s="123" t="s">
        <v>193</v>
      </c>
      <c r="C43" s="124" t="s">
        <v>108</v>
      </c>
      <c r="D43" s="123" t="s">
        <v>74</v>
      </c>
      <c r="E43" s="126">
        <v>71.91</v>
      </c>
      <c r="F43" s="126">
        <f>SUM(E43*45/1000)</f>
        <v>3.2359499999999999</v>
      </c>
      <c r="G43" s="126">
        <v>458.28</v>
      </c>
      <c r="H43" s="127">
        <f t="shared" si="5"/>
        <v>1.4829711659999998</v>
      </c>
      <c r="I43" s="14">
        <f t="shared" si="6"/>
        <v>247.16186099999996</v>
      </c>
      <c r="J43" s="30"/>
      <c r="L43" s="23"/>
      <c r="M43" s="24"/>
      <c r="N43" s="25"/>
    </row>
    <row r="44" spans="1:14" ht="15.75" hidden="1" customHeight="1">
      <c r="A44" s="36">
        <v>12</v>
      </c>
      <c r="B44" s="123" t="s">
        <v>75</v>
      </c>
      <c r="C44" s="124" t="s">
        <v>33</v>
      </c>
      <c r="D44" s="123"/>
      <c r="E44" s="125"/>
      <c r="F44" s="126">
        <v>0.3</v>
      </c>
      <c r="G44" s="126">
        <v>853.06</v>
      </c>
      <c r="H44" s="127">
        <f t="shared" si="5"/>
        <v>0.25591799999999998</v>
      </c>
      <c r="I44" s="14">
        <f t="shared" si="6"/>
        <v>42.652999999999992</v>
      </c>
      <c r="J44" s="30"/>
      <c r="L44" s="23"/>
      <c r="M44" s="24"/>
      <c r="N44" s="25"/>
    </row>
    <row r="45" spans="1:14" ht="15.75" customHeight="1">
      <c r="A45" s="153" t="s">
        <v>183</v>
      </c>
      <c r="B45" s="154"/>
      <c r="C45" s="154"/>
      <c r="D45" s="154"/>
      <c r="E45" s="154"/>
      <c r="F45" s="154"/>
      <c r="G45" s="154"/>
      <c r="H45" s="154"/>
      <c r="I45" s="155"/>
      <c r="J45" s="30"/>
      <c r="L45" s="23"/>
      <c r="M45" s="24"/>
      <c r="N45" s="25"/>
    </row>
    <row r="46" spans="1:14" ht="15.75" customHeight="1">
      <c r="A46" s="36">
        <v>18</v>
      </c>
      <c r="B46" s="123" t="s">
        <v>129</v>
      </c>
      <c r="C46" s="124" t="s">
        <v>108</v>
      </c>
      <c r="D46" s="123" t="s">
        <v>43</v>
      </c>
      <c r="E46" s="125">
        <v>904.4</v>
      </c>
      <c r="F46" s="126">
        <f>SUM(E46*2/1000)</f>
        <v>1.8088</v>
      </c>
      <c r="G46" s="14">
        <v>865.61</v>
      </c>
      <c r="H46" s="127">
        <f t="shared" ref="H46:H55" si="7">SUM(F46*G46/1000)</f>
        <v>1.565715368</v>
      </c>
      <c r="I46" s="14">
        <f t="shared" ref="I46:I49" si="8">F46/2*G46</f>
        <v>782.85768399999995</v>
      </c>
      <c r="J46" s="30"/>
      <c r="L46" s="23"/>
      <c r="M46" s="24"/>
      <c r="N46" s="25"/>
    </row>
    <row r="47" spans="1:14" ht="15.75" customHeight="1">
      <c r="A47" s="36">
        <v>19</v>
      </c>
      <c r="B47" s="123" t="s">
        <v>36</v>
      </c>
      <c r="C47" s="124" t="s">
        <v>108</v>
      </c>
      <c r="D47" s="123" t="s">
        <v>43</v>
      </c>
      <c r="E47" s="125">
        <v>27</v>
      </c>
      <c r="F47" s="126">
        <f>E47*2/1000</f>
        <v>5.3999999999999999E-2</v>
      </c>
      <c r="G47" s="14">
        <v>619.46</v>
      </c>
      <c r="H47" s="127">
        <f t="shared" si="7"/>
        <v>3.3450840000000003E-2</v>
      </c>
      <c r="I47" s="14">
        <f t="shared" si="8"/>
        <v>16.72542</v>
      </c>
      <c r="J47" s="30"/>
      <c r="L47" s="23"/>
      <c r="M47" s="24"/>
      <c r="N47" s="25"/>
    </row>
    <row r="48" spans="1:14" ht="15.75" customHeight="1">
      <c r="A48" s="36">
        <v>20</v>
      </c>
      <c r="B48" s="123" t="s">
        <v>37</v>
      </c>
      <c r="C48" s="124" t="s">
        <v>108</v>
      </c>
      <c r="D48" s="123" t="s">
        <v>43</v>
      </c>
      <c r="E48" s="125">
        <v>772</v>
      </c>
      <c r="F48" s="126">
        <f>SUM(E48*2/1000)</f>
        <v>1.544</v>
      </c>
      <c r="G48" s="14">
        <v>619.46</v>
      </c>
      <c r="H48" s="127">
        <f t="shared" si="7"/>
        <v>0.95644624000000011</v>
      </c>
      <c r="I48" s="14">
        <f t="shared" si="8"/>
        <v>478.22312000000005</v>
      </c>
      <c r="J48" s="30"/>
      <c r="L48" s="23"/>
      <c r="M48" s="24"/>
      <c r="N48" s="25"/>
    </row>
    <row r="49" spans="1:22" ht="15.75" customHeight="1">
      <c r="A49" s="36">
        <v>21</v>
      </c>
      <c r="B49" s="123" t="s">
        <v>38</v>
      </c>
      <c r="C49" s="124" t="s">
        <v>108</v>
      </c>
      <c r="D49" s="123" t="s">
        <v>43</v>
      </c>
      <c r="E49" s="125">
        <v>959.35</v>
      </c>
      <c r="F49" s="126">
        <f>SUM(E49*2/1000)</f>
        <v>1.9187000000000001</v>
      </c>
      <c r="G49" s="14">
        <v>648.64</v>
      </c>
      <c r="H49" s="127">
        <f t="shared" si="7"/>
        <v>1.2445455679999999</v>
      </c>
      <c r="I49" s="14">
        <f t="shared" si="8"/>
        <v>622.272784</v>
      </c>
      <c r="J49" s="30"/>
      <c r="L49" s="23"/>
      <c r="M49" s="24"/>
      <c r="N49" s="25"/>
    </row>
    <row r="50" spans="1:22" ht="15.75" customHeight="1">
      <c r="A50" s="36">
        <v>22</v>
      </c>
      <c r="B50" s="123" t="s">
        <v>34</v>
      </c>
      <c r="C50" s="124" t="s">
        <v>35</v>
      </c>
      <c r="D50" s="123" t="s">
        <v>43</v>
      </c>
      <c r="E50" s="125">
        <v>66.02</v>
      </c>
      <c r="F50" s="126">
        <f>SUM(E50*2/100)</f>
        <v>1.3204</v>
      </c>
      <c r="G50" s="14">
        <v>77.84</v>
      </c>
      <c r="H50" s="127">
        <f t="shared" si="7"/>
        <v>0.102779936</v>
      </c>
      <c r="I50" s="14">
        <f>F50/2*G50</f>
        <v>51.389968000000003</v>
      </c>
      <c r="J50" s="30"/>
      <c r="L50" s="23"/>
      <c r="M50" s="24"/>
      <c r="N50" s="25"/>
    </row>
    <row r="51" spans="1:22" ht="15.75" customHeight="1">
      <c r="A51" s="36">
        <v>23</v>
      </c>
      <c r="B51" s="123" t="s">
        <v>59</v>
      </c>
      <c r="C51" s="124" t="s">
        <v>108</v>
      </c>
      <c r="D51" s="123" t="s">
        <v>180</v>
      </c>
      <c r="E51" s="125">
        <v>702.5</v>
      </c>
      <c r="F51" s="126">
        <f>SUM(E51*5/1000)</f>
        <v>3.5125000000000002</v>
      </c>
      <c r="G51" s="14">
        <v>1297.28</v>
      </c>
      <c r="H51" s="127">
        <f t="shared" si="7"/>
        <v>4.5566959999999996</v>
      </c>
      <c r="I51" s="14">
        <f>F51/5*G51</f>
        <v>911.33920000000001</v>
      </c>
      <c r="J51" s="30"/>
      <c r="L51" s="23"/>
      <c r="M51" s="24"/>
      <c r="N51" s="25"/>
    </row>
    <row r="52" spans="1:22" ht="31.5" customHeight="1">
      <c r="A52" s="36">
        <v>24</v>
      </c>
      <c r="B52" s="123" t="s">
        <v>109</v>
      </c>
      <c r="C52" s="124" t="s">
        <v>108</v>
      </c>
      <c r="D52" s="123" t="s">
        <v>43</v>
      </c>
      <c r="E52" s="125">
        <v>702.5</v>
      </c>
      <c r="F52" s="126">
        <f>SUM(E52*2/1000)</f>
        <v>1.405</v>
      </c>
      <c r="G52" s="14">
        <v>1297.28</v>
      </c>
      <c r="H52" s="127">
        <f t="shared" si="7"/>
        <v>1.8226784</v>
      </c>
      <c r="I52" s="14">
        <f>F52/2*G52</f>
        <v>911.33920000000001</v>
      </c>
      <c r="J52" s="30"/>
      <c r="L52" s="23"/>
      <c r="M52" s="24"/>
      <c r="N52" s="25"/>
    </row>
    <row r="53" spans="1:22" ht="31.5" hidden="1" customHeight="1">
      <c r="A53" s="36"/>
      <c r="B53" s="123" t="s">
        <v>110</v>
      </c>
      <c r="C53" s="124" t="s">
        <v>39</v>
      </c>
      <c r="D53" s="123" t="s">
        <v>43</v>
      </c>
      <c r="E53" s="125">
        <v>9</v>
      </c>
      <c r="F53" s="126">
        <f>SUM(E53*2/100)</f>
        <v>0.18</v>
      </c>
      <c r="G53" s="14">
        <v>2918.89</v>
      </c>
      <c r="H53" s="127">
        <f t="shared" si="7"/>
        <v>0.52540019999999987</v>
      </c>
      <c r="I53" s="14">
        <v>0</v>
      </c>
      <c r="J53" s="30"/>
      <c r="L53" s="23"/>
      <c r="M53" s="24"/>
      <c r="N53" s="25"/>
    </row>
    <row r="54" spans="1:22" ht="15.75" hidden="1" customHeight="1">
      <c r="A54" s="36"/>
      <c r="B54" s="123" t="s">
        <v>40</v>
      </c>
      <c r="C54" s="124" t="s">
        <v>41</v>
      </c>
      <c r="D54" s="123" t="s">
        <v>43</v>
      </c>
      <c r="E54" s="125">
        <v>1</v>
      </c>
      <c r="F54" s="126">
        <v>0.02</v>
      </c>
      <c r="G54" s="14">
        <v>6042.12</v>
      </c>
      <c r="H54" s="127">
        <f t="shared" si="7"/>
        <v>0.1208424</v>
      </c>
      <c r="I54" s="14">
        <v>0</v>
      </c>
      <c r="J54" s="30"/>
      <c r="L54" s="23"/>
      <c r="M54" s="24"/>
      <c r="N54" s="25"/>
    </row>
    <row r="55" spans="1:22" ht="15.75" hidden="1" customHeight="1">
      <c r="A55" s="36">
        <v>14</v>
      </c>
      <c r="B55" s="123" t="s">
        <v>42</v>
      </c>
      <c r="C55" s="124" t="s">
        <v>130</v>
      </c>
      <c r="D55" s="123" t="s">
        <v>76</v>
      </c>
      <c r="E55" s="125">
        <v>53</v>
      </c>
      <c r="F55" s="126">
        <f>SUM(E55)*3</f>
        <v>159</v>
      </c>
      <c r="G55" s="14">
        <v>70.209999999999994</v>
      </c>
      <c r="H55" s="127">
        <f t="shared" si="7"/>
        <v>11.16339</v>
      </c>
      <c r="I55" s="14">
        <f>E55*G55</f>
        <v>3721.1299999999997</v>
      </c>
      <c r="J55" s="30"/>
      <c r="L55" s="23"/>
      <c r="M55" s="24"/>
      <c r="N55" s="25"/>
    </row>
    <row r="56" spans="1:22" ht="15.75" customHeight="1">
      <c r="A56" s="153" t="s">
        <v>184</v>
      </c>
      <c r="B56" s="154"/>
      <c r="C56" s="154"/>
      <c r="D56" s="154"/>
      <c r="E56" s="154"/>
      <c r="F56" s="154"/>
      <c r="G56" s="154"/>
      <c r="H56" s="154"/>
      <c r="I56" s="155"/>
      <c r="J56" s="30"/>
      <c r="L56" s="23"/>
      <c r="M56" s="24"/>
      <c r="N56" s="25"/>
    </row>
    <row r="57" spans="1:22" ht="15.75" hidden="1" customHeight="1">
      <c r="A57" s="36"/>
      <c r="B57" s="144" t="s">
        <v>44</v>
      </c>
      <c r="C57" s="124"/>
      <c r="D57" s="123"/>
      <c r="E57" s="125"/>
      <c r="F57" s="126"/>
      <c r="G57" s="126"/>
      <c r="H57" s="127"/>
      <c r="I57" s="14"/>
      <c r="J57" s="30"/>
      <c r="L57" s="23"/>
      <c r="M57" s="24"/>
      <c r="N57" s="25"/>
    </row>
    <row r="58" spans="1:22" ht="31.5" hidden="1" customHeight="1">
      <c r="A58" s="36">
        <v>15</v>
      </c>
      <c r="B58" s="123" t="s">
        <v>131</v>
      </c>
      <c r="C58" s="124" t="s">
        <v>105</v>
      </c>
      <c r="D58" s="123" t="s">
        <v>132</v>
      </c>
      <c r="E58" s="125">
        <v>25</v>
      </c>
      <c r="F58" s="126">
        <f>SUM(E58*6/100)</f>
        <v>1.5</v>
      </c>
      <c r="G58" s="14">
        <v>1654.04</v>
      </c>
      <c r="H58" s="127">
        <f>SUM(F58*G58/1000)</f>
        <v>2.4810599999999998</v>
      </c>
      <c r="I58" s="14">
        <f>F58/6*G58</f>
        <v>413.51</v>
      </c>
      <c r="J58" s="30"/>
      <c r="L58" s="23"/>
      <c r="M58" s="24"/>
      <c r="N58" s="25"/>
    </row>
    <row r="59" spans="1:22" ht="15.75" hidden="1" customHeight="1">
      <c r="A59" s="36"/>
      <c r="B59" s="144" t="s">
        <v>45</v>
      </c>
      <c r="C59" s="124"/>
      <c r="D59" s="123"/>
      <c r="E59" s="125"/>
      <c r="F59" s="126"/>
      <c r="G59" s="116"/>
      <c r="H59" s="127"/>
      <c r="I59" s="14"/>
      <c r="J59" s="30"/>
      <c r="L59" s="23"/>
    </row>
    <row r="60" spans="1:22" ht="15.75" hidden="1" customHeight="1">
      <c r="A60" s="36"/>
      <c r="B60" s="123" t="s">
        <v>133</v>
      </c>
      <c r="C60" s="124" t="s">
        <v>105</v>
      </c>
      <c r="D60" s="123" t="s">
        <v>72</v>
      </c>
      <c r="E60" s="125">
        <v>1026</v>
      </c>
      <c r="F60" s="127">
        <f>E60/100</f>
        <v>10.26</v>
      </c>
      <c r="G60" s="14">
        <v>848.37</v>
      </c>
      <c r="H60" s="132">
        <f>F60*G60/1000</f>
        <v>8.7042762000000007</v>
      </c>
      <c r="I60" s="14">
        <v>0</v>
      </c>
    </row>
    <row r="61" spans="1:22" ht="15.75" customHeight="1">
      <c r="A61" s="36"/>
      <c r="B61" s="145" t="s">
        <v>46</v>
      </c>
      <c r="C61" s="133"/>
      <c r="D61" s="134"/>
      <c r="E61" s="135"/>
      <c r="F61" s="136"/>
      <c r="G61" s="136"/>
      <c r="H61" s="137" t="s">
        <v>145</v>
      </c>
      <c r="I61" s="14"/>
    </row>
    <row r="62" spans="1:22" ht="15.75" customHeight="1">
      <c r="A62" s="36">
        <v>25</v>
      </c>
      <c r="B62" s="16" t="s">
        <v>47</v>
      </c>
      <c r="C62" s="18" t="s">
        <v>130</v>
      </c>
      <c r="D62" s="123" t="s">
        <v>72</v>
      </c>
      <c r="E62" s="21">
        <v>8</v>
      </c>
      <c r="F62" s="126">
        <v>8</v>
      </c>
      <c r="G62" s="14">
        <v>237.74</v>
      </c>
      <c r="H62" s="121">
        <f t="shared" ref="H62:H75" si="9">SUM(F62*G62/1000)</f>
        <v>1.9019200000000001</v>
      </c>
      <c r="I62" s="14">
        <f>G62</f>
        <v>237.74</v>
      </c>
    </row>
    <row r="63" spans="1:22" ht="15.75" hidden="1" customHeight="1">
      <c r="A63" s="36"/>
      <c r="B63" s="16" t="s">
        <v>48</v>
      </c>
      <c r="C63" s="18" t="s">
        <v>130</v>
      </c>
      <c r="D63" s="123" t="s">
        <v>72</v>
      </c>
      <c r="E63" s="21">
        <v>3</v>
      </c>
      <c r="F63" s="126">
        <v>3</v>
      </c>
      <c r="G63" s="14">
        <v>81.510000000000005</v>
      </c>
      <c r="H63" s="121">
        <f t="shared" si="9"/>
        <v>0.24453000000000003</v>
      </c>
      <c r="I63" s="14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36">
        <v>26</v>
      </c>
      <c r="B64" s="16" t="s">
        <v>49</v>
      </c>
      <c r="C64" s="18" t="s">
        <v>134</v>
      </c>
      <c r="D64" s="16" t="s">
        <v>55</v>
      </c>
      <c r="E64" s="125">
        <v>6307</v>
      </c>
      <c r="F64" s="14">
        <f>SUM(E64/100)</f>
        <v>63.07</v>
      </c>
      <c r="G64" s="14">
        <v>226.79</v>
      </c>
      <c r="H64" s="121">
        <f t="shared" si="9"/>
        <v>14.303645299999999</v>
      </c>
      <c r="I64" s="14">
        <f>F64*G64</f>
        <v>14303.6453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6">
        <v>27</v>
      </c>
      <c r="B65" s="16" t="s">
        <v>50</v>
      </c>
      <c r="C65" s="18" t="s">
        <v>135</v>
      </c>
      <c r="D65" s="16"/>
      <c r="E65" s="125">
        <v>6307</v>
      </c>
      <c r="F65" s="14">
        <f>SUM(E65/1000)</f>
        <v>6.3070000000000004</v>
      </c>
      <c r="G65" s="14">
        <v>176.61</v>
      </c>
      <c r="H65" s="121">
        <f t="shared" si="9"/>
        <v>1.1138792700000002</v>
      </c>
      <c r="I65" s="14">
        <f t="shared" ref="I65:I68" si="10">F65*G65</f>
        <v>1113.8792700000001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6">
        <v>28</v>
      </c>
      <c r="B66" s="16" t="s">
        <v>51</v>
      </c>
      <c r="C66" s="18" t="s">
        <v>82</v>
      </c>
      <c r="D66" s="16" t="s">
        <v>55</v>
      </c>
      <c r="E66" s="125">
        <v>1003</v>
      </c>
      <c r="F66" s="14">
        <f>SUM(E66/100)</f>
        <v>10.029999999999999</v>
      </c>
      <c r="G66" s="14">
        <v>2217.7800000000002</v>
      </c>
      <c r="H66" s="121">
        <f t="shared" si="9"/>
        <v>22.244333399999999</v>
      </c>
      <c r="I66" s="14">
        <f t="shared" si="10"/>
        <v>22244.3334</v>
      </c>
      <c r="J66" s="5"/>
      <c r="K66" s="5"/>
      <c r="L66" s="5"/>
      <c r="M66" s="5"/>
      <c r="N66" s="5"/>
      <c r="O66" s="5"/>
      <c r="P66" s="5"/>
      <c r="Q66" s="5"/>
      <c r="R66" s="163"/>
      <c r="S66" s="163"/>
      <c r="T66" s="163"/>
      <c r="U66" s="163"/>
    </row>
    <row r="67" spans="1:21" ht="15.75" customHeight="1">
      <c r="A67" s="36">
        <v>29</v>
      </c>
      <c r="B67" s="138" t="s">
        <v>136</v>
      </c>
      <c r="C67" s="18" t="s">
        <v>33</v>
      </c>
      <c r="D67" s="16"/>
      <c r="E67" s="125">
        <v>6.6</v>
      </c>
      <c r="F67" s="14">
        <f>SUM(E67)</f>
        <v>6.6</v>
      </c>
      <c r="G67" s="14">
        <v>42.67</v>
      </c>
      <c r="H67" s="121">
        <f t="shared" si="9"/>
        <v>0.28162200000000004</v>
      </c>
      <c r="I67" s="14">
        <f t="shared" si="10"/>
        <v>281.62200000000001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6">
        <v>30</v>
      </c>
      <c r="B68" s="138" t="s">
        <v>137</v>
      </c>
      <c r="C68" s="18" t="s">
        <v>33</v>
      </c>
      <c r="D68" s="16"/>
      <c r="E68" s="125">
        <v>6.6</v>
      </c>
      <c r="F68" s="14">
        <f>SUM(E68)</f>
        <v>6.6</v>
      </c>
      <c r="G68" s="14">
        <v>39.81</v>
      </c>
      <c r="H68" s="121">
        <f t="shared" si="9"/>
        <v>0.26274599999999998</v>
      </c>
      <c r="I68" s="14">
        <f t="shared" si="10"/>
        <v>262.74599999999998</v>
      </c>
    </row>
    <row r="69" spans="1:21" ht="15.75" hidden="1" customHeight="1">
      <c r="A69" s="36"/>
      <c r="B69" s="16" t="s">
        <v>60</v>
      </c>
      <c r="C69" s="18" t="s">
        <v>61</v>
      </c>
      <c r="D69" s="16" t="s">
        <v>55</v>
      </c>
      <c r="E69" s="21">
        <v>3</v>
      </c>
      <c r="F69" s="126">
        <v>3</v>
      </c>
      <c r="G69" s="14">
        <v>46.97</v>
      </c>
      <c r="H69" s="121">
        <f t="shared" si="9"/>
        <v>0.14091000000000001</v>
      </c>
      <c r="I69" s="14">
        <v>0</v>
      </c>
    </row>
    <row r="70" spans="1:21" ht="15.75" customHeight="1">
      <c r="A70" s="36"/>
      <c r="B70" s="101" t="s">
        <v>77</v>
      </c>
      <c r="C70" s="18"/>
      <c r="D70" s="16"/>
      <c r="E70" s="21"/>
      <c r="F70" s="14"/>
      <c r="G70" s="14"/>
      <c r="H70" s="121" t="s">
        <v>145</v>
      </c>
      <c r="I70" s="14"/>
    </row>
    <row r="71" spans="1:21" ht="15.75" customHeight="1">
      <c r="A71" s="36">
        <v>31</v>
      </c>
      <c r="B71" s="16" t="s">
        <v>78</v>
      </c>
      <c r="C71" s="18" t="s">
        <v>80</v>
      </c>
      <c r="D71" s="16"/>
      <c r="E71" s="21">
        <v>3</v>
      </c>
      <c r="F71" s="14">
        <v>0.3</v>
      </c>
      <c r="G71" s="14">
        <v>536.23</v>
      </c>
      <c r="H71" s="121">
        <f t="shared" si="9"/>
        <v>0.16086900000000001</v>
      </c>
      <c r="I71" s="14">
        <f>G71*0.2</f>
        <v>107.24600000000001</v>
      </c>
    </row>
    <row r="72" spans="1:21" ht="15.75" hidden="1" customHeight="1">
      <c r="A72" s="36"/>
      <c r="B72" s="16" t="s">
        <v>79</v>
      </c>
      <c r="C72" s="18" t="s">
        <v>31</v>
      </c>
      <c r="D72" s="16"/>
      <c r="E72" s="21">
        <v>1</v>
      </c>
      <c r="F72" s="116">
        <v>1</v>
      </c>
      <c r="G72" s="14">
        <v>911.85</v>
      </c>
      <c r="H72" s="121">
        <f>F72*G72/1000</f>
        <v>0.91185000000000005</v>
      </c>
      <c r="I72" s="14">
        <v>0</v>
      </c>
    </row>
    <row r="73" spans="1:21" ht="15.75" hidden="1" customHeight="1">
      <c r="A73" s="36"/>
      <c r="B73" s="16" t="s">
        <v>194</v>
      </c>
      <c r="C73" s="18" t="s">
        <v>31</v>
      </c>
      <c r="D73" s="16"/>
      <c r="E73" s="21">
        <v>1</v>
      </c>
      <c r="F73" s="14">
        <v>1</v>
      </c>
      <c r="G73" s="14">
        <v>383.25</v>
      </c>
      <c r="H73" s="121">
        <f>G73*F73/1000</f>
        <v>0.38324999999999998</v>
      </c>
      <c r="I73" s="14">
        <v>0</v>
      </c>
    </row>
    <row r="74" spans="1:21" ht="15.75" hidden="1" customHeight="1">
      <c r="A74" s="36"/>
      <c r="B74" s="140" t="s">
        <v>81</v>
      </c>
      <c r="C74" s="18"/>
      <c r="D74" s="16"/>
      <c r="E74" s="21"/>
      <c r="F74" s="14"/>
      <c r="G74" s="14" t="s">
        <v>145</v>
      </c>
      <c r="H74" s="121" t="s">
        <v>145</v>
      </c>
      <c r="I74" s="14"/>
    </row>
    <row r="75" spans="1:21" ht="15.75" hidden="1" customHeight="1">
      <c r="A75" s="36"/>
      <c r="B75" s="67" t="s">
        <v>162</v>
      </c>
      <c r="C75" s="18" t="s">
        <v>82</v>
      </c>
      <c r="D75" s="16"/>
      <c r="E75" s="21"/>
      <c r="F75" s="14">
        <v>0.1</v>
      </c>
      <c r="G75" s="14">
        <v>2831.38</v>
      </c>
      <c r="H75" s="121">
        <f t="shared" si="9"/>
        <v>0.28313800000000006</v>
      </c>
      <c r="I75" s="14">
        <v>0</v>
      </c>
    </row>
    <row r="76" spans="1:21" ht="15.75" hidden="1" customHeight="1">
      <c r="A76" s="36"/>
      <c r="B76" s="115" t="s">
        <v>111</v>
      </c>
      <c r="C76" s="115"/>
      <c r="D76" s="115"/>
      <c r="E76" s="146"/>
      <c r="F76" s="147"/>
      <c r="G76" s="129"/>
      <c r="H76" s="141">
        <f>SUM(H58:H75)</f>
        <v>53.41802916999999</v>
      </c>
      <c r="I76" s="129"/>
    </row>
    <row r="77" spans="1:21" ht="15.75" hidden="1" customHeight="1">
      <c r="A77" s="36"/>
      <c r="B77" s="148" t="s">
        <v>138</v>
      </c>
      <c r="C77" s="27"/>
      <c r="D77" s="26"/>
      <c r="E77" s="117"/>
      <c r="F77" s="14">
        <v>1</v>
      </c>
      <c r="G77" s="14">
        <v>5637.8</v>
      </c>
      <c r="H77" s="121">
        <f>G77*F77/1000</f>
        <v>5.6378000000000004</v>
      </c>
      <c r="I77" s="14">
        <v>0</v>
      </c>
    </row>
    <row r="78" spans="1:21" ht="15.75" customHeight="1">
      <c r="A78" s="153" t="s">
        <v>185</v>
      </c>
      <c r="B78" s="154"/>
      <c r="C78" s="154"/>
      <c r="D78" s="154"/>
      <c r="E78" s="154"/>
      <c r="F78" s="154"/>
      <c r="G78" s="154"/>
      <c r="H78" s="154"/>
      <c r="I78" s="155"/>
    </row>
    <row r="79" spans="1:21" ht="15.75" customHeight="1">
      <c r="A79" s="36">
        <v>32</v>
      </c>
      <c r="B79" s="123" t="s">
        <v>139</v>
      </c>
      <c r="C79" s="18" t="s">
        <v>56</v>
      </c>
      <c r="D79" s="142" t="s">
        <v>57</v>
      </c>
      <c r="E79" s="14">
        <v>1536.4</v>
      </c>
      <c r="F79" s="14">
        <f>SUM(E79*12)</f>
        <v>18436.800000000003</v>
      </c>
      <c r="G79" s="14">
        <v>2.2400000000000002</v>
      </c>
      <c r="H79" s="121">
        <f>SUM(F79*G79/1000)</f>
        <v>41.298432000000005</v>
      </c>
      <c r="I79" s="14">
        <f>F79/12*G79</f>
        <v>3441.536000000001</v>
      </c>
    </row>
    <row r="80" spans="1:21" ht="31.5" customHeight="1">
      <c r="A80" s="36">
        <v>33</v>
      </c>
      <c r="B80" s="16" t="s">
        <v>83</v>
      </c>
      <c r="C80" s="18"/>
      <c r="D80" s="142" t="s">
        <v>57</v>
      </c>
      <c r="E80" s="125">
        <f>E79</f>
        <v>1536.4</v>
      </c>
      <c r="F80" s="14">
        <f>E80*12</f>
        <v>18436.800000000003</v>
      </c>
      <c r="G80" s="14">
        <v>1.74</v>
      </c>
      <c r="H80" s="121">
        <f>F80*G80/1000</f>
        <v>32.08003200000001</v>
      </c>
      <c r="I80" s="14">
        <f>F80/12*G80</f>
        <v>2673.3360000000007</v>
      </c>
    </row>
    <row r="81" spans="1:9" ht="15.75" customHeight="1">
      <c r="A81" s="36"/>
      <c r="B81" s="54" t="s">
        <v>87</v>
      </c>
      <c r="C81" s="140"/>
      <c r="D81" s="139"/>
      <c r="E81" s="129"/>
      <c r="F81" s="129"/>
      <c r="G81" s="129"/>
      <c r="H81" s="141">
        <f>H80</f>
        <v>32.08003200000001</v>
      </c>
      <c r="I81" s="129">
        <f>I16+I17+I18+I19+I20+I21+I22+I23+I24+I25+I26+I27+I28+I31+I32+I33+I34+I46+I47+I48+I49+I50+I51+I52+I62+I64+I65+I66+I67+I68+I71+I79+I80</f>
        <v>67679.233431400004</v>
      </c>
    </row>
    <row r="82" spans="1:9" ht="15.75" customHeight="1">
      <c r="A82" s="36"/>
      <c r="B82" s="87" t="s">
        <v>63</v>
      </c>
      <c r="C82" s="18"/>
      <c r="D82" s="67"/>
      <c r="E82" s="14"/>
      <c r="F82" s="14"/>
      <c r="G82" s="14"/>
      <c r="H82" s="14"/>
      <c r="I82" s="14"/>
    </row>
    <row r="83" spans="1:9" ht="15.75" customHeight="1">
      <c r="A83" s="36">
        <v>34</v>
      </c>
      <c r="B83" s="88" t="s">
        <v>164</v>
      </c>
      <c r="C83" s="89" t="s">
        <v>130</v>
      </c>
      <c r="D83" s="67"/>
      <c r="E83" s="14"/>
      <c r="F83" s="14">
        <v>216</v>
      </c>
      <c r="G83" s="14">
        <v>50.68</v>
      </c>
      <c r="H83" s="14">
        <f>G83*F83/1000</f>
        <v>10.946879999999998</v>
      </c>
      <c r="I83" s="14">
        <f>G83*27</f>
        <v>1368.36</v>
      </c>
    </row>
    <row r="84" spans="1:9" ht="15.75" customHeight="1">
      <c r="A84" s="36">
        <v>35</v>
      </c>
      <c r="B84" s="88" t="s">
        <v>92</v>
      </c>
      <c r="C84" s="89" t="s">
        <v>130</v>
      </c>
      <c r="D84" s="67"/>
      <c r="E84" s="14"/>
      <c r="F84" s="14">
        <v>4</v>
      </c>
      <c r="G84" s="14">
        <v>180.15</v>
      </c>
      <c r="H84" s="121">
        <f>G84*F84/1000</f>
        <v>0.72060000000000002</v>
      </c>
      <c r="I84" s="14">
        <f>G84</f>
        <v>180.15</v>
      </c>
    </row>
    <row r="85" spans="1:9" ht="31.5" customHeight="1">
      <c r="A85" s="36">
        <v>36</v>
      </c>
      <c r="B85" s="143" t="s">
        <v>202</v>
      </c>
      <c r="C85" s="36" t="s">
        <v>203</v>
      </c>
      <c r="D85" s="67"/>
      <c r="E85" s="14"/>
      <c r="F85" s="14">
        <v>1</v>
      </c>
      <c r="G85" s="14">
        <v>1835.8</v>
      </c>
      <c r="H85" s="121">
        <f>G85*F85/1000</f>
        <v>1.8357999999999999</v>
      </c>
      <c r="I85" s="14">
        <f t="shared" ref="I85:I94" si="11">G85</f>
        <v>1835.8</v>
      </c>
    </row>
    <row r="86" spans="1:9" ht="31.5" customHeight="1">
      <c r="A86" s="36">
        <v>37</v>
      </c>
      <c r="B86" s="88" t="s">
        <v>204</v>
      </c>
      <c r="C86" s="89" t="s">
        <v>89</v>
      </c>
      <c r="D86" s="67"/>
      <c r="E86" s="14"/>
      <c r="F86" s="14">
        <v>2</v>
      </c>
      <c r="G86" s="14">
        <v>1206</v>
      </c>
      <c r="H86" s="121">
        <f t="shared" ref="H86" si="12">G86*F86/1000</f>
        <v>2.4119999999999999</v>
      </c>
      <c r="I86" s="14">
        <f>G86*2</f>
        <v>2412</v>
      </c>
    </row>
    <row r="87" spans="1:9" ht="31.5" customHeight="1">
      <c r="A87" s="36">
        <v>38</v>
      </c>
      <c r="B87" s="88" t="s">
        <v>96</v>
      </c>
      <c r="C87" s="89" t="s">
        <v>39</v>
      </c>
      <c r="D87" s="67"/>
      <c r="E87" s="14"/>
      <c r="F87" s="14">
        <v>0.03</v>
      </c>
      <c r="G87" s="14">
        <v>3397.65</v>
      </c>
      <c r="H87" s="121">
        <f>G87*F87/1000</f>
        <v>0.10192950000000001</v>
      </c>
      <c r="I87" s="14">
        <f>G87*0.03</f>
        <v>101.9295</v>
      </c>
    </row>
    <row r="88" spans="1:9" ht="31.5" customHeight="1">
      <c r="A88" s="36">
        <v>39</v>
      </c>
      <c r="B88" s="88" t="s">
        <v>205</v>
      </c>
      <c r="C88" s="89" t="s">
        <v>29</v>
      </c>
      <c r="D88" s="67"/>
      <c r="E88" s="14"/>
      <c r="F88" s="19">
        <f>3/1000</f>
        <v>3.0000000000000001E-3</v>
      </c>
      <c r="G88" s="14">
        <v>1510.06</v>
      </c>
      <c r="H88" s="19">
        <f t="shared" ref="H88" si="13">G88*F88/1000</f>
        <v>4.53018E-3</v>
      </c>
      <c r="I88" s="14">
        <f>G88*0.003</f>
        <v>4.5301799999999997</v>
      </c>
    </row>
    <row r="89" spans="1:9" ht="15.75" customHeight="1">
      <c r="A89" s="36">
        <v>40</v>
      </c>
      <c r="B89" s="88" t="s">
        <v>206</v>
      </c>
      <c r="C89" s="89" t="s">
        <v>207</v>
      </c>
      <c r="D89" s="67"/>
      <c r="E89" s="14"/>
      <c r="F89" s="14">
        <f>3/100</f>
        <v>0.03</v>
      </c>
      <c r="G89" s="14">
        <v>7033.13</v>
      </c>
      <c r="H89" s="121">
        <f>G89*F89/1000</f>
        <v>0.21099389999999998</v>
      </c>
      <c r="I89" s="14">
        <f>G89*0.03</f>
        <v>210.9939</v>
      </c>
    </row>
    <row r="90" spans="1:9" ht="15.75" customHeight="1">
      <c r="A90" s="36">
        <v>41</v>
      </c>
      <c r="B90" s="88" t="s">
        <v>208</v>
      </c>
      <c r="C90" s="89" t="s">
        <v>130</v>
      </c>
      <c r="D90" s="67"/>
      <c r="E90" s="14"/>
      <c r="F90" s="14">
        <v>1</v>
      </c>
      <c r="G90" s="14">
        <v>124.25</v>
      </c>
      <c r="H90" s="121">
        <f t="shared" ref="H90:H94" si="14">G90*F90/1000</f>
        <v>0.12425</v>
      </c>
      <c r="I90" s="14">
        <f t="shared" si="11"/>
        <v>124.25</v>
      </c>
    </row>
    <row r="91" spans="1:9" ht="15.75" customHeight="1">
      <c r="A91" s="36">
        <v>42</v>
      </c>
      <c r="B91" s="88" t="s">
        <v>209</v>
      </c>
      <c r="C91" s="89" t="s">
        <v>210</v>
      </c>
      <c r="D91" s="67"/>
      <c r="E91" s="14"/>
      <c r="F91" s="14">
        <v>2</v>
      </c>
      <c r="G91" s="14">
        <v>83.63</v>
      </c>
      <c r="H91" s="121">
        <f t="shared" si="14"/>
        <v>0.16725999999999999</v>
      </c>
      <c r="I91" s="14">
        <f>G91*2</f>
        <v>167.26</v>
      </c>
    </row>
    <row r="92" spans="1:9" ht="31.5" customHeight="1">
      <c r="A92" s="36">
        <v>43</v>
      </c>
      <c r="B92" s="88" t="s">
        <v>86</v>
      </c>
      <c r="C92" s="89" t="s">
        <v>130</v>
      </c>
      <c r="D92" s="67"/>
      <c r="E92" s="14"/>
      <c r="F92" s="14">
        <v>1</v>
      </c>
      <c r="G92" s="14">
        <v>79.09</v>
      </c>
      <c r="H92" s="121">
        <f t="shared" si="14"/>
        <v>7.9090000000000008E-2</v>
      </c>
      <c r="I92" s="14">
        <f t="shared" si="11"/>
        <v>79.09</v>
      </c>
    </row>
    <row r="93" spans="1:9" ht="15.75" customHeight="1">
      <c r="A93" s="36">
        <v>44</v>
      </c>
      <c r="B93" s="88" t="s">
        <v>211</v>
      </c>
      <c r="C93" s="89" t="s">
        <v>130</v>
      </c>
      <c r="D93" s="67"/>
      <c r="E93" s="14"/>
      <c r="F93" s="14">
        <v>1</v>
      </c>
      <c r="G93" s="14">
        <v>5692.42</v>
      </c>
      <c r="H93" s="121">
        <f t="shared" si="14"/>
        <v>5.6924200000000003</v>
      </c>
      <c r="I93" s="14">
        <f t="shared" si="11"/>
        <v>5692.42</v>
      </c>
    </row>
    <row r="94" spans="1:9" ht="15.75" customHeight="1">
      <c r="A94" s="36">
        <v>45</v>
      </c>
      <c r="B94" s="88" t="s">
        <v>212</v>
      </c>
      <c r="C94" s="89" t="s">
        <v>213</v>
      </c>
      <c r="D94" s="67"/>
      <c r="E94" s="14"/>
      <c r="F94" s="14">
        <v>1</v>
      </c>
      <c r="G94" s="14">
        <v>2426</v>
      </c>
      <c r="H94" s="121">
        <f t="shared" si="14"/>
        <v>2.4260000000000002</v>
      </c>
      <c r="I94" s="14">
        <f t="shared" si="11"/>
        <v>2426</v>
      </c>
    </row>
    <row r="95" spans="1:9">
      <c r="A95" s="36"/>
      <c r="B95" s="61" t="s">
        <v>52</v>
      </c>
      <c r="C95" s="57"/>
      <c r="D95" s="71"/>
      <c r="E95" s="57">
        <v>1</v>
      </c>
      <c r="F95" s="57"/>
      <c r="G95" s="57"/>
      <c r="H95" s="57"/>
      <c r="I95" s="39">
        <f>SUM(I83:I94)</f>
        <v>14602.783579999999</v>
      </c>
    </row>
    <row r="96" spans="1:9" ht="15.75" customHeight="1">
      <c r="A96" s="36"/>
      <c r="B96" s="67" t="s">
        <v>84</v>
      </c>
      <c r="C96" s="17"/>
      <c r="D96" s="17"/>
      <c r="E96" s="58"/>
      <c r="F96" s="58"/>
      <c r="G96" s="59"/>
      <c r="H96" s="59"/>
      <c r="I96" s="20">
        <v>0</v>
      </c>
    </row>
    <row r="97" spans="1:9">
      <c r="A97" s="72"/>
      <c r="B97" s="62" t="s">
        <v>53</v>
      </c>
      <c r="C97" s="45"/>
      <c r="D97" s="45"/>
      <c r="E97" s="45"/>
      <c r="F97" s="45"/>
      <c r="G97" s="45"/>
      <c r="H97" s="45"/>
      <c r="I97" s="60">
        <f>I81+I95</f>
        <v>82282.017011400007</v>
      </c>
    </row>
    <row r="98" spans="1:9" ht="15.75">
      <c r="A98" s="164" t="s">
        <v>231</v>
      </c>
      <c r="B98" s="164"/>
      <c r="C98" s="164"/>
      <c r="D98" s="164"/>
      <c r="E98" s="164"/>
      <c r="F98" s="164"/>
      <c r="G98" s="164"/>
      <c r="H98" s="164"/>
      <c r="I98" s="164"/>
    </row>
    <row r="99" spans="1:9" ht="15.75" customHeight="1">
      <c r="A99" s="107"/>
      <c r="B99" s="165" t="s">
        <v>232</v>
      </c>
      <c r="C99" s="165"/>
      <c r="D99" s="165"/>
      <c r="E99" s="165"/>
      <c r="F99" s="165"/>
      <c r="G99" s="165"/>
      <c r="H99" s="120"/>
      <c r="I99" s="3"/>
    </row>
    <row r="100" spans="1:9">
      <c r="A100" s="106"/>
      <c r="B100" s="161" t="s">
        <v>6</v>
      </c>
      <c r="C100" s="161"/>
      <c r="D100" s="161"/>
      <c r="E100" s="161"/>
      <c r="F100" s="161"/>
      <c r="G100" s="161"/>
      <c r="H100" s="31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66" t="s">
        <v>7</v>
      </c>
      <c r="B102" s="166"/>
      <c r="C102" s="166"/>
      <c r="D102" s="166"/>
      <c r="E102" s="166"/>
      <c r="F102" s="166"/>
      <c r="G102" s="166"/>
      <c r="H102" s="166"/>
      <c r="I102" s="166"/>
    </row>
    <row r="103" spans="1:9" ht="15.75" customHeight="1">
      <c r="A103" s="166" t="s">
        <v>8</v>
      </c>
      <c r="B103" s="166"/>
      <c r="C103" s="166"/>
      <c r="D103" s="166"/>
      <c r="E103" s="166"/>
      <c r="F103" s="166"/>
      <c r="G103" s="166"/>
      <c r="H103" s="166"/>
      <c r="I103" s="166"/>
    </row>
    <row r="104" spans="1:9" ht="15.75">
      <c r="A104" s="158" t="s">
        <v>64</v>
      </c>
      <c r="B104" s="158"/>
      <c r="C104" s="158"/>
      <c r="D104" s="158"/>
      <c r="E104" s="158"/>
      <c r="F104" s="158"/>
      <c r="G104" s="158"/>
      <c r="H104" s="158"/>
      <c r="I104" s="158"/>
    </row>
    <row r="105" spans="1:9" ht="15.75">
      <c r="A105" s="11"/>
    </row>
    <row r="106" spans="1:9" ht="15.75">
      <c r="A106" s="159" t="s">
        <v>9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15.75">
      <c r="A107" s="4"/>
    </row>
    <row r="108" spans="1:9" ht="15.75">
      <c r="B108" s="103" t="s">
        <v>10</v>
      </c>
      <c r="C108" s="160" t="s">
        <v>179</v>
      </c>
      <c r="D108" s="160"/>
      <c r="E108" s="160"/>
      <c r="F108" s="118"/>
      <c r="I108" s="105"/>
    </row>
    <row r="109" spans="1:9">
      <c r="A109" s="106"/>
      <c r="C109" s="161" t="s">
        <v>11</v>
      </c>
      <c r="D109" s="161"/>
      <c r="E109" s="161"/>
      <c r="F109" s="31"/>
      <c r="I109" s="104" t="s">
        <v>12</v>
      </c>
    </row>
    <row r="110" spans="1:9" ht="15.75">
      <c r="A110" s="32"/>
      <c r="C110" s="12"/>
      <c r="D110" s="12"/>
      <c r="G110" s="12"/>
      <c r="H110" s="12"/>
    </row>
    <row r="111" spans="1:9" ht="15.75" customHeight="1">
      <c r="B111" s="103" t="s">
        <v>13</v>
      </c>
      <c r="C111" s="162"/>
      <c r="D111" s="162"/>
      <c r="E111" s="162"/>
      <c r="F111" s="119"/>
      <c r="I111" s="105"/>
    </row>
    <row r="112" spans="1:9" ht="15.75" customHeight="1">
      <c r="A112" s="106"/>
      <c r="C112" s="163" t="s">
        <v>11</v>
      </c>
      <c r="D112" s="163"/>
      <c r="E112" s="163"/>
      <c r="F112" s="106"/>
      <c r="I112" s="104" t="s">
        <v>12</v>
      </c>
    </row>
    <row r="113" spans="1:9" ht="15.75" customHeight="1">
      <c r="A113" s="4" t="s">
        <v>14</v>
      </c>
    </row>
    <row r="114" spans="1:9">
      <c r="A114" s="156" t="s">
        <v>15</v>
      </c>
      <c r="B114" s="156"/>
      <c r="C114" s="156"/>
      <c r="D114" s="156"/>
      <c r="E114" s="156"/>
      <c r="F114" s="156"/>
      <c r="G114" s="156"/>
      <c r="H114" s="156"/>
      <c r="I114" s="156"/>
    </row>
    <row r="115" spans="1:9" ht="45" customHeight="1">
      <c r="A115" s="157" t="s">
        <v>16</v>
      </c>
      <c r="B115" s="157"/>
      <c r="C115" s="157"/>
      <c r="D115" s="157"/>
      <c r="E115" s="157"/>
      <c r="F115" s="157"/>
      <c r="G115" s="157"/>
      <c r="H115" s="157"/>
      <c r="I115" s="157"/>
    </row>
    <row r="116" spans="1:9" ht="30" customHeight="1">
      <c r="A116" s="157" t="s">
        <v>17</v>
      </c>
      <c r="B116" s="157"/>
      <c r="C116" s="157"/>
      <c r="D116" s="157"/>
      <c r="E116" s="157"/>
      <c r="F116" s="157"/>
      <c r="G116" s="157"/>
      <c r="H116" s="157"/>
      <c r="I116" s="157"/>
    </row>
    <row r="117" spans="1:9" ht="30" customHeight="1">
      <c r="A117" s="157" t="s">
        <v>21</v>
      </c>
      <c r="B117" s="157"/>
      <c r="C117" s="157"/>
      <c r="D117" s="157"/>
      <c r="E117" s="157"/>
      <c r="F117" s="157"/>
      <c r="G117" s="157"/>
      <c r="H117" s="157"/>
      <c r="I117" s="157"/>
    </row>
    <row r="118" spans="1:9" ht="15" customHeight="1">
      <c r="A118" s="157" t="s">
        <v>20</v>
      </c>
      <c r="B118" s="157"/>
      <c r="C118" s="157"/>
      <c r="D118" s="157"/>
      <c r="E118" s="157"/>
      <c r="F118" s="157"/>
      <c r="G118" s="157"/>
      <c r="H118" s="157"/>
      <c r="I118" s="157"/>
    </row>
  </sheetData>
  <autoFilter ref="I12:I61"/>
  <mergeCells count="28">
    <mergeCell ref="R66:U66"/>
    <mergeCell ref="A78:I78"/>
    <mergeCell ref="A3:I3"/>
    <mergeCell ref="A4:I4"/>
    <mergeCell ref="A5:I5"/>
    <mergeCell ref="A8:I8"/>
    <mergeCell ref="A10:I10"/>
    <mergeCell ref="A14:I14"/>
    <mergeCell ref="A104:I104"/>
    <mergeCell ref="A15:I15"/>
    <mergeCell ref="A29:I29"/>
    <mergeCell ref="A45:I45"/>
    <mergeCell ref="A56:I56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233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58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7">
        <v>42551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187.48</v>
      </c>
      <c r="H16" s="127">
        <f t="shared" ref="H16:H26" si="0">SUM(F16*G16/1000)</f>
        <v>16.056537119999998</v>
      </c>
      <c r="I16" s="14">
        <f>F16/12*G16</f>
        <v>1338.0447599999998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187.48</v>
      </c>
      <c r="H17" s="127">
        <f t="shared" si="0"/>
        <v>21.408716159999997</v>
      </c>
      <c r="I17" s="14">
        <f>F17/12*G17</f>
        <v>1784.0596799999998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539.30999999999995</v>
      </c>
      <c r="H18" s="127">
        <f t="shared" si="0"/>
        <v>21.317845679999998</v>
      </c>
      <c r="I18" s="14">
        <f>F18/12*G18</f>
        <v>1776.48714</v>
      </c>
      <c r="J18" s="29"/>
      <c r="K18" s="8"/>
      <c r="L18" s="8"/>
      <c r="M18" s="8"/>
    </row>
    <row r="19" spans="1:13" ht="15.75" hidden="1" customHeight="1">
      <c r="A19" s="36">
        <v>4</v>
      </c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181.91</v>
      </c>
      <c r="H19" s="127">
        <f t="shared" si="0"/>
        <v>0.39292560000000004</v>
      </c>
      <c r="I19" s="14">
        <v>0</v>
      </c>
      <c r="J19" s="29"/>
      <c r="K19" s="8"/>
      <c r="L19" s="8"/>
      <c r="M19" s="8"/>
    </row>
    <row r="20" spans="1:13" ht="15.75" hidden="1" customHeight="1">
      <c r="A20" s="36">
        <v>5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232.92</v>
      </c>
      <c r="H20" s="127">
        <f t="shared" si="0"/>
        <v>4.2764112E-2</v>
      </c>
      <c r="I20" s="14">
        <v>0</v>
      </c>
      <c r="J20" s="29"/>
      <c r="K20" s="8"/>
      <c r="L20" s="8"/>
      <c r="M20" s="8"/>
    </row>
    <row r="21" spans="1:13" ht="15.75" hidden="1" customHeight="1">
      <c r="A21" s="36">
        <v>6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231.03</v>
      </c>
      <c r="H21" s="127">
        <f t="shared" si="0"/>
        <v>3.7426860000000006E-2</v>
      </c>
      <c r="I21" s="14">
        <v>0</v>
      </c>
      <c r="J21" s="29"/>
      <c r="K21" s="8"/>
      <c r="L21" s="8"/>
      <c r="M21" s="8"/>
    </row>
    <row r="22" spans="1:13" ht="15.75" hidden="1" customHeight="1">
      <c r="A22" s="36">
        <v>7</v>
      </c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287.83999999999997</v>
      </c>
      <c r="H22" s="127">
        <f t="shared" si="0"/>
        <v>0.63416908799999983</v>
      </c>
      <c r="I22" s="14">
        <v>0</v>
      </c>
      <c r="J22" s="29"/>
      <c r="K22" s="8"/>
      <c r="L22" s="8"/>
      <c r="M22" s="8"/>
    </row>
    <row r="23" spans="1:13" ht="15.75" hidden="1" customHeight="1">
      <c r="A23" s="36">
        <v>8</v>
      </c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47.34</v>
      </c>
      <c r="H23" s="127">
        <f t="shared" si="0"/>
        <v>8.3507760000000007E-3</v>
      </c>
      <c r="I23" s="14">
        <v>0</v>
      </c>
      <c r="J23" s="29"/>
      <c r="K23" s="8"/>
      <c r="L23" s="8"/>
      <c r="M23" s="8"/>
    </row>
    <row r="24" spans="1:13" ht="15.75" hidden="1" customHeight="1">
      <c r="A24" s="36">
        <v>9</v>
      </c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416.62</v>
      </c>
      <c r="H24" s="127">
        <f t="shared" si="0"/>
        <v>2.9996640000000001E-2</v>
      </c>
      <c r="I24" s="14">
        <v>0</v>
      </c>
      <c r="J24" s="29"/>
      <c r="K24" s="8"/>
      <c r="L24" s="8"/>
      <c r="M24" s="8"/>
    </row>
    <row r="25" spans="1:13" ht="15.75" hidden="1" customHeight="1">
      <c r="A25" s="36">
        <v>10</v>
      </c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231.03</v>
      </c>
      <c r="H25" s="127">
        <f>G25*F25/1000</f>
        <v>2.1832334999999998E-2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>
        <v>11</v>
      </c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556.74</v>
      </c>
      <c r="H26" s="127">
        <f t="shared" si="0"/>
        <v>6.0127920000000008E-2</v>
      </c>
      <c r="I26" s="14">
        <v>0</v>
      </c>
      <c r="J26" s="29"/>
      <c r="K26" s="8"/>
      <c r="L26" s="8"/>
      <c r="M26" s="8"/>
    </row>
    <row r="27" spans="1:13" ht="15.75" customHeight="1">
      <c r="A27" s="36">
        <v>4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4">
        <f>F27/12*G27</f>
        <v>478.08916666666664</v>
      </c>
      <c r="J27" s="30"/>
    </row>
    <row r="28" spans="1:13" ht="15.75" customHeight="1">
      <c r="A28" s="36">
        <v>5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6.15</v>
      </c>
      <c r="H28" s="127">
        <f>SUM(F28*G28/1000)</f>
        <v>113.38632000000003</v>
      </c>
      <c r="I28" s="14">
        <f>F28/12*G28</f>
        <v>9448.8600000000024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29"/>
      <c r="K29" s="8"/>
      <c r="L29" s="8"/>
      <c r="M29" s="8"/>
    </row>
    <row r="30" spans="1:13" ht="15.75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29"/>
      <c r="K30" s="8"/>
      <c r="L30" s="8"/>
      <c r="M30" s="8"/>
    </row>
    <row r="31" spans="1:13" ht="31.5" customHeight="1">
      <c r="A31" s="36">
        <v>6</v>
      </c>
      <c r="B31" s="123" t="s">
        <v>128</v>
      </c>
      <c r="C31" s="124" t="s">
        <v>108</v>
      </c>
      <c r="D31" s="123" t="s">
        <v>123</v>
      </c>
      <c r="E31" s="126">
        <v>565.4</v>
      </c>
      <c r="F31" s="126">
        <f>SUM(E31*52/1000)</f>
        <v>29.4008</v>
      </c>
      <c r="G31" s="126">
        <v>166.65</v>
      </c>
      <c r="H31" s="127">
        <f t="shared" ref="H31:H36" si="1">SUM(F31*G31/1000)</f>
        <v>4.89964332</v>
      </c>
      <c r="I31" s="14">
        <f t="shared" ref="I31:I34" si="2">F31/6*G31</f>
        <v>816.6072200000001</v>
      </c>
      <c r="J31" s="29"/>
      <c r="K31" s="8"/>
      <c r="L31" s="8"/>
      <c r="M31" s="8"/>
    </row>
    <row r="32" spans="1:13" ht="31.5" customHeight="1">
      <c r="A32" s="36">
        <v>7</v>
      </c>
      <c r="B32" s="123" t="s">
        <v>127</v>
      </c>
      <c r="C32" s="124" t="s">
        <v>108</v>
      </c>
      <c r="D32" s="123" t="s">
        <v>124</v>
      </c>
      <c r="E32" s="126">
        <v>71.91</v>
      </c>
      <c r="F32" s="126">
        <f>SUM(E32*78/1000)</f>
        <v>5.6089799999999999</v>
      </c>
      <c r="G32" s="126">
        <v>276.48</v>
      </c>
      <c r="H32" s="127">
        <f t="shared" si="1"/>
        <v>1.5507707904000001</v>
      </c>
      <c r="I32" s="14">
        <f t="shared" si="2"/>
        <v>258.46179840000002</v>
      </c>
      <c r="J32" s="29"/>
      <c r="K32" s="8"/>
      <c r="L32" s="8"/>
      <c r="M32" s="8"/>
    </row>
    <row r="33" spans="1:14" ht="15.75" hidden="1" customHeight="1">
      <c r="A33" s="36">
        <v>14</v>
      </c>
      <c r="B33" s="123" t="s">
        <v>27</v>
      </c>
      <c r="C33" s="124" t="s">
        <v>108</v>
      </c>
      <c r="D33" s="123" t="s">
        <v>55</v>
      </c>
      <c r="E33" s="126">
        <v>565.4</v>
      </c>
      <c r="F33" s="126">
        <f>SUM(E33/1000)</f>
        <v>0.56540000000000001</v>
      </c>
      <c r="G33" s="126">
        <v>3228.73</v>
      </c>
      <c r="H33" s="127">
        <f t="shared" si="1"/>
        <v>1.825523942</v>
      </c>
      <c r="I33" s="14">
        <f>F33*G33</f>
        <v>1825.523942</v>
      </c>
      <c r="J33" s="29"/>
      <c r="K33" s="8"/>
      <c r="L33" s="8"/>
      <c r="M33" s="8"/>
    </row>
    <row r="34" spans="1:14" ht="15.75" customHeight="1">
      <c r="A34" s="36">
        <v>8</v>
      </c>
      <c r="B34" s="123" t="s">
        <v>126</v>
      </c>
      <c r="C34" s="124" t="s">
        <v>31</v>
      </c>
      <c r="D34" s="123" t="s">
        <v>68</v>
      </c>
      <c r="E34" s="130">
        <v>0.33333333333333331</v>
      </c>
      <c r="F34" s="126">
        <f>155/3</f>
        <v>51.666666666666664</v>
      </c>
      <c r="G34" s="126">
        <v>60.6</v>
      </c>
      <c r="H34" s="127">
        <f>SUM(G34*155/3/1000)</f>
        <v>3.1309999999999998</v>
      </c>
      <c r="I34" s="14">
        <f t="shared" si="2"/>
        <v>521.83333333333337</v>
      </c>
      <c r="J34" s="29"/>
      <c r="K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2</v>
      </c>
      <c r="G35" s="126">
        <v>204.52</v>
      </c>
      <c r="H35" s="127">
        <f t="shared" si="1"/>
        <v>0.40904000000000001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1214.74</v>
      </c>
      <c r="H36" s="127">
        <f t="shared" si="1"/>
        <v>1.2147399999999999</v>
      </c>
      <c r="I36" s="14">
        <v>0</v>
      </c>
      <c r="J36" s="30"/>
    </row>
    <row r="37" spans="1:14" ht="15.75" hidden="1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</row>
    <row r="38" spans="1:14" ht="15.75" hidden="1" customHeight="1">
      <c r="A38" s="36">
        <v>6</v>
      </c>
      <c r="B38" s="123" t="s">
        <v>26</v>
      </c>
      <c r="C38" s="124" t="s">
        <v>32</v>
      </c>
      <c r="D38" s="123"/>
      <c r="E38" s="125"/>
      <c r="F38" s="126">
        <v>5</v>
      </c>
      <c r="G38" s="126">
        <v>1632.6</v>
      </c>
      <c r="H38" s="127">
        <f t="shared" ref="H38:H44" si="3">SUM(F38*G38/1000)</f>
        <v>8.1630000000000003</v>
      </c>
      <c r="I38" s="14">
        <f t="shared" ref="I38:I44" si="4">F38/6*G38</f>
        <v>1360.5</v>
      </c>
      <c r="J38" s="30"/>
    </row>
    <row r="39" spans="1:14" ht="15.75" hidden="1" customHeight="1">
      <c r="A39" s="36">
        <v>7</v>
      </c>
      <c r="B39" s="123" t="s">
        <v>190</v>
      </c>
      <c r="C39" s="124" t="s">
        <v>29</v>
      </c>
      <c r="D39" s="123" t="s">
        <v>106</v>
      </c>
      <c r="E39" s="125">
        <v>71.91</v>
      </c>
      <c r="F39" s="126">
        <f>E39*30/1000</f>
        <v>2.1572999999999998</v>
      </c>
      <c r="G39" s="126">
        <v>2247.8000000000002</v>
      </c>
      <c r="H39" s="127">
        <f>G39*F39/1000</f>
        <v>4.8491789399999998</v>
      </c>
      <c r="I39" s="14">
        <f t="shared" si="4"/>
        <v>808.19649000000004</v>
      </c>
      <c r="J39" s="30"/>
      <c r="L39" s="23"/>
      <c r="M39" s="24"/>
      <c r="N39" s="25"/>
    </row>
    <row r="40" spans="1:14" ht="15.75" hidden="1" customHeight="1">
      <c r="A40" s="36">
        <v>8</v>
      </c>
      <c r="B40" s="123" t="s">
        <v>191</v>
      </c>
      <c r="C40" s="124" t="s">
        <v>29</v>
      </c>
      <c r="D40" s="123" t="s">
        <v>192</v>
      </c>
      <c r="E40" s="125">
        <v>294.37</v>
      </c>
      <c r="F40" s="126">
        <f>E40*12/1000</f>
        <v>3.5324400000000002</v>
      </c>
      <c r="G40" s="126">
        <v>2247.8000000000002</v>
      </c>
      <c r="H40" s="127">
        <f>G40*F40/1000</f>
        <v>7.9402186320000006</v>
      </c>
      <c r="I40" s="14">
        <f t="shared" si="4"/>
        <v>1323.3697720000002</v>
      </c>
      <c r="J40" s="30"/>
      <c r="L40" s="23"/>
      <c r="M40" s="24"/>
      <c r="N40" s="25"/>
    </row>
    <row r="41" spans="1:14" ht="15.75" hidden="1" customHeight="1">
      <c r="A41" s="36">
        <v>9</v>
      </c>
      <c r="B41" s="123" t="s">
        <v>73</v>
      </c>
      <c r="C41" s="124" t="s">
        <v>29</v>
      </c>
      <c r="D41" s="123" t="s">
        <v>107</v>
      </c>
      <c r="E41" s="126">
        <v>71.91</v>
      </c>
      <c r="F41" s="126">
        <f>SUM(E41*155/1000)</f>
        <v>11.146049999999999</v>
      </c>
      <c r="G41" s="126">
        <v>374.95</v>
      </c>
      <c r="H41" s="127">
        <f t="shared" si="3"/>
        <v>4.1792114475000002</v>
      </c>
      <c r="I41" s="14">
        <f t="shared" si="4"/>
        <v>696.5352412499999</v>
      </c>
      <c r="J41" s="30"/>
      <c r="L41" s="23"/>
      <c r="M41" s="24"/>
      <c r="N41" s="25"/>
    </row>
    <row r="42" spans="1:14" ht="47.25" hidden="1" customHeight="1">
      <c r="A42" s="36">
        <v>10</v>
      </c>
      <c r="B42" s="123" t="s">
        <v>97</v>
      </c>
      <c r="C42" s="124" t="s">
        <v>108</v>
      </c>
      <c r="D42" s="123" t="s">
        <v>149</v>
      </c>
      <c r="E42" s="126">
        <v>71.91</v>
      </c>
      <c r="F42" s="126">
        <f>SUM(E42*24/1000)</f>
        <v>1.7258399999999998</v>
      </c>
      <c r="G42" s="126">
        <v>6203.7</v>
      </c>
      <c r="H42" s="127">
        <f t="shared" si="3"/>
        <v>10.706593607999999</v>
      </c>
      <c r="I42" s="14">
        <f t="shared" si="4"/>
        <v>1784.4322679999996</v>
      </c>
      <c r="J42" s="30"/>
      <c r="L42" s="23"/>
      <c r="M42" s="24"/>
      <c r="N42" s="25"/>
    </row>
    <row r="43" spans="1:14" ht="15.75" hidden="1" customHeight="1">
      <c r="A43" s="36">
        <v>11</v>
      </c>
      <c r="B43" s="123" t="s">
        <v>193</v>
      </c>
      <c r="C43" s="124" t="s">
        <v>108</v>
      </c>
      <c r="D43" s="123" t="s">
        <v>74</v>
      </c>
      <c r="E43" s="126">
        <v>71.91</v>
      </c>
      <c r="F43" s="126">
        <f>SUM(E43*45/1000)</f>
        <v>3.2359499999999999</v>
      </c>
      <c r="G43" s="126">
        <v>458.28</v>
      </c>
      <c r="H43" s="127">
        <f t="shared" si="3"/>
        <v>1.4829711659999998</v>
      </c>
      <c r="I43" s="14">
        <f t="shared" si="4"/>
        <v>247.16186099999996</v>
      </c>
      <c r="J43" s="30"/>
      <c r="L43" s="23"/>
      <c r="M43" s="24"/>
      <c r="N43" s="25"/>
    </row>
    <row r="44" spans="1:14" ht="15.75" hidden="1" customHeight="1">
      <c r="A44" s="36">
        <v>12</v>
      </c>
      <c r="B44" s="123" t="s">
        <v>75</v>
      </c>
      <c r="C44" s="124" t="s">
        <v>33</v>
      </c>
      <c r="D44" s="123"/>
      <c r="E44" s="125"/>
      <c r="F44" s="126">
        <v>0.3</v>
      </c>
      <c r="G44" s="126">
        <v>853.06</v>
      </c>
      <c r="H44" s="127">
        <f t="shared" si="3"/>
        <v>0.25591799999999998</v>
      </c>
      <c r="I44" s="14">
        <f t="shared" si="4"/>
        <v>42.652999999999992</v>
      </c>
      <c r="J44" s="30"/>
      <c r="L44" s="23"/>
      <c r="M44" s="24"/>
      <c r="N44" s="25"/>
    </row>
    <row r="45" spans="1:14" ht="15.75" hidden="1" customHeight="1">
      <c r="A45" s="153" t="s">
        <v>183</v>
      </c>
      <c r="B45" s="154"/>
      <c r="C45" s="154"/>
      <c r="D45" s="154"/>
      <c r="E45" s="154"/>
      <c r="F45" s="154"/>
      <c r="G45" s="154"/>
      <c r="H45" s="154"/>
      <c r="I45" s="155"/>
      <c r="J45" s="30"/>
      <c r="L45" s="23"/>
      <c r="M45" s="24"/>
      <c r="N45" s="25"/>
    </row>
    <row r="46" spans="1:14" ht="15.75" hidden="1" customHeight="1">
      <c r="A46" s="36"/>
      <c r="B46" s="123" t="s">
        <v>129</v>
      </c>
      <c r="C46" s="124" t="s">
        <v>108</v>
      </c>
      <c r="D46" s="123" t="s">
        <v>43</v>
      </c>
      <c r="E46" s="125">
        <v>904.4</v>
      </c>
      <c r="F46" s="126">
        <f>SUM(E46*2/1000)</f>
        <v>1.8088</v>
      </c>
      <c r="G46" s="14">
        <v>865.61</v>
      </c>
      <c r="H46" s="127">
        <f t="shared" ref="H46:H55" si="5">SUM(F46*G46/1000)</f>
        <v>1.565715368</v>
      </c>
      <c r="I46" s="14">
        <v>0</v>
      </c>
      <c r="J46" s="30"/>
      <c r="L46" s="23"/>
      <c r="M46" s="24"/>
      <c r="N46" s="25"/>
    </row>
    <row r="47" spans="1:14" ht="15.75" hidden="1" customHeight="1">
      <c r="A47" s="36"/>
      <c r="B47" s="123" t="s">
        <v>36</v>
      </c>
      <c r="C47" s="124" t="s">
        <v>108</v>
      </c>
      <c r="D47" s="123" t="s">
        <v>43</v>
      </c>
      <c r="E47" s="125">
        <v>27</v>
      </c>
      <c r="F47" s="126">
        <f>E47*2/1000</f>
        <v>5.3999999999999999E-2</v>
      </c>
      <c r="G47" s="14">
        <v>619.46</v>
      </c>
      <c r="H47" s="127">
        <f t="shared" si="5"/>
        <v>3.3450840000000003E-2</v>
      </c>
      <c r="I47" s="14">
        <v>0</v>
      </c>
      <c r="J47" s="30"/>
      <c r="L47" s="23"/>
      <c r="M47" s="24"/>
      <c r="N47" s="25"/>
    </row>
    <row r="48" spans="1:14" ht="15.75" hidden="1" customHeight="1">
      <c r="A48" s="36"/>
      <c r="B48" s="123" t="s">
        <v>37</v>
      </c>
      <c r="C48" s="124" t="s">
        <v>108</v>
      </c>
      <c r="D48" s="123" t="s">
        <v>43</v>
      </c>
      <c r="E48" s="125">
        <v>772</v>
      </c>
      <c r="F48" s="126">
        <f>SUM(E48*2/1000)</f>
        <v>1.544</v>
      </c>
      <c r="G48" s="14">
        <v>619.46</v>
      </c>
      <c r="H48" s="127">
        <f t="shared" si="5"/>
        <v>0.95644624000000011</v>
      </c>
      <c r="I48" s="14">
        <v>0</v>
      </c>
      <c r="J48" s="30"/>
      <c r="L48" s="23"/>
      <c r="M48" s="24"/>
      <c r="N48" s="25"/>
    </row>
    <row r="49" spans="1:22" ht="15.75" hidden="1" customHeight="1">
      <c r="A49" s="36"/>
      <c r="B49" s="123" t="s">
        <v>38</v>
      </c>
      <c r="C49" s="124" t="s">
        <v>108</v>
      </c>
      <c r="D49" s="123" t="s">
        <v>43</v>
      </c>
      <c r="E49" s="125">
        <v>959.35</v>
      </c>
      <c r="F49" s="126">
        <f>SUM(E49*2/1000)</f>
        <v>1.9187000000000001</v>
      </c>
      <c r="G49" s="14">
        <v>648.64</v>
      </c>
      <c r="H49" s="127">
        <f t="shared" si="5"/>
        <v>1.2445455679999999</v>
      </c>
      <c r="I49" s="14">
        <v>0</v>
      </c>
      <c r="J49" s="30"/>
      <c r="L49" s="23"/>
      <c r="M49" s="24"/>
      <c r="N49" s="25"/>
    </row>
    <row r="50" spans="1:22" ht="15.75" hidden="1" customHeight="1">
      <c r="A50" s="36"/>
      <c r="B50" s="123" t="s">
        <v>34</v>
      </c>
      <c r="C50" s="124" t="s">
        <v>35</v>
      </c>
      <c r="D50" s="123" t="s">
        <v>43</v>
      </c>
      <c r="E50" s="125">
        <v>66.02</v>
      </c>
      <c r="F50" s="126">
        <f>SUM(E50*2/100)</f>
        <v>1.3204</v>
      </c>
      <c r="G50" s="14">
        <v>77.84</v>
      </c>
      <c r="H50" s="127">
        <f t="shared" si="5"/>
        <v>0.102779936</v>
      </c>
      <c r="I50" s="14">
        <v>0</v>
      </c>
      <c r="J50" s="30"/>
      <c r="L50" s="23"/>
      <c r="M50" s="24"/>
      <c r="N50" s="25"/>
    </row>
    <row r="51" spans="1:22" ht="15.75" hidden="1" customHeight="1">
      <c r="A51" s="36">
        <v>13</v>
      </c>
      <c r="B51" s="123" t="s">
        <v>59</v>
      </c>
      <c r="C51" s="124" t="s">
        <v>108</v>
      </c>
      <c r="D51" s="123" t="s">
        <v>180</v>
      </c>
      <c r="E51" s="125">
        <v>702.5</v>
      </c>
      <c r="F51" s="126">
        <f>SUM(E51*5/1000)</f>
        <v>3.5125000000000002</v>
      </c>
      <c r="G51" s="14">
        <v>1297.28</v>
      </c>
      <c r="H51" s="127">
        <f t="shared" si="5"/>
        <v>4.5566959999999996</v>
      </c>
      <c r="I51" s="14">
        <f>F51/5*G51</f>
        <v>911.33920000000001</v>
      </c>
      <c r="J51" s="30"/>
      <c r="L51" s="23"/>
      <c r="M51" s="24"/>
      <c r="N51" s="25"/>
    </row>
    <row r="52" spans="1:22" ht="31.5" hidden="1" customHeight="1">
      <c r="A52" s="36"/>
      <c r="B52" s="123" t="s">
        <v>109</v>
      </c>
      <c r="C52" s="124" t="s">
        <v>108</v>
      </c>
      <c r="D52" s="123" t="s">
        <v>43</v>
      </c>
      <c r="E52" s="125">
        <v>702.5</v>
      </c>
      <c r="F52" s="126">
        <f>SUM(E52*2/1000)</f>
        <v>1.405</v>
      </c>
      <c r="G52" s="14">
        <v>1297.28</v>
      </c>
      <c r="H52" s="127">
        <f t="shared" si="5"/>
        <v>1.8226784</v>
      </c>
      <c r="I52" s="14">
        <v>0</v>
      </c>
      <c r="J52" s="30"/>
      <c r="L52" s="23"/>
      <c r="M52" s="24"/>
      <c r="N52" s="25"/>
    </row>
    <row r="53" spans="1:22" ht="31.5" hidden="1" customHeight="1">
      <c r="A53" s="36"/>
      <c r="B53" s="123" t="s">
        <v>110</v>
      </c>
      <c r="C53" s="124" t="s">
        <v>39</v>
      </c>
      <c r="D53" s="123" t="s">
        <v>43</v>
      </c>
      <c r="E53" s="125">
        <v>9</v>
      </c>
      <c r="F53" s="126">
        <f>SUM(E53*2/100)</f>
        <v>0.18</v>
      </c>
      <c r="G53" s="14">
        <v>2918.89</v>
      </c>
      <c r="H53" s="127">
        <f t="shared" si="5"/>
        <v>0.52540019999999987</v>
      </c>
      <c r="I53" s="14">
        <v>0</v>
      </c>
      <c r="J53" s="30"/>
      <c r="L53" s="23"/>
      <c r="M53" s="24"/>
      <c r="N53" s="25"/>
    </row>
    <row r="54" spans="1:22" ht="15.75" hidden="1" customHeight="1">
      <c r="A54" s="36"/>
      <c r="B54" s="123" t="s">
        <v>40</v>
      </c>
      <c r="C54" s="124" t="s">
        <v>41</v>
      </c>
      <c r="D54" s="123" t="s">
        <v>43</v>
      </c>
      <c r="E54" s="125">
        <v>1</v>
      </c>
      <c r="F54" s="126">
        <v>0.02</v>
      </c>
      <c r="G54" s="14">
        <v>6042.12</v>
      </c>
      <c r="H54" s="127">
        <f t="shared" si="5"/>
        <v>0.1208424</v>
      </c>
      <c r="I54" s="14">
        <v>0</v>
      </c>
      <c r="J54" s="30"/>
      <c r="L54" s="23"/>
      <c r="M54" s="24"/>
      <c r="N54" s="25"/>
    </row>
    <row r="55" spans="1:22" ht="15.75" hidden="1" customHeight="1">
      <c r="A55" s="36">
        <v>14</v>
      </c>
      <c r="B55" s="123" t="s">
        <v>42</v>
      </c>
      <c r="C55" s="124" t="s">
        <v>130</v>
      </c>
      <c r="D55" s="123" t="s">
        <v>76</v>
      </c>
      <c r="E55" s="125">
        <v>53</v>
      </c>
      <c r="F55" s="126">
        <f>SUM(E55)*3</f>
        <v>159</v>
      </c>
      <c r="G55" s="14">
        <v>70.209999999999994</v>
      </c>
      <c r="H55" s="127">
        <f t="shared" si="5"/>
        <v>11.16339</v>
      </c>
      <c r="I55" s="14">
        <f>E55*G55</f>
        <v>3721.1299999999997</v>
      </c>
      <c r="J55" s="30"/>
      <c r="L55" s="23"/>
      <c r="M55" s="24"/>
      <c r="N55" s="25"/>
    </row>
    <row r="56" spans="1:22" ht="15.75" customHeight="1">
      <c r="A56" s="153" t="s">
        <v>223</v>
      </c>
      <c r="B56" s="154"/>
      <c r="C56" s="154"/>
      <c r="D56" s="154"/>
      <c r="E56" s="154"/>
      <c r="F56" s="154"/>
      <c r="G56" s="154"/>
      <c r="H56" s="154"/>
      <c r="I56" s="155"/>
      <c r="J56" s="30"/>
      <c r="L56" s="23"/>
      <c r="M56" s="24"/>
      <c r="N56" s="25"/>
    </row>
    <row r="57" spans="1:22" ht="15.75" hidden="1" customHeight="1">
      <c r="A57" s="36"/>
      <c r="B57" s="144" t="s">
        <v>44</v>
      </c>
      <c r="C57" s="124"/>
      <c r="D57" s="123"/>
      <c r="E57" s="125"/>
      <c r="F57" s="126"/>
      <c r="G57" s="126"/>
      <c r="H57" s="127"/>
      <c r="I57" s="14"/>
      <c r="J57" s="30"/>
      <c r="L57" s="23"/>
      <c r="M57" s="24"/>
      <c r="N57" s="25"/>
    </row>
    <row r="58" spans="1:22" ht="31.5" hidden="1" customHeight="1">
      <c r="A58" s="36">
        <v>15</v>
      </c>
      <c r="B58" s="123" t="s">
        <v>131</v>
      </c>
      <c r="C58" s="124" t="s">
        <v>105</v>
      </c>
      <c r="D58" s="123" t="s">
        <v>132</v>
      </c>
      <c r="E58" s="125">
        <v>25</v>
      </c>
      <c r="F58" s="126">
        <f>SUM(E58*6/100)</f>
        <v>1.5</v>
      </c>
      <c r="G58" s="14">
        <v>1654.04</v>
      </c>
      <c r="H58" s="127">
        <f>SUM(F58*G58/1000)</f>
        <v>2.4810599999999998</v>
      </c>
      <c r="I58" s="14">
        <f>F58/6*G58</f>
        <v>413.51</v>
      </c>
      <c r="J58" s="30"/>
      <c r="L58" s="23"/>
      <c r="M58" s="24"/>
      <c r="N58" s="25"/>
    </row>
    <row r="59" spans="1:22" ht="15.75" hidden="1" customHeight="1">
      <c r="A59" s="36"/>
      <c r="B59" s="144" t="s">
        <v>45</v>
      </c>
      <c r="C59" s="124"/>
      <c r="D59" s="123"/>
      <c r="E59" s="125"/>
      <c r="F59" s="126"/>
      <c r="G59" s="116"/>
      <c r="H59" s="127"/>
      <c r="I59" s="14"/>
      <c r="J59" s="30"/>
      <c r="L59" s="23"/>
    </row>
    <row r="60" spans="1:22" ht="15.75" hidden="1" customHeight="1">
      <c r="A60" s="36"/>
      <c r="B60" s="123" t="s">
        <v>133</v>
      </c>
      <c r="C60" s="124" t="s">
        <v>105</v>
      </c>
      <c r="D60" s="123" t="s">
        <v>72</v>
      </c>
      <c r="E60" s="125">
        <v>1026</v>
      </c>
      <c r="F60" s="127">
        <f>E60/100</f>
        <v>10.26</v>
      </c>
      <c r="G60" s="14">
        <v>848.37</v>
      </c>
      <c r="H60" s="132">
        <f>F60*G60/1000</f>
        <v>8.7042762000000007</v>
      </c>
      <c r="I60" s="14">
        <v>0</v>
      </c>
    </row>
    <row r="61" spans="1:22" ht="15.75" customHeight="1">
      <c r="A61" s="36"/>
      <c r="B61" s="145" t="s">
        <v>46</v>
      </c>
      <c r="C61" s="133"/>
      <c r="D61" s="134"/>
      <c r="E61" s="135"/>
      <c r="F61" s="136"/>
      <c r="G61" s="136"/>
      <c r="H61" s="137" t="s">
        <v>145</v>
      </c>
      <c r="I61" s="14"/>
    </row>
    <row r="62" spans="1:22" ht="15.75" customHeight="1">
      <c r="A62" s="36">
        <v>9</v>
      </c>
      <c r="B62" s="16" t="s">
        <v>47</v>
      </c>
      <c r="C62" s="18" t="s">
        <v>130</v>
      </c>
      <c r="D62" s="123" t="s">
        <v>72</v>
      </c>
      <c r="E62" s="21">
        <v>8</v>
      </c>
      <c r="F62" s="126">
        <v>8</v>
      </c>
      <c r="G62" s="14">
        <v>237.74</v>
      </c>
      <c r="H62" s="121">
        <f t="shared" ref="H62:H75" si="6">SUM(F62*G62/1000)</f>
        <v>1.9019200000000001</v>
      </c>
      <c r="I62" s="14">
        <f>G62*2</f>
        <v>475.48</v>
      </c>
    </row>
    <row r="63" spans="1:22" ht="15.75" hidden="1" customHeight="1">
      <c r="A63" s="36"/>
      <c r="B63" s="16" t="s">
        <v>48</v>
      </c>
      <c r="C63" s="18" t="s">
        <v>130</v>
      </c>
      <c r="D63" s="123" t="s">
        <v>72</v>
      </c>
      <c r="E63" s="21">
        <v>3</v>
      </c>
      <c r="F63" s="126">
        <v>3</v>
      </c>
      <c r="G63" s="14">
        <v>81.510000000000005</v>
      </c>
      <c r="H63" s="121">
        <f t="shared" si="6"/>
        <v>0.24453000000000003</v>
      </c>
      <c r="I63" s="14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6"/>
      <c r="B64" s="16" t="s">
        <v>49</v>
      </c>
      <c r="C64" s="18" t="s">
        <v>134</v>
      </c>
      <c r="D64" s="16" t="s">
        <v>55</v>
      </c>
      <c r="E64" s="125">
        <v>6307</v>
      </c>
      <c r="F64" s="14">
        <f>SUM(E64/100)</f>
        <v>63.07</v>
      </c>
      <c r="G64" s="14">
        <v>226.79</v>
      </c>
      <c r="H64" s="121">
        <f t="shared" si="6"/>
        <v>14.303645299999999</v>
      </c>
      <c r="I64" s="14">
        <v>0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6" t="s">
        <v>50</v>
      </c>
      <c r="C65" s="18" t="s">
        <v>135</v>
      </c>
      <c r="D65" s="16"/>
      <c r="E65" s="125">
        <v>6307</v>
      </c>
      <c r="F65" s="14">
        <f>SUM(E65/1000)</f>
        <v>6.3070000000000004</v>
      </c>
      <c r="G65" s="14">
        <v>176.61</v>
      </c>
      <c r="H65" s="121">
        <f t="shared" si="6"/>
        <v>1.1138792700000002</v>
      </c>
      <c r="I65" s="14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6" t="s">
        <v>51</v>
      </c>
      <c r="C66" s="18" t="s">
        <v>82</v>
      </c>
      <c r="D66" s="16" t="s">
        <v>55</v>
      </c>
      <c r="E66" s="125">
        <v>1003</v>
      </c>
      <c r="F66" s="14">
        <f>SUM(E66/100)</f>
        <v>10.029999999999999</v>
      </c>
      <c r="G66" s="14">
        <v>2217.7800000000002</v>
      </c>
      <c r="H66" s="121">
        <f t="shared" si="6"/>
        <v>22.244333399999999</v>
      </c>
      <c r="I66" s="14">
        <v>0</v>
      </c>
      <c r="J66" s="5"/>
      <c r="K66" s="5"/>
      <c r="L66" s="5"/>
      <c r="M66" s="5"/>
      <c r="N66" s="5"/>
      <c r="O66" s="5"/>
      <c r="P66" s="5"/>
      <c r="Q66" s="5"/>
      <c r="R66" s="163"/>
      <c r="S66" s="163"/>
      <c r="T66" s="163"/>
      <c r="U66" s="163"/>
    </row>
    <row r="67" spans="1:21" ht="15.75" hidden="1" customHeight="1">
      <c r="A67" s="36"/>
      <c r="B67" s="138" t="s">
        <v>136</v>
      </c>
      <c r="C67" s="18" t="s">
        <v>33</v>
      </c>
      <c r="D67" s="16"/>
      <c r="E67" s="125">
        <v>6.6</v>
      </c>
      <c r="F67" s="14">
        <f>SUM(E67)</f>
        <v>6.6</v>
      </c>
      <c r="G67" s="14">
        <v>42.67</v>
      </c>
      <c r="H67" s="121">
        <f t="shared" si="6"/>
        <v>0.28162200000000004</v>
      </c>
      <c r="I67" s="14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38" t="s">
        <v>137</v>
      </c>
      <c r="C68" s="18" t="s">
        <v>33</v>
      </c>
      <c r="D68" s="16"/>
      <c r="E68" s="125">
        <v>6.6</v>
      </c>
      <c r="F68" s="14">
        <f>SUM(E68)</f>
        <v>6.6</v>
      </c>
      <c r="G68" s="14">
        <v>39.81</v>
      </c>
      <c r="H68" s="121">
        <f t="shared" si="6"/>
        <v>0.26274599999999998</v>
      </c>
      <c r="I68" s="14">
        <v>0</v>
      </c>
    </row>
    <row r="69" spans="1:21" ht="15.75" hidden="1" customHeight="1">
      <c r="A69" s="36"/>
      <c r="B69" s="16" t="s">
        <v>60</v>
      </c>
      <c r="C69" s="18" t="s">
        <v>61</v>
      </c>
      <c r="D69" s="16" t="s">
        <v>55</v>
      </c>
      <c r="E69" s="21">
        <v>3</v>
      </c>
      <c r="F69" s="126">
        <v>3</v>
      </c>
      <c r="G69" s="14">
        <v>46.97</v>
      </c>
      <c r="H69" s="121">
        <f t="shared" si="6"/>
        <v>0.14091000000000001</v>
      </c>
      <c r="I69" s="14">
        <v>0</v>
      </c>
    </row>
    <row r="70" spans="1:21" ht="15.75" customHeight="1">
      <c r="A70" s="36"/>
      <c r="B70" s="101" t="s">
        <v>77</v>
      </c>
      <c r="C70" s="18"/>
      <c r="D70" s="16"/>
      <c r="E70" s="21"/>
      <c r="F70" s="14"/>
      <c r="G70" s="14"/>
      <c r="H70" s="121" t="s">
        <v>145</v>
      </c>
      <c r="I70" s="14"/>
    </row>
    <row r="71" spans="1:21" ht="15.75" customHeight="1">
      <c r="A71" s="36">
        <v>10</v>
      </c>
      <c r="B71" s="16" t="s">
        <v>78</v>
      </c>
      <c r="C71" s="18" t="s">
        <v>80</v>
      </c>
      <c r="D71" s="16"/>
      <c r="E71" s="21">
        <v>3</v>
      </c>
      <c r="F71" s="14">
        <v>0.3</v>
      </c>
      <c r="G71" s="14">
        <v>536.23</v>
      </c>
      <c r="H71" s="121">
        <f t="shared" si="6"/>
        <v>0.16086900000000001</v>
      </c>
      <c r="I71" s="14">
        <f>G71*0.2</f>
        <v>107.24600000000001</v>
      </c>
    </row>
    <row r="72" spans="1:21" ht="15.75" hidden="1" customHeight="1">
      <c r="A72" s="36"/>
      <c r="B72" s="16" t="s">
        <v>79</v>
      </c>
      <c r="C72" s="18" t="s">
        <v>31</v>
      </c>
      <c r="D72" s="16"/>
      <c r="E72" s="21">
        <v>1</v>
      </c>
      <c r="F72" s="116">
        <v>1</v>
      </c>
      <c r="G72" s="14">
        <v>911.85</v>
      </c>
      <c r="H72" s="121">
        <f>F72*G72/1000</f>
        <v>0.91185000000000005</v>
      </c>
      <c r="I72" s="14">
        <v>0</v>
      </c>
    </row>
    <row r="73" spans="1:21" ht="15.75" hidden="1" customHeight="1">
      <c r="A73" s="36"/>
      <c r="B73" s="16" t="s">
        <v>194</v>
      </c>
      <c r="C73" s="18" t="s">
        <v>31</v>
      </c>
      <c r="D73" s="16"/>
      <c r="E73" s="21">
        <v>1</v>
      </c>
      <c r="F73" s="14">
        <v>1</v>
      </c>
      <c r="G73" s="14">
        <v>383.25</v>
      </c>
      <c r="H73" s="121">
        <f>G73*F73/1000</f>
        <v>0.38324999999999998</v>
      </c>
      <c r="I73" s="14">
        <v>0</v>
      </c>
    </row>
    <row r="74" spans="1:21" ht="15.75" hidden="1" customHeight="1">
      <c r="A74" s="36"/>
      <c r="B74" s="140" t="s">
        <v>81</v>
      </c>
      <c r="C74" s="18"/>
      <c r="D74" s="16"/>
      <c r="E74" s="21"/>
      <c r="F74" s="14"/>
      <c r="G74" s="14" t="s">
        <v>145</v>
      </c>
      <c r="H74" s="121" t="s">
        <v>145</v>
      </c>
      <c r="I74" s="14"/>
    </row>
    <row r="75" spans="1:21" ht="15.75" hidden="1" customHeight="1">
      <c r="A75" s="36"/>
      <c r="B75" s="67" t="s">
        <v>162</v>
      </c>
      <c r="C75" s="18" t="s">
        <v>82</v>
      </c>
      <c r="D75" s="16"/>
      <c r="E75" s="21"/>
      <c r="F75" s="14">
        <v>0.1</v>
      </c>
      <c r="G75" s="14">
        <v>2831.38</v>
      </c>
      <c r="H75" s="121">
        <f t="shared" si="6"/>
        <v>0.28313800000000006</v>
      </c>
      <c r="I75" s="14">
        <v>0</v>
      </c>
    </row>
    <row r="76" spans="1:21" ht="15.75" hidden="1" customHeight="1">
      <c r="A76" s="36"/>
      <c r="B76" s="115" t="s">
        <v>111</v>
      </c>
      <c r="C76" s="115"/>
      <c r="D76" s="115"/>
      <c r="E76" s="146"/>
      <c r="F76" s="147"/>
      <c r="G76" s="129"/>
      <c r="H76" s="141">
        <f>SUM(H58:H75)</f>
        <v>53.41802916999999</v>
      </c>
      <c r="I76" s="129"/>
    </row>
    <row r="77" spans="1:21" ht="15.75" hidden="1" customHeight="1">
      <c r="A77" s="36"/>
      <c r="B77" s="148" t="s">
        <v>138</v>
      </c>
      <c r="C77" s="27"/>
      <c r="D77" s="26"/>
      <c r="E77" s="117"/>
      <c r="F77" s="14">
        <v>1</v>
      </c>
      <c r="G77" s="14">
        <v>5637.8</v>
      </c>
      <c r="H77" s="121">
        <f>G77*F77/1000</f>
        <v>5.6378000000000004</v>
      </c>
      <c r="I77" s="14">
        <v>0</v>
      </c>
    </row>
    <row r="78" spans="1:21" ht="15.75" customHeight="1">
      <c r="A78" s="153" t="s">
        <v>224</v>
      </c>
      <c r="B78" s="154"/>
      <c r="C78" s="154"/>
      <c r="D78" s="154"/>
      <c r="E78" s="154"/>
      <c r="F78" s="154"/>
      <c r="G78" s="154"/>
      <c r="H78" s="154"/>
      <c r="I78" s="155"/>
    </row>
    <row r="79" spans="1:21" ht="15.75" customHeight="1">
      <c r="A79" s="36">
        <v>11</v>
      </c>
      <c r="B79" s="123" t="s">
        <v>139</v>
      </c>
      <c r="C79" s="18" t="s">
        <v>56</v>
      </c>
      <c r="D79" s="142" t="s">
        <v>57</v>
      </c>
      <c r="E79" s="14">
        <v>1536.4</v>
      </c>
      <c r="F79" s="14">
        <f>SUM(E79*12)</f>
        <v>18436.800000000003</v>
      </c>
      <c r="G79" s="14">
        <v>2.2400000000000002</v>
      </c>
      <c r="H79" s="121">
        <f>SUM(F79*G79/1000)</f>
        <v>41.298432000000005</v>
      </c>
      <c r="I79" s="14">
        <f>F79/12*G79</f>
        <v>3441.536000000001</v>
      </c>
    </row>
    <row r="80" spans="1:21" ht="31.5" customHeight="1">
      <c r="A80" s="36">
        <v>12</v>
      </c>
      <c r="B80" s="16" t="s">
        <v>83</v>
      </c>
      <c r="C80" s="18"/>
      <c r="D80" s="142" t="s">
        <v>57</v>
      </c>
      <c r="E80" s="125">
        <f>E79</f>
        <v>1536.4</v>
      </c>
      <c r="F80" s="14">
        <f>E80*12</f>
        <v>18436.800000000003</v>
      </c>
      <c r="G80" s="14">
        <v>1.74</v>
      </c>
      <c r="H80" s="121">
        <f>F80*G80/1000</f>
        <v>32.08003200000001</v>
      </c>
      <c r="I80" s="14">
        <f>F80/12*G80</f>
        <v>2673.3360000000007</v>
      </c>
    </row>
    <row r="81" spans="1:9" ht="15.75" customHeight="1">
      <c r="A81" s="36"/>
      <c r="B81" s="54" t="s">
        <v>87</v>
      </c>
      <c r="C81" s="140"/>
      <c r="D81" s="139"/>
      <c r="E81" s="129"/>
      <c r="F81" s="129"/>
      <c r="G81" s="129"/>
      <c r="H81" s="141">
        <f>H80</f>
        <v>32.08003200000001</v>
      </c>
      <c r="I81" s="129">
        <f>I16+I17+I18+I27+I28+I31+I32+I34+I62+I71+I79+I80</f>
        <v>23120.041098400001</v>
      </c>
    </row>
    <row r="82" spans="1:9" ht="15.75" customHeight="1">
      <c r="A82" s="36"/>
      <c r="B82" s="87" t="s">
        <v>63</v>
      </c>
      <c r="C82" s="18"/>
      <c r="D82" s="67"/>
      <c r="E82" s="14"/>
      <c r="F82" s="14"/>
      <c r="G82" s="14"/>
      <c r="H82" s="14"/>
      <c r="I82" s="14"/>
    </row>
    <row r="83" spans="1:9" ht="15.75" customHeight="1">
      <c r="A83" s="36">
        <v>13</v>
      </c>
      <c r="B83" s="88" t="s">
        <v>164</v>
      </c>
      <c r="C83" s="89" t="s">
        <v>130</v>
      </c>
      <c r="D83" s="67"/>
      <c r="E83" s="14"/>
      <c r="F83" s="14">
        <v>216</v>
      </c>
      <c r="G83" s="14">
        <v>50.68</v>
      </c>
      <c r="H83" s="14">
        <f>G83*F83/1000</f>
        <v>10.946879999999998</v>
      </c>
      <c r="I83" s="14">
        <f>G83*27</f>
        <v>1368.36</v>
      </c>
    </row>
    <row r="84" spans="1:9" ht="15.75" customHeight="1">
      <c r="A84" s="36">
        <v>14</v>
      </c>
      <c r="B84" s="88" t="s">
        <v>214</v>
      </c>
      <c r="C84" s="89" t="s">
        <v>98</v>
      </c>
      <c r="D84" s="67"/>
      <c r="E84" s="14"/>
      <c r="F84" s="14">
        <v>1</v>
      </c>
      <c r="G84" s="14">
        <v>185.81</v>
      </c>
      <c r="H84" s="121">
        <f>G84*F84/1000</f>
        <v>0.18581</v>
      </c>
      <c r="I84" s="14">
        <f>G84</f>
        <v>185.81</v>
      </c>
    </row>
    <row r="85" spans="1:9">
      <c r="A85" s="36"/>
      <c r="B85" s="61" t="s">
        <v>52</v>
      </c>
      <c r="C85" s="57"/>
      <c r="D85" s="71"/>
      <c r="E85" s="57">
        <v>1</v>
      </c>
      <c r="F85" s="57"/>
      <c r="G85" s="57"/>
      <c r="H85" s="57"/>
      <c r="I85" s="39">
        <f>SUM(I83:I84)</f>
        <v>1554.1699999999998</v>
      </c>
    </row>
    <row r="86" spans="1:9" ht="15.75" customHeight="1">
      <c r="A86" s="36"/>
      <c r="B86" s="67" t="s">
        <v>84</v>
      </c>
      <c r="C86" s="17"/>
      <c r="D86" s="17"/>
      <c r="E86" s="58"/>
      <c r="F86" s="58"/>
      <c r="G86" s="59"/>
      <c r="H86" s="59"/>
      <c r="I86" s="20">
        <v>0</v>
      </c>
    </row>
    <row r="87" spans="1:9">
      <c r="A87" s="72"/>
      <c r="B87" s="62" t="s">
        <v>53</v>
      </c>
      <c r="C87" s="45"/>
      <c r="D87" s="45"/>
      <c r="E87" s="45"/>
      <c r="F87" s="45"/>
      <c r="G87" s="45"/>
      <c r="H87" s="45"/>
      <c r="I87" s="60">
        <f>I81+I85</f>
        <v>24674.211098399999</v>
      </c>
    </row>
    <row r="88" spans="1:9" ht="15.75">
      <c r="A88" s="164" t="s">
        <v>234</v>
      </c>
      <c r="B88" s="164"/>
      <c r="C88" s="164"/>
      <c r="D88" s="164"/>
      <c r="E88" s="164"/>
      <c r="F88" s="164"/>
      <c r="G88" s="164"/>
      <c r="H88" s="164"/>
      <c r="I88" s="164"/>
    </row>
    <row r="89" spans="1:9" ht="15.75" customHeight="1">
      <c r="A89" s="107"/>
      <c r="B89" s="165" t="s">
        <v>235</v>
      </c>
      <c r="C89" s="165"/>
      <c r="D89" s="165"/>
      <c r="E89" s="165"/>
      <c r="F89" s="165"/>
      <c r="G89" s="165"/>
      <c r="H89" s="120"/>
      <c r="I89" s="3"/>
    </row>
    <row r="90" spans="1:9">
      <c r="A90" s="106"/>
      <c r="B90" s="161" t="s">
        <v>6</v>
      </c>
      <c r="C90" s="161"/>
      <c r="D90" s="161"/>
      <c r="E90" s="161"/>
      <c r="F90" s="161"/>
      <c r="G90" s="161"/>
      <c r="H90" s="31"/>
      <c r="I90" s="5"/>
    </row>
    <row r="91" spans="1:9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66" t="s">
        <v>7</v>
      </c>
      <c r="B92" s="166"/>
      <c r="C92" s="166"/>
      <c r="D92" s="166"/>
      <c r="E92" s="166"/>
      <c r="F92" s="166"/>
      <c r="G92" s="166"/>
      <c r="H92" s="166"/>
      <c r="I92" s="166"/>
    </row>
    <row r="93" spans="1:9" ht="15.75" customHeight="1">
      <c r="A93" s="166" t="s">
        <v>8</v>
      </c>
      <c r="B93" s="166"/>
      <c r="C93" s="166"/>
      <c r="D93" s="166"/>
      <c r="E93" s="166"/>
      <c r="F93" s="166"/>
      <c r="G93" s="166"/>
      <c r="H93" s="166"/>
      <c r="I93" s="166"/>
    </row>
    <row r="94" spans="1:9" ht="15.75">
      <c r="A94" s="158" t="s">
        <v>64</v>
      </c>
      <c r="B94" s="158"/>
      <c r="C94" s="158"/>
      <c r="D94" s="158"/>
      <c r="E94" s="158"/>
      <c r="F94" s="158"/>
      <c r="G94" s="158"/>
      <c r="H94" s="158"/>
      <c r="I94" s="158"/>
    </row>
    <row r="95" spans="1:9" ht="15.75">
      <c r="A95" s="11"/>
    </row>
    <row r="96" spans="1:9" ht="15.75">
      <c r="A96" s="159" t="s">
        <v>9</v>
      </c>
      <c r="B96" s="159"/>
      <c r="C96" s="159"/>
      <c r="D96" s="159"/>
      <c r="E96" s="159"/>
      <c r="F96" s="159"/>
      <c r="G96" s="159"/>
      <c r="H96" s="159"/>
      <c r="I96" s="159"/>
    </row>
    <row r="97" spans="1:9" ht="15.75">
      <c r="A97" s="4"/>
    </row>
    <row r="98" spans="1:9" ht="15.75">
      <c r="B98" s="103" t="s">
        <v>10</v>
      </c>
      <c r="C98" s="160" t="s">
        <v>179</v>
      </c>
      <c r="D98" s="160"/>
      <c r="E98" s="160"/>
      <c r="F98" s="118"/>
      <c r="I98" s="105"/>
    </row>
    <row r="99" spans="1:9">
      <c r="A99" s="106"/>
      <c r="C99" s="161" t="s">
        <v>11</v>
      </c>
      <c r="D99" s="161"/>
      <c r="E99" s="161"/>
      <c r="F99" s="31"/>
      <c r="I99" s="104" t="s">
        <v>12</v>
      </c>
    </row>
    <row r="100" spans="1:9" ht="15.75">
      <c r="A100" s="32"/>
      <c r="C100" s="12"/>
      <c r="D100" s="12"/>
      <c r="G100" s="12"/>
      <c r="H100" s="12"/>
    </row>
    <row r="101" spans="1:9" ht="15.75" customHeight="1">
      <c r="B101" s="103" t="s">
        <v>13</v>
      </c>
      <c r="C101" s="162"/>
      <c r="D101" s="162"/>
      <c r="E101" s="162"/>
      <c r="F101" s="119"/>
      <c r="I101" s="105"/>
    </row>
    <row r="102" spans="1:9" ht="15.75" customHeight="1">
      <c r="A102" s="106"/>
      <c r="C102" s="163" t="s">
        <v>11</v>
      </c>
      <c r="D102" s="163"/>
      <c r="E102" s="163"/>
      <c r="F102" s="106"/>
      <c r="I102" s="104" t="s">
        <v>12</v>
      </c>
    </row>
    <row r="103" spans="1:9" ht="15.75" customHeight="1">
      <c r="A103" s="4" t="s">
        <v>14</v>
      </c>
    </row>
    <row r="104" spans="1:9">
      <c r="A104" s="156" t="s">
        <v>15</v>
      </c>
      <c r="B104" s="156"/>
      <c r="C104" s="156"/>
      <c r="D104" s="156"/>
      <c r="E104" s="156"/>
      <c r="F104" s="156"/>
      <c r="G104" s="156"/>
      <c r="H104" s="156"/>
      <c r="I104" s="156"/>
    </row>
    <row r="105" spans="1:9" ht="45" customHeight="1">
      <c r="A105" s="157" t="s">
        <v>16</v>
      </c>
      <c r="B105" s="157"/>
      <c r="C105" s="157"/>
      <c r="D105" s="157"/>
      <c r="E105" s="157"/>
      <c r="F105" s="157"/>
      <c r="G105" s="157"/>
      <c r="H105" s="157"/>
      <c r="I105" s="157"/>
    </row>
    <row r="106" spans="1:9" ht="30" customHeight="1">
      <c r="A106" s="157" t="s">
        <v>17</v>
      </c>
      <c r="B106" s="157"/>
      <c r="C106" s="157"/>
      <c r="D106" s="157"/>
      <c r="E106" s="157"/>
      <c r="F106" s="157"/>
      <c r="G106" s="157"/>
      <c r="H106" s="157"/>
      <c r="I106" s="157"/>
    </row>
    <row r="107" spans="1:9" ht="30" customHeight="1">
      <c r="A107" s="157" t="s">
        <v>21</v>
      </c>
      <c r="B107" s="157"/>
      <c r="C107" s="157"/>
      <c r="D107" s="157"/>
      <c r="E107" s="157"/>
      <c r="F107" s="157"/>
      <c r="G107" s="157"/>
      <c r="H107" s="157"/>
      <c r="I107" s="157"/>
    </row>
    <row r="108" spans="1:9" ht="15" customHeight="1">
      <c r="A108" s="157" t="s">
        <v>20</v>
      </c>
      <c r="B108" s="157"/>
      <c r="C108" s="157"/>
      <c r="D108" s="157"/>
      <c r="E108" s="157"/>
      <c r="F108" s="157"/>
      <c r="G108" s="157"/>
      <c r="H108" s="157"/>
      <c r="I108" s="157"/>
    </row>
  </sheetData>
  <autoFilter ref="I12:I61"/>
  <mergeCells count="28">
    <mergeCell ref="R66:U66"/>
    <mergeCell ref="A78:I78"/>
    <mergeCell ref="A3:I3"/>
    <mergeCell ref="A4:I4"/>
    <mergeCell ref="A5:I5"/>
    <mergeCell ref="A8:I8"/>
    <mergeCell ref="A10:I10"/>
    <mergeCell ref="A14:I14"/>
    <mergeCell ref="A94:I94"/>
    <mergeCell ref="A15:I15"/>
    <mergeCell ref="A29:I29"/>
    <mergeCell ref="A45:I45"/>
    <mergeCell ref="A56:I56"/>
    <mergeCell ref="A88:I88"/>
    <mergeCell ref="B89:G89"/>
    <mergeCell ref="B90:G90"/>
    <mergeCell ref="A92:I92"/>
    <mergeCell ref="A93:I93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236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94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7">
        <v>42582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187.48</v>
      </c>
      <c r="H16" s="127">
        <f t="shared" ref="H16:H26" si="0">SUM(F16*G16/1000)</f>
        <v>16.056537119999998</v>
      </c>
      <c r="I16" s="14">
        <f>F16/12*G16</f>
        <v>1338.0447599999998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187.48</v>
      </c>
      <c r="H17" s="127">
        <f t="shared" si="0"/>
        <v>21.408716159999997</v>
      </c>
      <c r="I17" s="14">
        <f>F17/12*G17</f>
        <v>1784.0596799999998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539.30999999999995</v>
      </c>
      <c r="H18" s="127">
        <f t="shared" si="0"/>
        <v>21.317845679999998</v>
      </c>
      <c r="I18" s="14">
        <f>F18/12*G18</f>
        <v>1776.48714</v>
      </c>
      <c r="J18" s="29"/>
      <c r="K18" s="8"/>
      <c r="L18" s="8"/>
      <c r="M18" s="8"/>
    </row>
    <row r="19" spans="1:13" ht="15.75" hidden="1" customHeight="1">
      <c r="A19" s="36">
        <v>4</v>
      </c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181.91</v>
      </c>
      <c r="H19" s="127">
        <f t="shared" si="0"/>
        <v>0.39292560000000004</v>
      </c>
      <c r="I19" s="14">
        <v>0</v>
      </c>
      <c r="J19" s="29"/>
      <c r="K19" s="8"/>
      <c r="L19" s="8"/>
      <c r="M19" s="8"/>
    </row>
    <row r="20" spans="1:13" ht="15.75" hidden="1" customHeight="1">
      <c r="A20" s="36">
        <v>5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232.92</v>
      </c>
      <c r="H20" s="127">
        <f t="shared" si="0"/>
        <v>4.2764112E-2</v>
      </c>
      <c r="I20" s="14">
        <v>0</v>
      </c>
      <c r="J20" s="29"/>
      <c r="K20" s="8"/>
      <c r="L20" s="8"/>
      <c r="M20" s="8"/>
    </row>
    <row r="21" spans="1:13" ht="15.75" hidden="1" customHeight="1">
      <c r="A21" s="36">
        <v>6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231.03</v>
      </c>
      <c r="H21" s="127">
        <f t="shared" si="0"/>
        <v>3.7426860000000006E-2</v>
      </c>
      <c r="I21" s="14">
        <v>0</v>
      </c>
      <c r="J21" s="29"/>
      <c r="K21" s="8"/>
      <c r="L21" s="8"/>
      <c r="M21" s="8"/>
    </row>
    <row r="22" spans="1:13" ht="15.75" hidden="1" customHeight="1">
      <c r="A22" s="36">
        <v>7</v>
      </c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287.83999999999997</v>
      </c>
      <c r="H22" s="127">
        <f t="shared" si="0"/>
        <v>0.63416908799999983</v>
      </c>
      <c r="I22" s="14">
        <v>0</v>
      </c>
      <c r="J22" s="29"/>
      <c r="K22" s="8"/>
      <c r="L22" s="8"/>
      <c r="M22" s="8"/>
    </row>
    <row r="23" spans="1:13" ht="15.75" hidden="1" customHeight="1">
      <c r="A23" s="36">
        <v>8</v>
      </c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47.34</v>
      </c>
      <c r="H23" s="127">
        <f t="shared" si="0"/>
        <v>8.3507760000000007E-3</v>
      </c>
      <c r="I23" s="14">
        <v>0</v>
      </c>
      <c r="J23" s="29"/>
      <c r="K23" s="8"/>
      <c r="L23" s="8"/>
      <c r="M23" s="8"/>
    </row>
    <row r="24" spans="1:13" ht="15.75" hidden="1" customHeight="1">
      <c r="A24" s="36">
        <v>9</v>
      </c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416.62</v>
      </c>
      <c r="H24" s="127">
        <f t="shared" si="0"/>
        <v>2.9996640000000001E-2</v>
      </c>
      <c r="I24" s="14">
        <v>0</v>
      </c>
      <c r="J24" s="29"/>
      <c r="K24" s="8"/>
      <c r="L24" s="8"/>
      <c r="M24" s="8"/>
    </row>
    <row r="25" spans="1:13" ht="15.75" hidden="1" customHeight="1">
      <c r="A25" s="36">
        <v>10</v>
      </c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231.03</v>
      </c>
      <c r="H25" s="127">
        <f>G25*F25/1000</f>
        <v>2.1832334999999998E-2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>
        <v>11</v>
      </c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556.74</v>
      </c>
      <c r="H26" s="127">
        <f t="shared" si="0"/>
        <v>6.0127920000000008E-2</v>
      </c>
      <c r="I26" s="14">
        <v>0</v>
      </c>
      <c r="J26" s="29"/>
      <c r="K26" s="8"/>
      <c r="L26" s="8"/>
      <c r="M26" s="8"/>
    </row>
    <row r="27" spans="1:13" ht="15.75" customHeight="1">
      <c r="A27" s="36">
        <v>4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4">
        <f>F27/12*G27</f>
        <v>478.08916666666664</v>
      </c>
      <c r="J27" s="30"/>
    </row>
    <row r="28" spans="1:13" ht="15.75" customHeight="1">
      <c r="A28" s="36">
        <v>5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6.15</v>
      </c>
      <c r="H28" s="127">
        <f>SUM(F28*G28/1000)</f>
        <v>113.38632000000003</v>
      </c>
      <c r="I28" s="14">
        <f>F28/12*G28</f>
        <v>9448.8600000000024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29"/>
      <c r="K29" s="8"/>
      <c r="L29" s="8"/>
      <c r="M29" s="8"/>
    </row>
    <row r="30" spans="1:13" ht="15.75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29"/>
      <c r="K30" s="8"/>
      <c r="L30" s="8"/>
      <c r="M30" s="8"/>
    </row>
    <row r="31" spans="1:13" ht="31.5" customHeight="1">
      <c r="A31" s="36">
        <v>6</v>
      </c>
      <c r="B31" s="123" t="s">
        <v>128</v>
      </c>
      <c r="C31" s="124" t="s">
        <v>108</v>
      </c>
      <c r="D31" s="123" t="s">
        <v>123</v>
      </c>
      <c r="E31" s="126">
        <v>565.4</v>
      </c>
      <c r="F31" s="126">
        <f>SUM(E31*52/1000)</f>
        <v>29.4008</v>
      </c>
      <c r="G31" s="126">
        <v>166.65</v>
      </c>
      <c r="H31" s="127">
        <f t="shared" ref="H31:H36" si="1">SUM(F31*G31/1000)</f>
        <v>4.89964332</v>
      </c>
      <c r="I31" s="14">
        <f t="shared" ref="I31:I34" si="2">F31/6*G31</f>
        <v>816.6072200000001</v>
      </c>
      <c r="J31" s="29"/>
      <c r="K31" s="8"/>
      <c r="L31" s="8"/>
      <c r="M31" s="8"/>
    </row>
    <row r="32" spans="1:13" ht="31.5" customHeight="1">
      <c r="A32" s="36">
        <v>7</v>
      </c>
      <c r="B32" s="123" t="s">
        <v>127</v>
      </c>
      <c r="C32" s="124" t="s">
        <v>108</v>
      </c>
      <c r="D32" s="123" t="s">
        <v>124</v>
      </c>
      <c r="E32" s="126">
        <v>71.91</v>
      </c>
      <c r="F32" s="126">
        <f>SUM(E32*78/1000)</f>
        <v>5.6089799999999999</v>
      </c>
      <c r="G32" s="126">
        <v>276.48</v>
      </c>
      <c r="H32" s="127">
        <f t="shared" si="1"/>
        <v>1.5507707904000001</v>
      </c>
      <c r="I32" s="14">
        <f t="shared" si="2"/>
        <v>258.46179840000002</v>
      </c>
      <c r="J32" s="29"/>
      <c r="K32" s="8"/>
      <c r="L32" s="8"/>
      <c r="M32" s="8"/>
    </row>
    <row r="33" spans="1:14" ht="15.75" hidden="1" customHeight="1">
      <c r="A33" s="36">
        <v>14</v>
      </c>
      <c r="B33" s="123" t="s">
        <v>27</v>
      </c>
      <c r="C33" s="124" t="s">
        <v>108</v>
      </c>
      <c r="D33" s="123" t="s">
        <v>55</v>
      </c>
      <c r="E33" s="126">
        <v>565.4</v>
      </c>
      <c r="F33" s="126">
        <f>SUM(E33/1000)</f>
        <v>0.56540000000000001</v>
      </c>
      <c r="G33" s="126">
        <v>3228.73</v>
      </c>
      <c r="H33" s="127">
        <f t="shared" si="1"/>
        <v>1.825523942</v>
      </c>
      <c r="I33" s="14">
        <f>F33*G33</f>
        <v>1825.523942</v>
      </c>
      <c r="J33" s="29"/>
      <c r="K33" s="8"/>
      <c r="L33" s="8"/>
      <c r="M33" s="8"/>
    </row>
    <row r="34" spans="1:14" ht="15.75" customHeight="1">
      <c r="A34" s="36">
        <v>8</v>
      </c>
      <c r="B34" s="123" t="s">
        <v>126</v>
      </c>
      <c r="C34" s="124" t="s">
        <v>31</v>
      </c>
      <c r="D34" s="123" t="s">
        <v>68</v>
      </c>
      <c r="E34" s="130">
        <v>0.33333333333333331</v>
      </c>
      <c r="F34" s="126">
        <f>155/3</f>
        <v>51.666666666666664</v>
      </c>
      <c r="G34" s="126">
        <v>60.6</v>
      </c>
      <c r="H34" s="127">
        <f>SUM(G34*155/3/1000)</f>
        <v>3.1309999999999998</v>
      </c>
      <c r="I34" s="14">
        <f t="shared" si="2"/>
        <v>521.83333333333337</v>
      </c>
      <c r="J34" s="29"/>
      <c r="K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2</v>
      </c>
      <c r="G35" s="126">
        <v>204.52</v>
      </c>
      <c r="H35" s="127">
        <f t="shared" si="1"/>
        <v>0.40904000000000001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1214.74</v>
      </c>
      <c r="H36" s="127">
        <f t="shared" si="1"/>
        <v>1.2147399999999999</v>
      </c>
      <c r="I36" s="14">
        <v>0</v>
      </c>
      <c r="J36" s="30"/>
    </row>
    <row r="37" spans="1:14" ht="15.75" hidden="1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</row>
    <row r="38" spans="1:14" ht="15.75" hidden="1" customHeight="1">
      <c r="A38" s="36">
        <v>6</v>
      </c>
      <c r="B38" s="123" t="s">
        <v>26</v>
      </c>
      <c r="C38" s="124" t="s">
        <v>32</v>
      </c>
      <c r="D38" s="123"/>
      <c r="E38" s="125"/>
      <c r="F38" s="126">
        <v>5</v>
      </c>
      <c r="G38" s="126">
        <v>1632.6</v>
      </c>
      <c r="H38" s="127">
        <f t="shared" ref="H38:H44" si="3">SUM(F38*G38/1000)</f>
        <v>8.1630000000000003</v>
      </c>
      <c r="I38" s="14">
        <f t="shared" ref="I38:I44" si="4">F38/6*G38</f>
        <v>1360.5</v>
      </c>
      <c r="J38" s="30"/>
    </row>
    <row r="39" spans="1:14" ht="15.75" hidden="1" customHeight="1">
      <c r="A39" s="36">
        <v>7</v>
      </c>
      <c r="B39" s="123" t="s">
        <v>190</v>
      </c>
      <c r="C39" s="124" t="s">
        <v>29</v>
      </c>
      <c r="D39" s="123" t="s">
        <v>106</v>
      </c>
      <c r="E39" s="125">
        <v>71.91</v>
      </c>
      <c r="F39" s="126">
        <f>E39*30/1000</f>
        <v>2.1572999999999998</v>
      </c>
      <c r="G39" s="126">
        <v>2247.8000000000002</v>
      </c>
      <c r="H39" s="127">
        <f>G39*F39/1000</f>
        <v>4.8491789399999998</v>
      </c>
      <c r="I39" s="14">
        <f t="shared" si="4"/>
        <v>808.19649000000004</v>
      </c>
      <c r="J39" s="30"/>
      <c r="L39" s="23"/>
      <c r="M39" s="24"/>
      <c r="N39" s="25"/>
    </row>
    <row r="40" spans="1:14" ht="15.75" hidden="1" customHeight="1">
      <c r="A40" s="36">
        <v>8</v>
      </c>
      <c r="B40" s="123" t="s">
        <v>191</v>
      </c>
      <c r="C40" s="124" t="s">
        <v>29</v>
      </c>
      <c r="D40" s="123" t="s">
        <v>192</v>
      </c>
      <c r="E40" s="125">
        <v>294.37</v>
      </c>
      <c r="F40" s="126">
        <f>E40*12/1000</f>
        <v>3.5324400000000002</v>
      </c>
      <c r="G40" s="126">
        <v>2247.8000000000002</v>
      </c>
      <c r="H40" s="127">
        <f>G40*F40/1000</f>
        <v>7.9402186320000006</v>
      </c>
      <c r="I40" s="14">
        <f t="shared" si="4"/>
        <v>1323.3697720000002</v>
      </c>
      <c r="J40" s="30"/>
      <c r="L40" s="23"/>
      <c r="M40" s="24"/>
      <c r="N40" s="25"/>
    </row>
    <row r="41" spans="1:14" ht="15.75" hidden="1" customHeight="1">
      <c r="A41" s="36">
        <v>9</v>
      </c>
      <c r="B41" s="123" t="s">
        <v>73</v>
      </c>
      <c r="C41" s="124" t="s">
        <v>29</v>
      </c>
      <c r="D41" s="123" t="s">
        <v>107</v>
      </c>
      <c r="E41" s="126">
        <v>71.91</v>
      </c>
      <c r="F41" s="126">
        <f>SUM(E41*155/1000)</f>
        <v>11.146049999999999</v>
      </c>
      <c r="G41" s="126">
        <v>374.95</v>
      </c>
      <c r="H41" s="127">
        <f t="shared" si="3"/>
        <v>4.1792114475000002</v>
      </c>
      <c r="I41" s="14">
        <f t="shared" si="4"/>
        <v>696.5352412499999</v>
      </c>
      <c r="J41" s="30"/>
      <c r="L41" s="23"/>
      <c r="M41" s="24"/>
      <c r="N41" s="25"/>
    </row>
    <row r="42" spans="1:14" ht="47.25" hidden="1" customHeight="1">
      <c r="A42" s="36">
        <v>10</v>
      </c>
      <c r="B42" s="123" t="s">
        <v>97</v>
      </c>
      <c r="C42" s="124" t="s">
        <v>108</v>
      </c>
      <c r="D42" s="123" t="s">
        <v>149</v>
      </c>
      <c r="E42" s="126">
        <v>71.91</v>
      </c>
      <c r="F42" s="126">
        <f>SUM(E42*24/1000)</f>
        <v>1.7258399999999998</v>
      </c>
      <c r="G42" s="126">
        <v>6203.7</v>
      </c>
      <c r="H42" s="127">
        <f t="shared" si="3"/>
        <v>10.706593607999999</v>
      </c>
      <c r="I42" s="14">
        <f t="shared" si="4"/>
        <v>1784.4322679999996</v>
      </c>
      <c r="J42" s="30"/>
      <c r="L42" s="23"/>
      <c r="M42" s="24"/>
      <c r="N42" s="25"/>
    </row>
    <row r="43" spans="1:14" ht="15.75" hidden="1" customHeight="1">
      <c r="A43" s="36">
        <v>11</v>
      </c>
      <c r="B43" s="123" t="s">
        <v>193</v>
      </c>
      <c r="C43" s="124" t="s">
        <v>108</v>
      </c>
      <c r="D43" s="123" t="s">
        <v>74</v>
      </c>
      <c r="E43" s="126">
        <v>71.91</v>
      </c>
      <c r="F43" s="126">
        <f>SUM(E43*45/1000)</f>
        <v>3.2359499999999999</v>
      </c>
      <c r="G43" s="126">
        <v>458.28</v>
      </c>
      <c r="H43" s="127">
        <f t="shared" si="3"/>
        <v>1.4829711659999998</v>
      </c>
      <c r="I43" s="14">
        <f t="shared" si="4"/>
        <v>247.16186099999996</v>
      </c>
      <c r="J43" s="30"/>
      <c r="L43" s="23"/>
      <c r="M43" s="24"/>
      <c r="N43" s="25"/>
    </row>
    <row r="44" spans="1:14" ht="15.75" hidden="1" customHeight="1">
      <c r="A44" s="36">
        <v>12</v>
      </c>
      <c r="B44" s="123" t="s">
        <v>75</v>
      </c>
      <c r="C44" s="124" t="s">
        <v>33</v>
      </c>
      <c r="D44" s="123"/>
      <c r="E44" s="125"/>
      <c r="F44" s="126">
        <v>0.3</v>
      </c>
      <c r="G44" s="126">
        <v>853.06</v>
      </c>
      <c r="H44" s="127">
        <f t="shared" si="3"/>
        <v>0.25591799999999998</v>
      </c>
      <c r="I44" s="14">
        <f t="shared" si="4"/>
        <v>42.652999999999992</v>
      </c>
      <c r="J44" s="30"/>
      <c r="L44" s="23"/>
      <c r="M44" s="24"/>
      <c r="N44" s="25"/>
    </row>
    <row r="45" spans="1:14" ht="15.75" hidden="1" customHeight="1">
      <c r="A45" s="153" t="s">
        <v>183</v>
      </c>
      <c r="B45" s="154"/>
      <c r="C45" s="154"/>
      <c r="D45" s="154"/>
      <c r="E45" s="154"/>
      <c r="F45" s="154"/>
      <c r="G45" s="154"/>
      <c r="H45" s="154"/>
      <c r="I45" s="155"/>
      <c r="J45" s="30"/>
      <c r="L45" s="23"/>
      <c r="M45" s="24"/>
      <c r="N45" s="25"/>
    </row>
    <row r="46" spans="1:14" ht="15.75" hidden="1" customHeight="1">
      <c r="A46" s="36"/>
      <c r="B46" s="123" t="s">
        <v>129</v>
      </c>
      <c r="C46" s="124" t="s">
        <v>108</v>
      </c>
      <c r="D46" s="123" t="s">
        <v>43</v>
      </c>
      <c r="E46" s="125">
        <v>904.4</v>
      </c>
      <c r="F46" s="126">
        <f>SUM(E46*2/1000)</f>
        <v>1.8088</v>
      </c>
      <c r="G46" s="14">
        <v>865.61</v>
      </c>
      <c r="H46" s="127">
        <f t="shared" ref="H46:H55" si="5">SUM(F46*G46/1000)</f>
        <v>1.565715368</v>
      </c>
      <c r="I46" s="14">
        <v>0</v>
      </c>
      <c r="J46" s="30"/>
      <c r="L46" s="23"/>
      <c r="M46" s="24"/>
      <c r="N46" s="25"/>
    </row>
    <row r="47" spans="1:14" ht="15.75" hidden="1" customHeight="1">
      <c r="A47" s="36"/>
      <c r="B47" s="123" t="s">
        <v>36</v>
      </c>
      <c r="C47" s="124" t="s">
        <v>108</v>
      </c>
      <c r="D47" s="123" t="s">
        <v>43</v>
      </c>
      <c r="E47" s="125">
        <v>27</v>
      </c>
      <c r="F47" s="126">
        <f>E47*2/1000</f>
        <v>5.3999999999999999E-2</v>
      </c>
      <c r="G47" s="14">
        <v>619.46</v>
      </c>
      <c r="H47" s="127">
        <f t="shared" si="5"/>
        <v>3.3450840000000003E-2</v>
      </c>
      <c r="I47" s="14">
        <v>0</v>
      </c>
      <c r="J47" s="30"/>
      <c r="L47" s="23"/>
      <c r="M47" s="24"/>
      <c r="N47" s="25"/>
    </row>
    <row r="48" spans="1:14" ht="15.75" hidden="1" customHeight="1">
      <c r="A48" s="36"/>
      <c r="B48" s="123" t="s">
        <v>37</v>
      </c>
      <c r="C48" s="124" t="s">
        <v>108</v>
      </c>
      <c r="D48" s="123" t="s">
        <v>43</v>
      </c>
      <c r="E48" s="125">
        <v>772</v>
      </c>
      <c r="F48" s="126">
        <f>SUM(E48*2/1000)</f>
        <v>1.544</v>
      </c>
      <c r="G48" s="14">
        <v>619.46</v>
      </c>
      <c r="H48" s="127">
        <f t="shared" si="5"/>
        <v>0.95644624000000011</v>
      </c>
      <c r="I48" s="14">
        <v>0</v>
      </c>
      <c r="J48" s="30"/>
      <c r="L48" s="23"/>
      <c r="M48" s="24"/>
      <c r="N48" s="25"/>
    </row>
    <row r="49" spans="1:22" ht="15.75" hidden="1" customHeight="1">
      <c r="A49" s="36"/>
      <c r="B49" s="123" t="s">
        <v>38</v>
      </c>
      <c r="C49" s="124" t="s">
        <v>108</v>
      </c>
      <c r="D49" s="123" t="s">
        <v>43</v>
      </c>
      <c r="E49" s="125">
        <v>959.35</v>
      </c>
      <c r="F49" s="126">
        <f>SUM(E49*2/1000)</f>
        <v>1.9187000000000001</v>
      </c>
      <c r="G49" s="14">
        <v>648.64</v>
      </c>
      <c r="H49" s="127">
        <f t="shared" si="5"/>
        <v>1.2445455679999999</v>
      </c>
      <c r="I49" s="14">
        <v>0</v>
      </c>
      <c r="J49" s="30"/>
      <c r="L49" s="23"/>
      <c r="M49" s="24"/>
      <c r="N49" s="25"/>
    </row>
    <row r="50" spans="1:22" ht="15.75" hidden="1" customHeight="1">
      <c r="A50" s="36"/>
      <c r="B50" s="123" t="s">
        <v>34</v>
      </c>
      <c r="C50" s="124" t="s">
        <v>35</v>
      </c>
      <c r="D50" s="123" t="s">
        <v>43</v>
      </c>
      <c r="E50" s="125">
        <v>66.02</v>
      </c>
      <c r="F50" s="126">
        <f>SUM(E50*2/100)</f>
        <v>1.3204</v>
      </c>
      <c r="G50" s="14">
        <v>77.84</v>
      </c>
      <c r="H50" s="127">
        <f t="shared" si="5"/>
        <v>0.102779936</v>
      </c>
      <c r="I50" s="14">
        <v>0</v>
      </c>
      <c r="J50" s="30"/>
      <c r="L50" s="23"/>
      <c r="M50" s="24"/>
      <c r="N50" s="25"/>
    </row>
    <row r="51" spans="1:22" ht="15.75" hidden="1" customHeight="1">
      <c r="A51" s="36">
        <v>13</v>
      </c>
      <c r="B51" s="123" t="s">
        <v>59</v>
      </c>
      <c r="C51" s="124" t="s">
        <v>108</v>
      </c>
      <c r="D51" s="123" t="s">
        <v>180</v>
      </c>
      <c r="E51" s="125">
        <v>702.5</v>
      </c>
      <c r="F51" s="126">
        <f>SUM(E51*5/1000)</f>
        <v>3.5125000000000002</v>
      </c>
      <c r="G51" s="14">
        <v>1297.28</v>
      </c>
      <c r="H51" s="127">
        <f t="shared" si="5"/>
        <v>4.5566959999999996</v>
      </c>
      <c r="I51" s="14">
        <f>F51/5*G51</f>
        <v>911.33920000000001</v>
      </c>
      <c r="J51" s="30"/>
      <c r="L51" s="23"/>
      <c r="M51" s="24"/>
      <c r="N51" s="25"/>
    </row>
    <row r="52" spans="1:22" ht="31.5" hidden="1" customHeight="1">
      <c r="A52" s="36"/>
      <c r="B52" s="123" t="s">
        <v>109</v>
      </c>
      <c r="C52" s="124" t="s">
        <v>108</v>
      </c>
      <c r="D52" s="123" t="s">
        <v>43</v>
      </c>
      <c r="E52" s="125">
        <v>702.5</v>
      </c>
      <c r="F52" s="126">
        <f>SUM(E52*2/1000)</f>
        <v>1.405</v>
      </c>
      <c r="G52" s="14">
        <v>1297.28</v>
      </c>
      <c r="H52" s="127">
        <f t="shared" si="5"/>
        <v>1.8226784</v>
      </c>
      <c r="I52" s="14">
        <v>0</v>
      </c>
      <c r="J52" s="30"/>
      <c r="L52" s="23"/>
      <c r="M52" s="24"/>
      <c r="N52" s="25"/>
    </row>
    <row r="53" spans="1:22" ht="31.5" hidden="1" customHeight="1">
      <c r="A53" s="36"/>
      <c r="B53" s="123" t="s">
        <v>110</v>
      </c>
      <c r="C53" s="124" t="s">
        <v>39</v>
      </c>
      <c r="D53" s="123" t="s">
        <v>43</v>
      </c>
      <c r="E53" s="125">
        <v>9</v>
      </c>
      <c r="F53" s="126">
        <f>SUM(E53*2/100)</f>
        <v>0.18</v>
      </c>
      <c r="G53" s="14">
        <v>2918.89</v>
      </c>
      <c r="H53" s="127">
        <f t="shared" si="5"/>
        <v>0.52540019999999987</v>
      </c>
      <c r="I53" s="14">
        <v>0</v>
      </c>
      <c r="J53" s="30"/>
      <c r="L53" s="23"/>
      <c r="M53" s="24"/>
      <c r="N53" s="25"/>
    </row>
    <row r="54" spans="1:22" ht="15.75" hidden="1" customHeight="1">
      <c r="A54" s="36"/>
      <c r="B54" s="123" t="s">
        <v>40</v>
      </c>
      <c r="C54" s="124" t="s">
        <v>41</v>
      </c>
      <c r="D54" s="123" t="s">
        <v>43</v>
      </c>
      <c r="E54" s="125">
        <v>1</v>
      </c>
      <c r="F54" s="126">
        <v>0.02</v>
      </c>
      <c r="G54" s="14">
        <v>6042.12</v>
      </c>
      <c r="H54" s="127">
        <f t="shared" si="5"/>
        <v>0.1208424</v>
      </c>
      <c r="I54" s="14">
        <v>0</v>
      </c>
      <c r="J54" s="30"/>
      <c r="L54" s="23"/>
      <c r="M54" s="24"/>
      <c r="N54" s="25"/>
    </row>
    <row r="55" spans="1:22" ht="15.75" hidden="1" customHeight="1">
      <c r="A55" s="36">
        <v>14</v>
      </c>
      <c r="B55" s="123" t="s">
        <v>42</v>
      </c>
      <c r="C55" s="124" t="s">
        <v>130</v>
      </c>
      <c r="D55" s="123" t="s">
        <v>76</v>
      </c>
      <c r="E55" s="125">
        <v>53</v>
      </c>
      <c r="F55" s="126">
        <f>SUM(E55)*3</f>
        <v>159</v>
      </c>
      <c r="G55" s="14">
        <v>70.209999999999994</v>
      </c>
      <c r="H55" s="127">
        <f t="shared" si="5"/>
        <v>11.16339</v>
      </c>
      <c r="I55" s="14">
        <f>E55*G55</f>
        <v>3721.1299999999997</v>
      </c>
      <c r="J55" s="30"/>
      <c r="L55" s="23"/>
      <c r="M55" s="24"/>
      <c r="N55" s="25"/>
    </row>
    <row r="56" spans="1:22" ht="15.75" customHeight="1">
      <c r="A56" s="153" t="s">
        <v>223</v>
      </c>
      <c r="B56" s="154"/>
      <c r="C56" s="154"/>
      <c r="D56" s="154"/>
      <c r="E56" s="154"/>
      <c r="F56" s="154"/>
      <c r="G56" s="154"/>
      <c r="H56" s="154"/>
      <c r="I56" s="155"/>
      <c r="J56" s="30"/>
      <c r="L56" s="23"/>
      <c r="M56" s="24"/>
      <c r="N56" s="25"/>
    </row>
    <row r="57" spans="1:22" ht="15.75" hidden="1" customHeight="1">
      <c r="A57" s="36"/>
      <c r="B57" s="144" t="s">
        <v>44</v>
      </c>
      <c r="C57" s="124"/>
      <c r="D57" s="123"/>
      <c r="E57" s="125"/>
      <c r="F57" s="126"/>
      <c r="G57" s="126"/>
      <c r="H57" s="127"/>
      <c r="I57" s="14"/>
      <c r="J57" s="30"/>
      <c r="L57" s="23"/>
      <c r="M57" s="24"/>
      <c r="N57" s="25"/>
    </row>
    <row r="58" spans="1:22" ht="31.5" hidden="1" customHeight="1">
      <c r="A58" s="36">
        <v>15</v>
      </c>
      <c r="B58" s="123" t="s">
        <v>131</v>
      </c>
      <c r="C58" s="124" t="s">
        <v>105</v>
      </c>
      <c r="D58" s="123" t="s">
        <v>132</v>
      </c>
      <c r="E58" s="125">
        <v>25</v>
      </c>
      <c r="F58" s="126">
        <f>SUM(E58*6/100)</f>
        <v>1.5</v>
      </c>
      <c r="G58" s="14">
        <v>1654.04</v>
      </c>
      <c r="H58" s="127">
        <f>SUM(F58*G58/1000)</f>
        <v>2.4810599999999998</v>
      </c>
      <c r="I58" s="14">
        <f>F58/6*G58</f>
        <v>413.51</v>
      </c>
      <c r="J58" s="30"/>
      <c r="L58" s="23"/>
      <c r="M58" s="24"/>
      <c r="N58" s="25"/>
    </row>
    <row r="59" spans="1:22" ht="15.75" hidden="1" customHeight="1">
      <c r="A59" s="36"/>
      <c r="B59" s="144" t="s">
        <v>45</v>
      </c>
      <c r="C59" s="124"/>
      <c r="D59" s="123"/>
      <c r="E59" s="125"/>
      <c r="F59" s="126"/>
      <c r="G59" s="116"/>
      <c r="H59" s="127"/>
      <c r="I59" s="14"/>
      <c r="J59" s="30"/>
      <c r="L59" s="23"/>
    </row>
    <row r="60" spans="1:22" ht="15.75" hidden="1" customHeight="1">
      <c r="A60" s="36"/>
      <c r="B60" s="123" t="s">
        <v>133</v>
      </c>
      <c r="C60" s="124" t="s">
        <v>105</v>
      </c>
      <c r="D60" s="123" t="s">
        <v>72</v>
      </c>
      <c r="E60" s="125">
        <v>1026</v>
      </c>
      <c r="F60" s="127">
        <f>E60/100</f>
        <v>10.26</v>
      </c>
      <c r="G60" s="14">
        <v>848.37</v>
      </c>
      <c r="H60" s="132">
        <f>F60*G60/1000</f>
        <v>8.7042762000000007</v>
      </c>
      <c r="I60" s="14">
        <v>0</v>
      </c>
    </row>
    <row r="61" spans="1:22" ht="15.75" customHeight="1">
      <c r="A61" s="36"/>
      <c r="B61" s="145" t="s">
        <v>46</v>
      </c>
      <c r="C61" s="133"/>
      <c r="D61" s="134"/>
      <c r="E61" s="135"/>
      <c r="F61" s="136"/>
      <c r="G61" s="136"/>
      <c r="H61" s="137" t="s">
        <v>145</v>
      </c>
      <c r="I61" s="14"/>
    </row>
    <row r="62" spans="1:22" ht="15.75" customHeight="1">
      <c r="A62" s="36">
        <v>9</v>
      </c>
      <c r="B62" s="16" t="s">
        <v>47</v>
      </c>
      <c r="C62" s="18" t="s">
        <v>130</v>
      </c>
      <c r="D62" s="123" t="s">
        <v>72</v>
      </c>
      <c r="E62" s="21">
        <v>8</v>
      </c>
      <c r="F62" s="126">
        <v>8</v>
      </c>
      <c r="G62" s="14">
        <v>237.74</v>
      </c>
      <c r="H62" s="121">
        <f t="shared" ref="H62:H75" si="6">SUM(F62*G62/1000)</f>
        <v>1.9019200000000001</v>
      </c>
      <c r="I62" s="14">
        <f>G62</f>
        <v>237.74</v>
      </c>
    </row>
    <row r="63" spans="1:22" ht="15.75" hidden="1" customHeight="1">
      <c r="A63" s="36"/>
      <c r="B63" s="16" t="s">
        <v>48</v>
      </c>
      <c r="C63" s="18" t="s">
        <v>130</v>
      </c>
      <c r="D63" s="123" t="s">
        <v>72</v>
      </c>
      <c r="E63" s="21">
        <v>3</v>
      </c>
      <c r="F63" s="126">
        <v>3</v>
      </c>
      <c r="G63" s="14">
        <v>81.510000000000005</v>
      </c>
      <c r="H63" s="121">
        <f t="shared" si="6"/>
        <v>0.24453000000000003</v>
      </c>
      <c r="I63" s="14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6"/>
      <c r="B64" s="16" t="s">
        <v>49</v>
      </c>
      <c r="C64" s="18" t="s">
        <v>134</v>
      </c>
      <c r="D64" s="16" t="s">
        <v>55</v>
      </c>
      <c r="E64" s="125">
        <v>6307</v>
      </c>
      <c r="F64" s="14">
        <f>SUM(E64/100)</f>
        <v>63.07</v>
      </c>
      <c r="G64" s="14">
        <v>226.79</v>
      </c>
      <c r="H64" s="121">
        <f t="shared" si="6"/>
        <v>14.303645299999999</v>
      </c>
      <c r="I64" s="14">
        <v>0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6" t="s">
        <v>50</v>
      </c>
      <c r="C65" s="18" t="s">
        <v>135</v>
      </c>
      <c r="D65" s="16"/>
      <c r="E65" s="125">
        <v>6307</v>
      </c>
      <c r="F65" s="14">
        <f>SUM(E65/1000)</f>
        <v>6.3070000000000004</v>
      </c>
      <c r="G65" s="14">
        <v>176.61</v>
      </c>
      <c r="H65" s="121">
        <f t="shared" si="6"/>
        <v>1.1138792700000002</v>
      </c>
      <c r="I65" s="14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6" t="s">
        <v>51</v>
      </c>
      <c r="C66" s="18" t="s">
        <v>82</v>
      </c>
      <c r="D66" s="16" t="s">
        <v>55</v>
      </c>
      <c r="E66" s="125">
        <v>1003</v>
      </c>
      <c r="F66" s="14">
        <f>SUM(E66/100)</f>
        <v>10.029999999999999</v>
      </c>
      <c r="G66" s="14">
        <v>2217.7800000000002</v>
      </c>
      <c r="H66" s="121">
        <f t="shared" si="6"/>
        <v>22.244333399999999</v>
      </c>
      <c r="I66" s="14">
        <v>0</v>
      </c>
      <c r="J66" s="5"/>
      <c r="K66" s="5"/>
      <c r="L66" s="5"/>
      <c r="M66" s="5"/>
      <c r="N66" s="5"/>
      <c r="O66" s="5"/>
      <c r="P66" s="5"/>
      <c r="Q66" s="5"/>
      <c r="R66" s="163"/>
      <c r="S66" s="163"/>
      <c r="T66" s="163"/>
      <c r="U66" s="163"/>
    </row>
    <row r="67" spans="1:21" ht="15.75" hidden="1" customHeight="1">
      <c r="A67" s="36"/>
      <c r="B67" s="138" t="s">
        <v>136</v>
      </c>
      <c r="C67" s="18" t="s">
        <v>33</v>
      </c>
      <c r="D67" s="16"/>
      <c r="E67" s="125">
        <v>6.6</v>
      </c>
      <c r="F67" s="14">
        <f>SUM(E67)</f>
        <v>6.6</v>
      </c>
      <c r="G67" s="14">
        <v>42.67</v>
      </c>
      <c r="H67" s="121">
        <f t="shared" si="6"/>
        <v>0.28162200000000004</v>
      </c>
      <c r="I67" s="14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38" t="s">
        <v>137</v>
      </c>
      <c r="C68" s="18" t="s">
        <v>33</v>
      </c>
      <c r="D68" s="16"/>
      <c r="E68" s="125">
        <v>6.6</v>
      </c>
      <c r="F68" s="14">
        <f>SUM(E68)</f>
        <v>6.6</v>
      </c>
      <c r="G68" s="14">
        <v>39.81</v>
      </c>
      <c r="H68" s="121">
        <f t="shared" si="6"/>
        <v>0.26274599999999998</v>
      </c>
      <c r="I68" s="14">
        <v>0</v>
      </c>
    </row>
    <row r="69" spans="1:21" ht="15.75" hidden="1" customHeight="1">
      <c r="A69" s="36"/>
      <c r="B69" s="16" t="s">
        <v>60</v>
      </c>
      <c r="C69" s="18" t="s">
        <v>61</v>
      </c>
      <c r="D69" s="16" t="s">
        <v>55</v>
      </c>
      <c r="E69" s="21">
        <v>3</v>
      </c>
      <c r="F69" s="126">
        <v>3</v>
      </c>
      <c r="G69" s="14">
        <v>46.97</v>
      </c>
      <c r="H69" s="121">
        <f t="shared" si="6"/>
        <v>0.14091000000000001</v>
      </c>
      <c r="I69" s="14">
        <v>0</v>
      </c>
    </row>
    <row r="70" spans="1:21" ht="15.75" hidden="1" customHeight="1">
      <c r="A70" s="36"/>
      <c r="B70" s="101" t="s">
        <v>77</v>
      </c>
      <c r="C70" s="18"/>
      <c r="D70" s="16"/>
      <c r="E70" s="21"/>
      <c r="F70" s="14"/>
      <c r="G70" s="14"/>
      <c r="H70" s="121" t="s">
        <v>145</v>
      </c>
      <c r="I70" s="14"/>
    </row>
    <row r="71" spans="1:21" ht="15.75" hidden="1" customHeight="1">
      <c r="A71" s="36"/>
      <c r="B71" s="16" t="s">
        <v>78</v>
      </c>
      <c r="C71" s="18" t="s">
        <v>80</v>
      </c>
      <c r="D71" s="16"/>
      <c r="E71" s="21">
        <v>3</v>
      </c>
      <c r="F71" s="14">
        <v>0.3</v>
      </c>
      <c r="G71" s="14">
        <v>536.23</v>
      </c>
      <c r="H71" s="121">
        <f t="shared" si="6"/>
        <v>0.16086900000000001</v>
      </c>
      <c r="I71" s="14">
        <v>0</v>
      </c>
    </row>
    <row r="72" spans="1:21" ht="15.75" hidden="1" customHeight="1">
      <c r="A72" s="36"/>
      <c r="B72" s="16" t="s">
        <v>79</v>
      </c>
      <c r="C72" s="18" t="s">
        <v>31</v>
      </c>
      <c r="D72" s="16"/>
      <c r="E72" s="21">
        <v>1</v>
      </c>
      <c r="F72" s="116">
        <v>1</v>
      </c>
      <c r="G72" s="14">
        <v>911.85</v>
      </c>
      <c r="H72" s="121">
        <f>F72*G72/1000</f>
        <v>0.91185000000000005</v>
      </c>
      <c r="I72" s="14">
        <v>0</v>
      </c>
    </row>
    <row r="73" spans="1:21" ht="15.75" hidden="1" customHeight="1">
      <c r="A73" s="36"/>
      <c r="B73" s="16" t="s">
        <v>194</v>
      </c>
      <c r="C73" s="18" t="s">
        <v>31</v>
      </c>
      <c r="D73" s="16"/>
      <c r="E73" s="21">
        <v>1</v>
      </c>
      <c r="F73" s="14">
        <v>1</v>
      </c>
      <c r="G73" s="14">
        <v>383.25</v>
      </c>
      <c r="H73" s="121">
        <f>G73*F73/1000</f>
        <v>0.38324999999999998</v>
      </c>
      <c r="I73" s="14">
        <v>0</v>
      </c>
    </row>
    <row r="74" spans="1:21" ht="15.75" hidden="1" customHeight="1">
      <c r="A74" s="36"/>
      <c r="B74" s="140" t="s">
        <v>81</v>
      </c>
      <c r="C74" s="18"/>
      <c r="D74" s="16"/>
      <c r="E74" s="21"/>
      <c r="F74" s="14"/>
      <c r="G74" s="14" t="s">
        <v>145</v>
      </c>
      <c r="H74" s="121" t="s">
        <v>145</v>
      </c>
      <c r="I74" s="14"/>
    </row>
    <row r="75" spans="1:21" ht="15.75" hidden="1" customHeight="1">
      <c r="A75" s="36"/>
      <c r="B75" s="67" t="s">
        <v>162</v>
      </c>
      <c r="C75" s="18" t="s">
        <v>82</v>
      </c>
      <c r="D75" s="16"/>
      <c r="E75" s="21"/>
      <c r="F75" s="14">
        <v>0.1</v>
      </c>
      <c r="G75" s="14">
        <v>2831.38</v>
      </c>
      <c r="H75" s="121">
        <f t="shared" si="6"/>
        <v>0.28313800000000006</v>
      </c>
      <c r="I75" s="14">
        <v>0</v>
      </c>
    </row>
    <row r="76" spans="1:21" ht="15.75" hidden="1" customHeight="1">
      <c r="A76" s="36"/>
      <c r="B76" s="115" t="s">
        <v>111</v>
      </c>
      <c r="C76" s="115"/>
      <c r="D76" s="115"/>
      <c r="E76" s="146"/>
      <c r="F76" s="147"/>
      <c r="G76" s="129"/>
      <c r="H76" s="141">
        <f>SUM(H58:H75)</f>
        <v>53.41802916999999</v>
      </c>
      <c r="I76" s="129"/>
    </row>
    <row r="77" spans="1:21" ht="15.75" hidden="1" customHeight="1">
      <c r="A77" s="36"/>
      <c r="B77" s="148" t="s">
        <v>138</v>
      </c>
      <c r="C77" s="27"/>
      <c r="D77" s="26"/>
      <c r="E77" s="117"/>
      <c r="F77" s="14">
        <v>1</v>
      </c>
      <c r="G77" s="14">
        <v>5637.8</v>
      </c>
      <c r="H77" s="121">
        <f>G77*F77/1000</f>
        <v>5.6378000000000004</v>
      </c>
      <c r="I77" s="14">
        <v>0</v>
      </c>
    </row>
    <row r="78" spans="1:21" ht="15.75" customHeight="1">
      <c r="A78" s="153" t="s">
        <v>224</v>
      </c>
      <c r="B78" s="154"/>
      <c r="C78" s="154"/>
      <c r="D78" s="154"/>
      <c r="E78" s="154"/>
      <c r="F78" s="154"/>
      <c r="G78" s="154"/>
      <c r="H78" s="154"/>
      <c r="I78" s="155"/>
    </row>
    <row r="79" spans="1:21" ht="15.75" customHeight="1">
      <c r="A79" s="36">
        <v>10</v>
      </c>
      <c r="B79" s="123" t="s">
        <v>139</v>
      </c>
      <c r="C79" s="18" t="s">
        <v>56</v>
      </c>
      <c r="D79" s="142" t="s">
        <v>57</v>
      </c>
      <c r="E79" s="14">
        <v>1536.4</v>
      </c>
      <c r="F79" s="14">
        <f>SUM(E79*12)</f>
        <v>18436.800000000003</v>
      </c>
      <c r="G79" s="14">
        <v>2.2400000000000002</v>
      </c>
      <c r="H79" s="121">
        <f>SUM(F79*G79/1000)</f>
        <v>41.298432000000005</v>
      </c>
      <c r="I79" s="14">
        <f>F79/12*G79</f>
        <v>3441.536000000001</v>
      </c>
    </row>
    <row r="80" spans="1:21" ht="31.5" customHeight="1">
      <c r="A80" s="36">
        <v>11</v>
      </c>
      <c r="B80" s="16" t="s">
        <v>83</v>
      </c>
      <c r="C80" s="18"/>
      <c r="D80" s="142" t="s">
        <v>57</v>
      </c>
      <c r="E80" s="125">
        <f>E79</f>
        <v>1536.4</v>
      </c>
      <c r="F80" s="14">
        <f>E80*12</f>
        <v>18436.800000000003</v>
      </c>
      <c r="G80" s="14">
        <v>1.74</v>
      </c>
      <c r="H80" s="121">
        <f>F80*G80/1000</f>
        <v>32.08003200000001</v>
      </c>
      <c r="I80" s="14">
        <f>F80/12*G80</f>
        <v>2673.3360000000007</v>
      </c>
    </row>
    <row r="81" spans="1:9" ht="15.75" customHeight="1">
      <c r="A81" s="36"/>
      <c r="B81" s="54" t="s">
        <v>87</v>
      </c>
      <c r="C81" s="140"/>
      <c r="D81" s="139"/>
      <c r="E81" s="129"/>
      <c r="F81" s="129"/>
      <c r="G81" s="129"/>
      <c r="H81" s="141">
        <f>H80</f>
        <v>32.08003200000001</v>
      </c>
      <c r="I81" s="129">
        <f>I16+I17+I18+I27+I28+I31+I32+I34+I62+I79+I80</f>
        <v>22775.055098400004</v>
      </c>
    </row>
    <row r="82" spans="1:9" ht="15.75" customHeight="1">
      <c r="A82" s="36"/>
      <c r="B82" s="87" t="s">
        <v>63</v>
      </c>
      <c r="C82" s="18"/>
      <c r="D82" s="67"/>
      <c r="E82" s="14"/>
      <c r="F82" s="14"/>
      <c r="G82" s="14"/>
      <c r="H82" s="14"/>
      <c r="I82" s="14"/>
    </row>
    <row r="83" spans="1:9" ht="15.75" customHeight="1">
      <c r="A83" s="36">
        <v>12</v>
      </c>
      <c r="B83" s="88" t="s">
        <v>164</v>
      </c>
      <c r="C83" s="89" t="s">
        <v>130</v>
      </c>
      <c r="D83" s="67"/>
      <c r="E83" s="14"/>
      <c r="F83" s="14">
        <v>216</v>
      </c>
      <c r="G83" s="14">
        <v>50.68</v>
      </c>
      <c r="H83" s="14">
        <f>G83*F83/1000</f>
        <v>10.946879999999998</v>
      </c>
      <c r="I83" s="14">
        <f>G83*27</f>
        <v>1368.36</v>
      </c>
    </row>
    <row r="84" spans="1:9" ht="15.75" customHeight="1">
      <c r="A84" s="36">
        <v>13</v>
      </c>
      <c r="B84" s="122" t="s">
        <v>99</v>
      </c>
      <c r="C84" s="89" t="s">
        <v>130</v>
      </c>
      <c r="D84" s="67"/>
      <c r="E84" s="14"/>
      <c r="F84" s="14">
        <v>1</v>
      </c>
      <c r="G84" s="14">
        <v>179.96</v>
      </c>
      <c r="H84" s="121">
        <f t="shared" ref="H84" si="7">G84*F84/1000</f>
        <v>0.17996000000000001</v>
      </c>
      <c r="I84" s="14">
        <f>G84</f>
        <v>179.96</v>
      </c>
    </row>
    <row r="85" spans="1:9">
      <c r="A85" s="36"/>
      <c r="B85" s="61" t="s">
        <v>52</v>
      </c>
      <c r="C85" s="57"/>
      <c r="D85" s="71"/>
      <c r="E85" s="57">
        <v>1</v>
      </c>
      <c r="F85" s="57"/>
      <c r="G85" s="57"/>
      <c r="H85" s="57"/>
      <c r="I85" s="39">
        <f>SUM(I83:I84)</f>
        <v>1548.32</v>
      </c>
    </row>
    <row r="86" spans="1:9" ht="15.75" customHeight="1">
      <c r="A86" s="36"/>
      <c r="B86" s="67" t="s">
        <v>84</v>
      </c>
      <c r="C86" s="17"/>
      <c r="D86" s="17"/>
      <c r="E86" s="58"/>
      <c r="F86" s="58"/>
      <c r="G86" s="59"/>
      <c r="H86" s="59"/>
      <c r="I86" s="20">
        <v>0</v>
      </c>
    </row>
    <row r="87" spans="1:9">
      <c r="A87" s="72"/>
      <c r="B87" s="62" t="s">
        <v>53</v>
      </c>
      <c r="C87" s="45"/>
      <c r="D87" s="45"/>
      <c r="E87" s="45"/>
      <c r="F87" s="45"/>
      <c r="G87" s="45"/>
      <c r="H87" s="45"/>
      <c r="I87" s="60">
        <f>I81+I85</f>
        <v>24323.375098400003</v>
      </c>
    </row>
    <row r="88" spans="1:9" ht="15.75">
      <c r="A88" s="164" t="s">
        <v>237</v>
      </c>
      <c r="B88" s="164"/>
      <c r="C88" s="164"/>
      <c r="D88" s="164"/>
      <c r="E88" s="164"/>
      <c r="F88" s="164"/>
      <c r="G88" s="164"/>
      <c r="H88" s="164"/>
      <c r="I88" s="164"/>
    </row>
    <row r="89" spans="1:9" ht="15.75" customHeight="1">
      <c r="A89" s="107"/>
      <c r="B89" s="165" t="s">
        <v>238</v>
      </c>
      <c r="C89" s="165"/>
      <c r="D89" s="165"/>
      <c r="E89" s="165"/>
      <c r="F89" s="165"/>
      <c r="G89" s="165"/>
      <c r="H89" s="120"/>
      <c r="I89" s="3"/>
    </row>
    <row r="90" spans="1:9">
      <c r="A90" s="106"/>
      <c r="B90" s="161" t="s">
        <v>6</v>
      </c>
      <c r="C90" s="161"/>
      <c r="D90" s="161"/>
      <c r="E90" s="161"/>
      <c r="F90" s="161"/>
      <c r="G90" s="161"/>
      <c r="H90" s="31"/>
      <c r="I90" s="5"/>
    </row>
    <row r="91" spans="1:9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>
      <c r="A92" s="166" t="s">
        <v>7</v>
      </c>
      <c r="B92" s="166"/>
      <c r="C92" s="166"/>
      <c r="D92" s="166"/>
      <c r="E92" s="166"/>
      <c r="F92" s="166"/>
      <c r="G92" s="166"/>
      <c r="H92" s="166"/>
      <c r="I92" s="166"/>
    </row>
    <row r="93" spans="1:9" ht="15.75" customHeight="1">
      <c r="A93" s="166" t="s">
        <v>8</v>
      </c>
      <c r="B93" s="166"/>
      <c r="C93" s="166"/>
      <c r="D93" s="166"/>
      <c r="E93" s="166"/>
      <c r="F93" s="166"/>
      <c r="G93" s="166"/>
      <c r="H93" s="166"/>
      <c r="I93" s="166"/>
    </row>
    <row r="94" spans="1:9" ht="15.75">
      <c r="A94" s="158" t="s">
        <v>64</v>
      </c>
      <c r="B94" s="158"/>
      <c r="C94" s="158"/>
      <c r="D94" s="158"/>
      <c r="E94" s="158"/>
      <c r="F94" s="158"/>
      <c r="G94" s="158"/>
      <c r="H94" s="158"/>
      <c r="I94" s="158"/>
    </row>
    <row r="95" spans="1:9" ht="15.75">
      <c r="A95" s="11"/>
    </row>
    <row r="96" spans="1:9" ht="15.75">
      <c r="A96" s="159" t="s">
        <v>9</v>
      </c>
      <c r="B96" s="159"/>
      <c r="C96" s="159"/>
      <c r="D96" s="159"/>
      <c r="E96" s="159"/>
      <c r="F96" s="159"/>
      <c r="G96" s="159"/>
      <c r="H96" s="159"/>
      <c r="I96" s="159"/>
    </row>
    <row r="97" spans="1:9" ht="15.75">
      <c r="A97" s="4"/>
    </row>
    <row r="98" spans="1:9" ht="15.75">
      <c r="B98" s="103" t="s">
        <v>10</v>
      </c>
      <c r="C98" s="160" t="s">
        <v>179</v>
      </c>
      <c r="D98" s="160"/>
      <c r="E98" s="160"/>
      <c r="F98" s="118"/>
      <c r="I98" s="105"/>
    </row>
    <row r="99" spans="1:9">
      <c r="A99" s="106"/>
      <c r="C99" s="161" t="s">
        <v>11</v>
      </c>
      <c r="D99" s="161"/>
      <c r="E99" s="161"/>
      <c r="F99" s="31"/>
      <c r="I99" s="104" t="s">
        <v>12</v>
      </c>
    </row>
    <row r="100" spans="1:9" ht="15.75">
      <c r="A100" s="32"/>
      <c r="C100" s="12"/>
      <c r="D100" s="12"/>
      <c r="G100" s="12"/>
      <c r="H100" s="12"/>
    </row>
    <row r="101" spans="1:9" ht="15.75" customHeight="1">
      <c r="B101" s="103" t="s">
        <v>13</v>
      </c>
      <c r="C101" s="162"/>
      <c r="D101" s="162"/>
      <c r="E101" s="162"/>
      <c r="F101" s="119"/>
      <c r="I101" s="105"/>
    </row>
    <row r="102" spans="1:9" ht="15.75" customHeight="1">
      <c r="A102" s="106"/>
      <c r="C102" s="163" t="s">
        <v>11</v>
      </c>
      <c r="D102" s="163"/>
      <c r="E102" s="163"/>
      <c r="F102" s="106"/>
      <c r="I102" s="104" t="s">
        <v>12</v>
      </c>
    </row>
    <row r="103" spans="1:9" ht="15.75" customHeight="1">
      <c r="A103" s="4" t="s">
        <v>14</v>
      </c>
    </row>
    <row r="104" spans="1:9">
      <c r="A104" s="156" t="s">
        <v>15</v>
      </c>
      <c r="B104" s="156"/>
      <c r="C104" s="156"/>
      <c r="D104" s="156"/>
      <c r="E104" s="156"/>
      <c r="F104" s="156"/>
      <c r="G104" s="156"/>
      <c r="H104" s="156"/>
      <c r="I104" s="156"/>
    </row>
    <row r="105" spans="1:9" ht="45" customHeight="1">
      <c r="A105" s="157" t="s">
        <v>16</v>
      </c>
      <c r="B105" s="157"/>
      <c r="C105" s="157"/>
      <c r="D105" s="157"/>
      <c r="E105" s="157"/>
      <c r="F105" s="157"/>
      <c r="G105" s="157"/>
      <c r="H105" s="157"/>
      <c r="I105" s="157"/>
    </row>
    <row r="106" spans="1:9" ht="30" customHeight="1">
      <c r="A106" s="157" t="s">
        <v>17</v>
      </c>
      <c r="B106" s="157"/>
      <c r="C106" s="157"/>
      <c r="D106" s="157"/>
      <c r="E106" s="157"/>
      <c r="F106" s="157"/>
      <c r="G106" s="157"/>
      <c r="H106" s="157"/>
      <c r="I106" s="157"/>
    </row>
    <row r="107" spans="1:9" ht="30" customHeight="1">
      <c r="A107" s="157" t="s">
        <v>21</v>
      </c>
      <c r="B107" s="157"/>
      <c r="C107" s="157"/>
      <c r="D107" s="157"/>
      <c r="E107" s="157"/>
      <c r="F107" s="157"/>
      <c r="G107" s="157"/>
      <c r="H107" s="157"/>
      <c r="I107" s="157"/>
    </row>
    <row r="108" spans="1:9" ht="15" customHeight="1">
      <c r="A108" s="157" t="s">
        <v>20</v>
      </c>
      <c r="B108" s="157"/>
      <c r="C108" s="157"/>
      <c r="D108" s="157"/>
      <c r="E108" s="157"/>
      <c r="F108" s="157"/>
      <c r="G108" s="157"/>
      <c r="H108" s="157"/>
      <c r="I108" s="157"/>
    </row>
  </sheetData>
  <autoFilter ref="I12:I61"/>
  <mergeCells count="28">
    <mergeCell ref="R66:U66"/>
    <mergeCell ref="A78:I78"/>
    <mergeCell ref="A3:I3"/>
    <mergeCell ref="A4:I4"/>
    <mergeCell ref="A5:I5"/>
    <mergeCell ref="A8:I8"/>
    <mergeCell ref="A10:I10"/>
    <mergeCell ref="A14:I14"/>
    <mergeCell ref="A94:I94"/>
    <mergeCell ref="A15:I15"/>
    <mergeCell ref="A29:I29"/>
    <mergeCell ref="A45:I45"/>
    <mergeCell ref="A56:I56"/>
    <mergeCell ref="A88:I88"/>
    <mergeCell ref="B89:G89"/>
    <mergeCell ref="B90:G90"/>
    <mergeCell ref="A92:I92"/>
    <mergeCell ref="A93:I93"/>
    <mergeCell ref="A105:I105"/>
    <mergeCell ref="A106:I106"/>
    <mergeCell ref="A107:I107"/>
    <mergeCell ref="A108:I108"/>
    <mergeCell ref="A96:I96"/>
    <mergeCell ref="C98:E98"/>
    <mergeCell ref="C99:E99"/>
    <mergeCell ref="C101:E101"/>
    <mergeCell ref="C102:E102"/>
    <mergeCell ref="A104:I10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239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65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37">
        <v>42613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187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187.48</v>
      </c>
      <c r="H16" s="127">
        <f t="shared" ref="H16:H26" si="0">SUM(F16*G16/1000)</f>
        <v>16.056537119999998</v>
      </c>
      <c r="I16" s="14">
        <f>F16/12*G16</f>
        <v>1338.0447599999998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187.48</v>
      </c>
      <c r="H17" s="127">
        <f t="shared" si="0"/>
        <v>21.408716159999997</v>
      </c>
      <c r="I17" s="14">
        <f>F17/12*G17</f>
        <v>1784.0596799999998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539.30999999999995</v>
      </c>
      <c r="H18" s="127">
        <f t="shared" si="0"/>
        <v>21.317845679999998</v>
      </c>
      <c r="I18" s="14">
        <f>F18/12*G18</f>
        <v>1776.48714</v>
      </c>
      <c r="J18" s="29"/>
      <c r="K18" s="8"/>
      <c r="L18" s="8"/>
      <c r="M18" s="8"/>
    </row>
    <row r="19" spans="1:13" ht="15.75" hidden="1" customHeight="1">
      <c r="A19" s="36">
        <v>4</v>
      </c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181.91</v>
      </c>
      <c r="H19" s="127">
        <f t="shared" si="0"/>
        <v>0.39292560000000004</v>
      </c>
      <c r="I19" s="14">
        <v>0</v>
      </c>
      <c r="J19" s="29"/>
      <c r="K19" s="8"/>
      <c r="L19" s="8"/>
      <c r="M19" s="8"/>
    </row>
    <row r="20" spans="1:13" ht="15.75" hidden="1" customHeight="1">
      <c r="A20" s="36">
        <v>5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232.92</v>
      </c>
      <c r="H20" s="127">
        <f t="shared" si="0"/>
        <v>4.2764112E-2</v>
      </c>
      <c r="I20" s="14">
        <v>0</v>
      </c>
      <c r="J20" s="29"/>
      <c r="K20" s="8"/>
      <c r="L20" s="8"/>
      <c r="M20" s="8"/>
    </row>
    <row r="21" spans="1:13" ht="15.75" hidden="1" customHeight="1">
      <c r="A21" s="36">
        <v>6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231.03</v>
      </c>
      <c r="H21" s="127">
        <f t="shared" si="0"/>
        <v>3.7426860000000006E-2</v>
      </c>
      <c r="I21" s="14">
        <v>0</v>
      </c>
      <c r="J21" s="29"/>
      <c r="K21" s="8"/>
      <c r="L21" s="8"/>
      <c r="M21" s="8"/>
    </row>
    <row r="22" spans="1:13" ht="15.75" hidden="1" customHeight="1">
      <c r="A22" s="36">
        <v>7</v>
      </c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287.83999999999997</v>
      </c>
      <c r="H22" s="127">
        <f t="shared" si="0"/>
        <v>0.63416908799999983</v>
      </c>
      <c r="I22" s="14">
        <v>0</v>
      </c>
      <c r="J22" s="29"/>
      <c r="K22" s="8"/>
      <c r="L22" s="8"/>
      <c r="M22" s="8"/>
    </row>
    <row r="23" spans="1:13" ht="15.75" hidden="1" customHeight="1">
      <c r="A23" s="36">
        <v>8</v>
      </c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47.34</v>
      </c>
      <c r="H23" s="127">
        <f t="shared" si="0"/>
        <v>8.3507760000000007E-3</v>
      </c>
      <c r="I23" s="14">
        <v>0</v>
      </c>
      <c r="J23" s="29"/>
      <c r="K23" s="8"/>
      <c r="L23" s="8"/>
      <c r="M23" s="8"/>
    </row>
    <row r="24" spans="1:13" ht="15.75" hidden="1" customHeight="1">
      <c r="A24" s="36">
        <v>9</v>
      </c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416.62</v>
      </c>
      <c r="H24" s="127">
        <f t="shared" si="0"/>
        <v>2.9996640000000001E-2</v>
      </c>
      <c r="I24" s="14">
        <v>0</v>
      </c>
      <c r="J24" s="29"/>
      <c r="K24" s="8"/>
      <c r="L24" s="8"/>
      <c r="M24" s="8"/>
    </row>
    <row r="25" spans="1:13" ht="15.75" hidden="1" customHeight="1">
      <c r="A25" s="36">
        <v>10</v>
      </c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231.03</v>
      </c>
      <c r="H25" s="127">
        <f>G25*F25/1000</f>
        <v>2.1832334999999998E-2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>
        <v>11</v>
      </c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556.74</v>
      </c>
      <c r="H26" s="127">
        <f t="shared" si="0"/>
        <v>6.0127920000000008E-2</v>
      </c>
      <c r="I26" s="14">
        <v>0</v>
      </c>
      <c r="J26" s="29"/>
      <c r="K26" s="8"/>
      <c r="L26" s="8"/>
      <c r="M26" s="8"/>
    </row>
    <row r="27" spans="1:13" ht="15.75" customHeight="1">
      <c r="A27" s="36">
        <v>4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157.18</v>
      </c>
      <c r="H27" s="127">
        <f>SUM(F27*G27/1000)</f>
        <v>5.737070000000001</v>
      </c>
      <c r="I27" s="14">
        <f>F27/12*G27</f>
        <v>478.08916666666664</v>
      </c>
      <c r="J27" s="30"/>
    </row>
    <row r="28" spans="1:13" ht="15.75" customHeight="1">
      <c r="A28" s="36">
        <v>5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6.15</v>
      </c>
      <c r="H28" s="127">
        <f>SUM(F28*G28/1000)</f>
        <v>113.38632000000003</v>
      </c>
      <c r="I28" s="14">
        <f>F28/12*G28</f>
        <v>9448.8600000000024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29"/>
      <c r="K29" s="8"/>
      <c r="L29" s="8"/>
      <c r="M29" s="8"/>
    </row>
    <row r="30" spans="1:13" ht="15.75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29"/>
      <c r="K30" s="8"/>
      <c r="L30" s="8"/>
      <c r="M30" s="8"/>
    </row>
    <row r="31" spans="1:13" ht="31.5" customHeight="1">
      <c r="A31" s="36">
        <v>6</v>
      </c>
      <c r="B31" s="123" t="s">
        <v>128</v>
      </c>
      <c r="C31" s="124" t="s">
        <v>108</v>
      </c>
      <c r="D31" s="123" t="s">
        <v>123</v>
      </c>
      <c r="E31" s="126">
        <v>565.4</v>
      </c>
      <c r="F31" s="126">
        <f>SUM(E31*52/1000)</f>
        <v>29.4008</v>
      </c>
      <c r="G31" s="126">
        <v>166.65</v>
      </c>
      <c r="H31" s="127">
        <f t="shared" ref="H31:H36" si="1">SUM(F31*G31/1000)</f>
        <v>4.89964332</v>
      </c>
      <c r="I31" s="14">
        <f t="shared" ref="I31:I34" si="2">F31/6*G31</f>
        <v>816.6072200000001</v>
      </c>
      <c r="J31" s="29"/>
      <c r="K31" s="8"/>
      <c r="L31" s="8"/>
      <c r="M31" s="8"/>
    </row>
    <row r="32" spans="1:13" ht="31.5" customHeight="1">
      <c r="A32" s="36">
        <v>7</v>
      </c>
      <c r="B32" s="123" t="s">
        <v>127</v>
      </c>
      <c r="C32" s="124" t="s">
        <v>108</v>
      </c>
      <c r="D32" s="123" t="s">
        <v>124</v>
      </c>
      <c r="E32" s="126">
        <v>71.91</v>
      </c>
      <c r="F32" s="126">
        <f>SUM(E32*78/1000)</f>
        <v>5.6089799999999999</v>
      </c>
      <c r="G32" s="126">
        <v>276.48</v>
      </c>
      <c r="H32" s="127">
        <f t="shared" si="1"/>
        <v>1.5507707904000001</v>
      </c>
      <c r="I32" s="14">
        <f t="shared" si="2"/>
        <v>258.46179840000002</v>
      </c>
      <c r="J32" s="29"/>
      <c r="K32" s="8"/>
      <c r="L32" s="8"/>
      <c r="M32" s="8"/>
    </row>
    <row r="33" spans="1:14" ht="15.75" hidden="1" customHeight="1">
      <c r="A33" s="36">
        <v>14</v>
      </c>
      <c r="B33" s="123" t="s">
        <v>27</v>
      </c>
      <c r="C33" s="124" t="s">
        <v>108</v>
      </c>
      <c r="D33" s="123" t="s">
        <v>55</v>
      </c>
      <c r="E33" s="126">
        <v>565.4</v>
      </c>
      <c r="F33" s="126">
        <f>SUM(E33/1000)</f>
        <v>0.56540000000000001</v>
      </c>
      <c r="G33" s="126">
        <v>3228.73</v>
      </c>
      <c r="H33" s="127">
        <f t="shared" si="1"/>
        <v>1.825523942</v>
      </c>
      <c r="I33" s="14">
        <f>F33*G33</f>
        <v>1825.523942</v>
      </c>
      <c r="J33" s="29"/>
      <c r="K33" s="8"/>
      <c r="L33" s="8"/>
      <c r="M33" s="8"/>
    </row>
    <row r="34" spans="1:14" ht="15.75" customHeight="1">
      <c r="A34" s="36">
        <v>8</v>
      </c>
      <c r="B34" s="123" t="s">
        <v>126</v>
      </c>
      <c r="C34" s="124" t="s">
        <v>31</v>
      </c>
      <c r="D34" s="123" t="s">
        <v>68</v>
      </c>
      <c r="E34" s="130">
        <v>0.33333333333333331</v>
      </c>
      <c r="F34" s="126">
        <f>155/3</f>
        <v>51.666666666666664</v>
      </c>
      <c r="G34" s="126">
        <v>60.6</v>
      </c>
      <c r="H34" s="127">
        <f>SUM(G34*155/3/1000)</f>
        <v>3.1309999999999998</v>
      </c>
      <c r="I34" s="14">
        <f t="shared" si="2"/>
        <v>521.83333333333337</v>
      </c>
      <c r="J34" s="29"/>
      <c r="K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2</v>
      </c>
      <c r="G35" s="126">
        <v>204.52</v>
      </c>
      <c r="H35" s="127">
        <f t="shared" si="1"/>
        <v>0.40904000000000001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1214.74</v>
      </c>
      <c r="H36" s="127">
        <f t="shared" si="1"/>
        <v>1.2147399999999999</v>
      </c>
      <c r="I36" s="14">
        <v>0</v>
      </c>
      <c r="J36" s="30"/>
    </row>
    <row r="37" spans="1:14" ht="15.75" hidden="1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</row>
    <row r="38" spans="1:14" ht="15.75" hidden="1" customHeight="1">
      <c r="A38" s="36">
        <v>6</v>
      </c>
      <c r="B38" s="123" t="s">
        <v>26</v>
      </c>
      <c r="C38" s="124" t="s">
        <v>32</v>
      </c>
      <c r="D38" s="123"/>
      <c r="E38" s="125"/>
      <c r="F38" s="126">
        <v>5</v>
      </c>
      <c r="G38" s="126">
        <v>1632.6</v>
      </c>
      <c r="H38" s="127">
        <f t="shared" ref="H38:H44" si="3">SUM(F38*G38/1000)</f>
        <v>8.1630000000000003</v>
      </c>
      <c r="I38" s="14">
        <f t="shared" ref="I38:I44" si="4">F38/6*G38</f>
        <v>1360.5</v>
      </c>
      <c r="J38" s="30"/>
    </row>
    <row r="39" spans="1:14" ht="15.75" hidden="1" customHeight="1">
      <c r="A39" s="36">
        <v>7</v>
      </c>
      <c r="B39" s="123" t="s">
        <v>190</v>
      </c>
      <c r="C39" s="124" t="s">
        <v>29</v>
      </c>
      <c r="D39" s="123" t="s">
        <v>106</v>
      </c>
      <c r="E39" s="125">
        <v>71.91</v>
      </c>
      <c r="F39" s="126">
        <f>E39*30/1000</f>
        <v>2.1572999999999998</v>
      </c>
      <c r="G39" s="126">
        <v>2247.8000000000002</v>
      </c>
      <c r="H39" s="127">
        <f>G39*F39/1000</f>
        <v>4.8491789399999998</v>
      </c>
      <c r="I39" s="14">
        <f t="shared" si="4"/>
        <v>808.19649000000004</v>
      </c>
      <c r="J39" s="30"/>
      <c r="L39" s="23"/>
      <c r="M39" s="24"/>
      <c r="N39" s="25"/>
    </row>
    <row r="40" spans="1:14" ht="15.75" hidden="1" customHeight="1">
      <c r="A40" s="36">
        <v>8</v>
      </c>
      <c r="B40" s="123" t="s">
        <v>191</v>
      </c>
      <c r="C40" s="124" t="s">
        <v>29</v>
      </c>
      <c r="D40" s="123" t="s">
        <v>192</v>
      </c>
      <c r="E40" s="125">
        <v>294.37</v>
      </c>
      <c r="F40" s="126">
        <f>E40*12/1000</f>
        <v>3.5324400000000002</v>
      </c>
      <c r="G40" s="126">
        <v>2247.8000000000002</v>
      </c>
      <c r="H40" s="127">
        <f>G40*F40/1000</f>
        <v>7.9402186320000006</v>
      </c>
      <c r="I40" s="14">
        <f t="shared" si="4"/>
        <v>1323.3697720000002</v>
      </c>
      <c r="J40" s="30"/>
      <c r="L40" s="23"/>
      <c r="M40" s="24"/>
      <c r="N40" s="25"/>
    </row>
    <row r="41" spans="1:14" ht="15.75" hidden="1" customHeight="1">
      <c r="A41" s="36">
        <v>9</v>
      </c>
      <c r="B41" s="123" t="s">
        <v>73</v>
      </c>
      <c r="C41" s="124" t="s">
        <v>29</v>
      </c>
      <c r="D41" s="123" t="s">
        <v>107</v>
      </c>
      <c r="E41" s="126">
        <v>71.91</v>
      </c>
      <c r="F41" s="126">
        <f>SUM(E41*155/1000)</f>
        <v>11.146049999999999</v>
      </c>
      <c r="G41" s="126">
        <v>374.95</v>
      </c>
      <c r="H41" s="127">
        <f t="shared" si="3"/>
        <v>4.1792114475000002</v>
      </c>
      <c r="I41" s="14">
        <f t="shared" si="4"/>
        <v>696.5352412499999</v>
      </c>
      <c r="J41" s="30"/>
      <c r="L41" s="23"/>
      <c r="M41" s="24"/>
      <c r="N41" s="25"/>
    </row>
    <row r="42" spans="1:14" ht="47.25" hidden="1" customHeight="1">
      <c r="A42" s="36">
        <v>10</v>
      </c>
      <c r="B42" s="123" t="s">
        <v>97</v>
      </c>
      <c r="C42" s="124" t="s">
        <v>108</v>
      </c>
      <c r="D42" s="123" t="s">
        <v>149</v>
      </c>
      <c r="E42" s="126">
        <v>71.91</v>
      </c>
      <c r="F42" s="126">
        <f>SUM(E42*24/1000)</f>
        <v>1.7258399999999998</v>
      </c>
      <c r="G42" s="126">
        <v>6203.7</v>
      </c>
      <c r="H42" s="127">
        <f t="shared" si="3"/>
        <v>10.706593607999999</v>
      </c>
      <c r="I42" s="14">
        <f t="shared" si="4"/>
        <v>1784.4322679999996</v>
      </c>
      <c r="J42" s="30"/>
      <c r="L42" s="23"/>
      <c r="M42" s="24"/>
      <c r="N42" s="25"/>
    </row>
    <row r="43" spans="1:14" ht="15.75" hidden="1" customHeight="1">
      <c r="A43" s="36">
        <v>11</v>
      </c>
      <c r="B43" s="123" t="s">
        <v>193</v>
      </c>
      <c r="C43" s="124" t="s">
        <v>108</v>
      </c>
      <c r="D43" s="123" t="s">
        <v>74</v>
      </c>
      <c r="E43" s="126">
        <v>71.91</v>
      </c>
      <c r="F43" s="126">
        <f>SUM(E43*45/1000)</f>
        <v>3.2359499999999999</v>
      </c>
      <c r="G43" s="126">
        <v>458.28</v>
      </c>
      <c r="H43" s="127">
        <f t="shared" si="3"/>
        <v>1.4829711659999998</v>
      </c>
      <c r="I43" s="14">
        <f t="shared" si="4"/>
        <v>247.16186099999996</v>
      </c>
      <c r="J43" s="30"/>
      <c r="L43" s="23"/>
      <c r="M43" s="24"/>
      <c r="N43" s="25"/>
    </row>
    <row r="44" spans="1:14" ht="15.75" hidden="1" customHeight="1">
      <c r="A44" s="36">
        <v>12</v>
      </c>
      <c r="B44" s="123" t="s">
        <v>75</v>
      </c>
      <c r="C44" s="124" t="s">
        <v>33</v>
      </c>
      <c r="D44" s="123"/>
      <c r="E44" s="125"/>
      <c r="F44" s="126">
        <v>0.3</v>
      </c>
      <c r="G44" s="126">
        <v>853.06</v>
      </c>
      <c r="H44" s="127">
        <f t="shared" si="3"/>
        <v>0.25591799999999998</v>
      </c>
      <c r="I44" s="14">
        <f t="shared" si="4"/>
        <v>42.652999999999992</v>
      </c>
      <c r="J44" s="30"/>
      <c r="L44" s="23"/>
      <c r="M44" s="24"/>
      <c r="N44" s="25"/>
    </row>
    <row r="45" spans="1:14" ht="15.75" customHeight="1">
      <c r="A45" s="153" t="s">
        <v>183</v>
      </c>
      <c r="B45" s="154"/>
      <c r="C45" s="154"/>
      <c r="D45" s="154"/>
      <c r="E45" s="154"/>
      <c r="F45" s="154"/>
      <c r="G45" s="154"/>
      <c r="H45" s="154"/>
      <c r="I45" s="155"/>
      <c r="J45" s="30"/>
      <c r="L45" s="23"/>
      <c r="M45" s="24"/>
      <c r="N45" s="25"/>
    </row>
    <row r="46" spans="1:14" ht="15.75" hidden="1" customHeight="1">
      <c r="A46" s="36"/>
      <c r="B46" s="123" t="s">
        <v>129</v>
      </c>
      <c r="C46" s="124" t="s">
        <v>108</v>
      </c>
      <c r="D46" s="123" t="s">
        <v>43</v>
      </c>
      <c r="E46" s="125">
        <v>904.4</v>
      </c>
      <c r="F46" s="126">
        <f>SUM(E46*2/1000)</f>
        <v>1.8088</v>
      </c>
      <c r="G46" s="14">
        <v>865.61</v>
      </c>
      <c r="H46" s="127">
        <f t="shared" ref="H46:H55" si="5">SUM(F46*G46/1000)</f>
        <v>1.565715368</v>
      </c>
      <c r="I46" s="14">
        <v>0</v>
      </c>
      <c r="J46" s="30"/>
      <c r="L46" s="23"/>
      <c r="M46" s="24"/>
      <c r="N46" s="25"/>
    </row>
    <row r="47" spans="1:14" ht="15.75" hidden="1" customHeight="1">
      <c r="A47" s="36"/>
      <c r="B47" s="123" t="s">
        <v>36</v>
      </c>
      <c r="C47" s="124" t="s">
        <v>108</v>
      </c>
      <c r="D47" s="123" t="s">
        <v>43</v>
      </c>
      <c r="E47" s="125">
        <v>27</v>
      </c>
      <c r="F47" s="126">
        <f>E47*2/1000</f>
        <v>5.3999999999999999E-2</v>
      </c>
      <c r="G47" s="14">
        <v>619.46</v>
      </c>
      <c r="H47" s="127">
        <f t="shared" si="5"/>
        <v>3.3450840000000003E-2</v>
      </c>
      <c r="I47" s="14">
        <v>0</v>
      </c>
      <c r="J47" s="30"/>
      <c r="L47" s="23"/>
      <c r="M47" s="24"/>
      <c r="N47" s="25"/>
    </row>
    <row r="48" spans="1:14" ht="15.75" hidden="1" customHeight="1">
      <c r="A48" s="36"/>
      <c r="B48" s="123" t="s">
        <v>37</v>
      </c>
      <c r="C48" s="124" t="s">
        <v>108</v>
      </c>
      <c r="D48" s="123" t="s">
        <v>43</v>
      </c>
      <c r="E48" s="125">
        <v>772</v>
      </c>
      <c r="F48" s="126">
        <f>SUM(E48*2/1000)</f>
        <v>1.544</v>
      </c>
      <c r="G48" s="14">
        <v>619.46</v>
      </c>
      <c r="H48" s="127">
        <f t="shared" si="5"/>
        <v>0.95644624000000011</v>
      </c>
      <c r="I48" s="14">
        <v>0</v>
      </c>
      <c r="J48" s="30"/>
      <c r="L48" s="23"/>
      <c r="M48" s="24"/>
      <c r="N48" s="25"/>
    </row>
    <row r="49" spans="1:22" ht="15.75" hidden="1" customHeight="1">
      <c r="A49" s="36"/>
      <c r="B49" s="123" t="s">
        <v>38</v>
      </c>
      <c r="C49" s="124" t="s">
        <v>108</v>
      </c>
      <c r="D49" s="123" t="s">
        <v>43</v>
      </c>
      <c r="E49" s="125">
        <v>959.35</v>
      </c>
      <c r="F49" s="126">
        <f>SUM(E49*2/1000)</f>
        <v>1.9187000000000001</v>
      </c>
      <c r="G49" s="14">
        <v>648.64</v>
      </c>
      <c r="H49" s="127">
        <f t="shared" si="5"/>
        <v>1.2445455679999999</v>
      </c>
      <c r="I49" s="14">
        <v>0</v>
      </c>
      <c r="J49" s="30"/>
      <c r="L49" s="23"/>
      <c r="M49" s="24"/>
      <c r="N49" s="25"/>
    </row>
    <row r="50" spans="1:22" ht="15.75" hidden="1" customHeight="1">
      <c r="A50" s="36"/>
      <c r="B50" s="123" t="s">
        <v>34</v>
      </c>
      <c r="C50" s="124" t="s">
        <v>35</v>
      </c>
      <c r="D50" s="123" t="s">
        <v>43</v>
      </c>
      <c r="E50" s="125">
        <v>66.02</v>
      </c>
      <c r="F50" s="126">
        <f>SUM(E50*2/100)</f>
        <v>1.3204</v>
      </c>
      <c r="G50" s="14">
        <v>77.84</v>
      </c>
      <c r="H50" s="127">
        <f t="shared" si="5"/>
        <v>0.102779936</v>
      </c>
      <c r="I50" s="14">
        <v>0</v>
      </c>
      <c r="J50" s="30"/>
      <c r="L50" s="23"/>
      <c r="M50" s="24"/>
      <c r="N50" s="25"/>
    </row>
    <row r="51" spans="1:22" ht="15.75" hidden="1" customHeight="1">
      <c r="A51" s="36">
        <v>13</v>
      </c>
      <c r="B51" s="123" t="s">
        <v>59</v>
      </c>
      <c r="C51" s="124" t="s">
        <v>108</v>
      </c>
      <c r="D51" s="123" t="s">
        <v>180</v>
      </c>
      <c r="E51" s="125">
        <v>702.5</v>
      </c>
      <c r="F51" s="126">
        <f>SUM(E51*5/1000)</f>
        <v>3.5125000000000002</v>
      </c>
      <c r="G51" s="14">
        <v>1297.28</v>
      </c>
      <c r="H51" s="127">
        <f t="shared" si="5"/>
        <v>4.5566959999999996</v>
      </c>
      <c r="I51" s="14">
        <f>F51/5*G51</f>
        <v>911.33920000000001</v>
      </c>
      <c r="J51" s="30"/>
      <c r="L51" s="23"/>
      <c r="M51" s="24"/>
      <c r="N51" s="25"/>
    </row>
    <row r="52" spans="1:22" ht="31.5" hidden="1" customHeight="1">
      <c r="A52" s="36"/>
      <c r="B52" s="123" t="s">
        <v>109</v>
      </c>
      <c r="C52" s="124" t="s">
        <v>108</v>
      </c>
      <c r="D52" s="123" t="s">
        <v>43</v>
      </c>
      <c r="E52" s="125">
        <v>702.5</v>
      </c>
      <c r="F52" s="126">
        <f>SUM(E52*2/1000)</f>
        <v>1.405</v>
      </c>
      <c r="G52" s="14">
        <v>1297.28</v>
      </c>
      <c r="H52" s="127">
        <f t="shared" si="5"/>
        <v>1.8226784</v>
      </c>
      <c r="I52" s="14">
        <v>0</v>
      </c>
      <c r="J52" s="30"/>
      <c r="L52" s="23"/>
      <c r="M52" s="24"/>
      <c r="N52" s="25"/>
    </row>
    <row r="53" spans="1:22" ht="31.5" hidden="1" customHeight="1">
      <c r="A53" s="36"/>
      <c r="B53" s="123" t="s">
        <v>110</v>
      </c>
      <c r="C53" s="124" t="s">
        <v>39</v>
      </c>
      <c r="D53" s="123" t="s">
        <v>43</v>
      </c>
      <c r="E53" s="125">
        <v>9</v>
      </c>
      <c r="F53" s="126">
        <f>SUM(E53*2/100)</f>
        <v>0.18</v>
      </c>
      <c r="G53" s="14">
        <v>2918.89</v>
      </c>
      <c r="H53" s="127">
        <f t="shared" si="5"/>
        <v>0.52540019999999987</v>
      </c>
      <c r="I53" s="14">
        <v>0</v>
      </c>
      <c r="J53" s="30"/>
      <c r="L53" s="23"/>
      <c r="M53" s="24"/>
      <c r="N53" s="25"/>
    </row>
    <row r="54" spans="1:22" ht="15.75" hidden="1" customHeight="1">
      <c r="A54" s="36"/>
      <c r="B54" s="123" t="s">
        <v>40</v>
      </c>
      <c r="C54" s="124" t="s">
        <v>41</v>
      </c>
      <c r="D54" s="123" t="s">
        <v>43</v>
      </c>
      <c r="E54" s="125">
        <v>1</v>
      </c>
      <c r="F54" s="126">
        <v>0.02</v>
      </c>
      <c r="G54" s="14">
        <v>6042.12</v>
      </c>
      <c r="H54" s="127">
        <f t="shared" si="5"/>
        <v>0.1208424</v>
      </c>
      <c r="I54" s="14">
        <v>0</v>
      </c>
      <c r="J54" s="30"/>
      <c r="L54" s="23"/>
      <c r="M54" s="24"/>
      <c r="N54" s="25"/>
    </row>
    <row r="55" spans="1:22" ht="15.75" customHeight="1">
      <c r="A55" s="36">
        <v>9</v>
      </c>
      <c r="B55" s="123" t="s">
        <v>42</v>
      </c>
      <c r="C55" s="124" t="s">
        <v>130</v>
      </c>
      <c r="D55" s="123" t="s">
        <v>76</v>
      </c>
      <c r="E55" s="125">
        <v>53</v>
      </c>
      <c r="F55" s="126">
        <f>SUM(E55)*3</f>
        <v>159</v>
      </c>
      <c r="G55" s="14">
        <v>70.209999999999994</v>
      </c>
      <c r="H55" s="127">
        <f t="shared" si="5"/>
        <v>11.16339</v>
      </c>
      <c r="I55" s="14">
        <f>E55*G55</f>
        <v>3721.1299999999997</v>
      </c>
      <c r="J55" s="30"/>
      <c r="L55" s="23"/>
      <c r="M55" s="24"/>
      <c r="N55" s="25"/>
    </row>
    <row r="56" spans="1:22" ht="15.75" customHeight="1">
      <c r="A56" s="153" t="s">
        <v>184</v>
      </c>
      <c r="B56" s="154"/>
      <c r="C56" s="154"/>
      <c r="D56" s="154"/>
      <c r="E56" s="154"/>
      <c r="F56" s="154"/>
      <c r="G56" s="154"/>
      <c r="H56" s="154"/>
      <c r="I56" s="155"/>
      <c r="J56" s="30"/>
      <c r="L56" s="23"/>
      <c r="M56" s="24"/>
      <c r="N56" s="25"/>
    </row>
    <row r="57" spans="1:22" ht="15.75" hidden="1" customHeight="1">
      <c r="A57" s="36"/>
      <c r="B57" s="144" t="s">
        <v>44</v>
      </c>
      <c r="C57" s="124"/>
      <c r="D57" s="123"/>
      <c r="E57" s="125"/>
      <c r="F57" s="126"/>
      <c r="G57" s="126"/>
      <c r="H57" s="127"/>
      <c r="I57" s="14"/>
      <c r="J57" s="30"/>
      <c r="L57" s="23"/>
      <c r="M57" s="24"/>
      <c r="N57" s="25"/>
    </row>
    <row r="58" spans="1:22" ht="31.5" hidden="1" customHeight="1">
      <c r="A58" s="36">
        <v>15</v>
      </c>
      <c r="B58" s="123" t="s">
        <v>131</v>
      </c>
      <c r="C58" s="124" t="s">
        <v>105</v>
      </c>
      <c r="D58" s="123" t="s">
        <v>132</v>
      </c>
      <c r="E58" s="125">
        <v>25</v>
      </c>
      <c r="F58" s="126">
        <f>SUM(E58*6/100)</f>
        <v>1.5</v>
      </c>
      <c r="G58" s="14">
        <v>1654.04</v>
      </c>
      <c r="H58" s="127">
        <f>SUM(F58*G58/1000)</f>
        <v>2.4810599999999998</v>
      </c>
      <c r="I58" s="14">
        <f>F58/6*G58</f>
        <v>413.51</v>
      </c>
      <c r="J58" s="30"/>
      <c r="L58" s="23"/>
      <c r="M58" s="24"/>
      <c r="N58" s="25"/>
    </row>
    <row r="59" spans="1:22" ht="15.75" hidden="1" customHeight="1">
      <c r="A59" s="36"/>
      <c r="B59" s="144" t="s">
        <v>45</v>
      </c>
      <c r="C59" s="124"/>
      <c r="D59" s="123"/>
      <c r="E59" s="125"/>
      <c r="F59" s="126"/>
      <c r="G59" s="116"/>
      <c r="H59" s="127"/>
      <c r="I59" s="14"/>
      <c r="J59" s="30"/>
      <c r="L59" s="23"/>
    </row>
    <row r="60" spans="1:22" ht="15.75" hidden="1" customHeight="1">
      <c r="A60" s="36"/>
      <c r="B60" s="123" t="s">
        <v>133</v>
      </c>
      <c r="C60" s="124" t="s">
        <v>105</v>
      </c>
      <c r="D60" s="123" t="s">
        <v>72</v>
      </c>
      <c r="E60" s="125">
        <v>1026</v>
      </c>
      <c r="F60" s="127">
        <f>E60/100</f>
        <v>10.26</v>
      </c>
      <c r="G60" s="14">
        <v>848.37</v>
      </c>
      <c r="H60" s="132">
        <f>F60*G60/1000</f>
        <v>8.7042762000000007</v>
      </c>
      <c r="I60" s="14">
        <v>0</v>
      </c>
    </row>
    <row r="61" spans="1:22" ht="15.75" customHeight="1">
      <c r="A61" s="36"/>
      <c r="B61" s="145" t="s">
        <v>46</v>
      </c>
      <c r="C61" s="133"/>
      <c r="D61" s="134"/>
      <c r="E61" s="135"/>
      <c r="F61" s="136"/>
      <c r="G61" s="136"/>
      <c r="H61" s="137" t="s">
        <v>145</v>
      </c>
      <c r="I61" s="14"/>
    </row>
    <row r="62" spans="1:22" ht="15.75" customHeight="1">
      <c r="A62" s="36">
        <v>10</v>
      </c>
      <c r="B62" s="16" t="s">
        <v>47</v>
      </c>
      <c r="C62" s="18" t="s">
        <v>130</v>
      </c>
      <c r="D62" s="123" t="s">
        <v>72</v>
      </c>
      <c r="E62" s="21">
        <v>8</v>
      </c>
      <c r="F62" s="126">
        <v>8</v>
      </c>
      <c r="G62" s="14">
        <v>237.74</v>
      </c>
      <c r="H62" s="121">
        <f t="shared" ref="H62:H75" si="6">SUM(F62*G62/1000)</f>
        <v>1.9019200000000001</v>
      </c>
      <c r="I62" s="14">
        <f>G62</f>
        <v>237.74</v>
      </c>
    </row>
    <row r="63" spans="1:22" ht="15.75" hidden="1" customHeight="1">
      <c r="A63" s="36"/>
      <c r="B63" s="16" t="s">
        <v>48</v>
      </c>
      <c r="C63" s="18" t="s">
        <v>130</v>
      </c>
      <c r="D63" s="123" t="s">
        <v>72</v>
      </c>
      <c r="E63" s="21">
        <v>3</v>
      </c>
      <c r="F63" s="126">
        <v>3</v>
      </c>
      <c r="G63" s="14">
        <v>81.510000000000005</v>
      </c>
      <c r="H63" s="121">
        <f t="shared" si="6"/>
        <v>0.24453000000000003</v>
      </c>
      <c r="I63" s="14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6"/>
      <c r="B64" s="16" t="s">
        <v>49</v>
      </c>
      <c r="C64" s="18" t="s">
        <v>134</v>
      </c>
      <c r="D64" s="16" t="s">
        <v>55</v>
      </c>
      <c r="E64" s="125">
        <v>6307</v>
      </c>
      <c r="F64" s="14">
        <f>SUM(E64/100)</f>
        <v>63.07</v>
      </c>
      <c r="G64" s="14">
        <v>226.79</v>
      </c>
      <c r="H64" s="121">
        <f t="shared" si="6"/>
        <v>14.303645299999999</v>
      </c>
      <c r="I64" s="14">
        <v>0</v>
      </c>
      <c r="J64" s="32"/>
      <c r="K64" s="32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6"/>
      <c r="B65" s="16" t="s">
        <v>50</v>
      </c>
      <c r="C65" s="18" t="s">
        <v>135</v>
      </c>
      <c r="D65" s="16"/>
      <c r="E65" s="125">
        <v>6307</v>
      </c>
      <c r="F65" s="14">
        <f>SUM(E65/1000)</f>
        <v>6.3070000000000004</v>
      </c>
      <c r="G65" s="14">
        <v>176.61</v>
      </c>
      <c r="H65" s="121">
        <f t="shared" si="6"/>
        <v>1.1138792700000002</v>
      </c>
      <c r="I65" s="14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6"/>
      <c r="B66" s="16" t="s">
        <v>51</v>
      </c>
      <c r="C66" s="18" t="s">
        <v>82</v>
      </c>
      <c r="D66" s="16" t="s">
        <v>55</v>
      </c>
      <c r="E66" s="125">
        <v>1003</v>
      </c>
      <c r="F66" s="14">
        <f>SUM(E66/100)</f>
        <v>10.029999999999999</v>
      </c>
      <c r="G66" s="14">
        <v>2217.7800000000002</v>
      </c>
      <c r="H66" s="121">
        <f t="shared" si="6"/>
        <v>22.244333399999999</v>
      </c>
      <c r="I66" s="14">
        <v>0</v>
      </c>
      <c r="J66" s="5"/>
      <c r="K66" s="5"/>
      <c r="L66" s="5"/>
      <c r="M66" s="5"/>
      <c r="N66" s="5"/>
      <c r="O66" s="5"/>
      <c r="P66" s="5"/>
      <c r="Q66" s="5"/>
      <c r="R66" s="163"/>
      <c r="S66" s="163"/>
      <c r="T66" s="163"/>
      <c r="U66" s="163"/>
    </row>
    <row r="67" spans="1:21" ht="15.75" hidden="1" customHeight="1">
      <c r="A67" s="36"/>
      <c r="B67" s="138" t="s">
        <v>136</v>
      </c>
      <c r="C67" s="18" t="s">
        <v>33</v>
      </c>
      <c r="D67" s="16"/>
      <c r="E67" s="125">
        <v>6.6</v>
      </c>
      <c r="F67" s="14">
        <f>SUM(E67)</f>
        <v>6.6</v>
      </c>
      <c r="G67" s="14">
        <v>42.67</v>
      </c>
      <c r="H67" s="121">
        <f t="shared" si="6"/>
        <v>0.28162200000000004</v>
      </c>
      <c r="I67" s="14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6"/>
      <c r="B68" s="138" t="s">
        <v>137</v>
      </c>
      <c r="C68" s="18" t="s">
        <v>33</v>
      </c>
      <c r="D68" s="16"/>
      <c r="E68" s="125">
        <v>6.6</v>
      </c>
      <c r="F68" s="14">
        <f>SUM(E68)</f>
        <v>6.6</v>
      </c>
      <c r="G68" s="14">
        <v>39.81</v>
      </c>
      <c r="H68" s="121">
        <f t="shared" si="6"/>
        <v>0.26274599999999998</v>
      </c>
      <c r="I68" s="14">
        <v>0</v>
      </c>
    </row>
    <row r="69" spans="1:21" ht="15.75" hidden="1" customHeight="1">
      <c r="A69" s="36"/>
      <c r="B69" s="16" t="s">
        <v>60</v>
      </c>
      <c r="C69" s="18" t="s">
        <v>61</v>
      </c>
      <c r="D69" s="16" t="s">
        <v>55</v>
      </c>
      <c r="E69" s="21">
        <v>3</v>
      </c>
      <c r="F69" s="126">
        <v>3</v>
      </c>
      <c r="G69" s="14">
        <v>46.97</v>
      </c>
      <c r="H69" s="121">
        <f t="shared" si="6"/>
        <v>0.14091000000000001</v>
      </c>
      <c r="I69" s="14">
        <v>0</v>
      </c>
    </row>
    <row r="70" spans="1:21" ht="15.75" hidden="1" customHeight="1">
      <c r="A70" s="36"/>
      <c r="B70" s="101" t="s">
        <v>77</v>
      </c>
      <c r="C70" s="18"/>
      <c r="D70" s="16"/>
      <c r="E70" s="21"/>
      <c r="F70" s="14"/>
      <c r="G70" s="14"/>
      <c r="H70" s="121" t="s">
        <v>145</v>
      </c>
      <c r="I70" s="14"/>
    </row>
    <row r="71" spans="1:21" ht="15.75" hidden="1" customHeight="1">
      <c r="A71" s="36"/>
      <c r="B71" s="16" t="s">
        <v>78</v>
      </c>
      <c r="C71" s="18" t="s">
        <v>80</v>
      </c>
      <c r="D71" s="16"/>
      <c r="E71" s="21">
        <v>3</v>
      </c>
      <c r="F71" s="14">
        <v>0.3</v>
      </c>
      <c r="G71" s="14">
        <v>536.23</v>
      </c>
      <c r="H71" s="121">
        <f t="shared" si="6"/>
        <v>0.16086900000000001</v>
      </c>
      <c r="I71" s="14">
        <v>0</v>
      </c>
    </row>
    <row r="72" spans="1:21" ht="15.75" hidden="1" customHeight="1">
      <c r="A72" s="36"/>
      <c r="B72" s="16" t="s">
        <v>79</v>
      </c>
      <c r="C72" s="18" t="s">
        <v>31</v>
      </c>
      <c r="D72" s="16"/>
      <c r="E72" s="21">
        <v>1</v>
      </c>
      <c r="F72" s="116">
        <v>1</v>
      </c>
      <c r="G72" s="14">
        <v>911.85</v>
      </c>
      <c r="H72" s="121">
        <f>F72*G72/1000</f>
        <v>0.91185000000000005</v>
      </c>
      <c r="I72" s="14">
        <v>0</v>
      </c>
    </row>
    <row r="73" spans="1:21" ht="15.75" hidden="1" customHeight="1">
      <c r="A73" s="36"/>
      <c r="B73" s="16" t="s">
        <v>194</v>
      </c>
      <c r="C73" s="18" t="s">
        <v>31</v>
      </c>
      <c r="D73" s="16"/>
      <c r="E73" s="21">
        <v>1</v>
      </c>
      <c r="F73" s="14">
        <v>1</v>
      </c>
      <c r="G73" s="14">
        <v>383.25</v>
      </c>
      <c r="H73" s="121">
        <f>G73*F73/1000</f>
        <v>0.38324999999999998</v>
      </c>
      <c r="I73" s="14">
        <v>0</v>
      </c>
    </row>
    <row r="74" spans="1:21" ht="15.75" hidden="1" customHeight="1">
      <c r="A74" s="36"/>
      <c r="B74" s="140" t="s">
        <v>81</v>
      </c>
      <c r="C74" s="18"/>
      <c r="D74" s="16"/>
      <c r="E74" s="21"/>
      <c r="F74" s="14"/>
      <c r="G74" s="14" t="s">
        <v>145</v>
      </c>
      <c r="H74" s="121" t="s">
        <v>145</v>
      </c>
      <c r="I74" s="14"/>
    </row>
    <row r="75" spans="1:21" ht="15.75" hidden="1" customHeight="1">
      <c r="A75" s="36"/>
      <c r="B75" s="67" t="s">
        <v>162</v>
      </c>
      <c r="C75" s="18" t="s">
        <v>82</v>
      </c>
      <c r="D75" s="16"/>
      <c r="E75" s="21"/>
      <c r="F75" s="14">
        <v>0.1</v>
      </c>
      <c r="G75" s="14">
        <v>2831.38</v>
      </c>
      <c r="H75" s="121">
        <f t="shared" si="6"/>
        <v>0.28313800000000006</v>
      </c>
      <c r="I75" s="14">
        <v>0</v>
      </c>
    </row>
    <row r="76" spans="1:21" ht="15.75" hidden="1" customHeight="1">
      <c r="A76" s="36"/>
      <c r="B76" s="115" t="s">
        <v>111</v>
      </c>
      <c r="C76" s="115"/>
      <c r="D76" s="115"/>
      <c r="E76" s="146"/>
      <c r="F76" s="147"/>
      <c r="G76" s="129"/>
      <c r="H76" s="141">
        <f>SUM(H58:H75)</f>
        <v>53.41802916999999</v>
      </c>
      <c r="I76" s="129"/>
    </row>
    <row r="77" spans="1:21" ht="15.75" hidden="1" customHeight="1">
      <c r="A77" s="36"/>
      <c r="B77" s="148" t="s">
        <v>138</v>
      </c>
      <c r="C77" s="27"/>
      <c r="D77" s="26"/>
      <c r="E77" s="117"/>
      <c r="F77" s="14">
        <v>1</v>
      </c>
      <c r="G77" s="14">
        <v>5637.8</v>
      </c>
      <c r="H77" s="121">
        <f>G77*F77/1000</f>
        <v>5.6378000000000004</v>
      </c>
      <c r="I77" s="14">
        <v>0</v>
      </c>
    </row>
    <row r="78" spans="1:21" ht="15.75" customHeight="1">
      <c r="A78" s="153" t="s">
        <v>185</v>
      </c>
      <c r="B78" s="154"/>
      <c r="C78" s="154"/>
      <c r="D78" s="154"/>
      <c r="E78" s="154"/>
      <c r="F78" s="154"/>
      <c r="G78" s="154"/>
      <c r="H78" s="154"/>
      <c r="I78" s="155"/>
    </row>
    <row r="79" spans="1:21" ht="15.75" customHeight="1">
      <c r="A79" s="36">
        <v>11</v>
      </c>
      <c r="B79" s="123" t="s">
        <v>139</v>
      </c>
      <c r="C79" s="18" t="s">
        <v>56</v>
      </c>
      <c r="D79" s="142" t="s">
        <v>57</v>
      </c>
      <c r="E79" s="14">
        <v>1536.4</v>
      </c>
      <c r="F79" s="14">
        <f>SUM(E79*12)</f>
        <v>18436.800000000003</v>
      </c>
      <c r="G79" s="14">
        <v>2.2400000000000002</v>
      </c>
      <c r="H79" s="121">
        <f>SUM(F79*G79/1000)</f>
        <v>41.298432000000005</v>
      </c>
      <c r="I79" s="14">
        <f>F79/12*G79</f>
        <v>3441.536000000001</v>
      </c>
    </row>
    <row r="80" spans="1:21" ht="31.5" customHeight="1">
      <c r="A80" s="36">
        <v>12</v>
      </c>
      <c r="B80" s="16" t="s">
        <v>83</v>
      </c>
      <c r="C80" s="18"/>
      <c r="D80" s="142" t="s">
        <v>57</v>
      </c>
      <c r="E80" s="125">
        <f>E79</f>
        <v>1536.4</v>
      </c>
      <c r="F80" s="14">
        <f>E80*12</f>
        <v>18436.800000000003</v>
      </c>
      <c r="G80" s="14">
        <v>1.74</v>
      </c>
      <c r="H80" s="121">
        <f>F80*G80/1000</f>
        <v>32.08003200000001</v>
      </c>
      <c r="I80" s="14">
        <f>F80/12*G80</f>
        <v>2673.3360000000007</v>
      </c>
    </row>
    <row r="81" spans="1:9" ht="15.75" customHeight="1">
      <c r="A81" s="36"/>
      <c r="B81" s="54" t="s">
        <v>87</v>
      </c>
      <c r="C81" s="140"/>
      <c r="D81" s="139"/>
      <c r="E81" s="129"/>
      <c r="F81" s="129"/>
      <c r="G81" s="129"/>
      <c r="H81" s="141">
        <f>H80</f>
        <v>32.08003200000001</v>
      </c>
      <c r="I81" s="129">
        <f>I16+I17+I18+I27+I28+I31+I32+I34+I55+I62+I79+I80</f>
        <v>26496.185098400005</v>
      </c>
    </row>
    <row r="82" spans="1:9" ht="15.75" customHeight="1">
      <c r="A82" s="36"/>
      <c r="B82" s="87" t="s">
        <v>63</v>
      </c>
      <c r="C82" s="18"/>
      <c r="D82" s="67"/>
      <c r="E82" s="14"/>
      <c r="F82" s="14"/>
      <c r="G82" s="14"/>
      <c r="H82" s="14"/>
      <c r="I82" s="14"/>
    </row>
    <row r="83" spans="1:9" ht="15.75" customHeight="1">
      <c r="A83" s="36">
        <v>13</v>
      </c>
      <c r="B83" s="88" t="s">
        <v>164</v>
      </c>
      <c r="C83" s="89" t="s">
        <v>130</v>
      </c>
      <c r="D83" s="67"/>
      <c r="E83" s="14"/>
      <c r="F83" s="14">
        <v>216</v>
      </c>
      <c r="G83" s="14">
        <v>50.68</v>
      </c>
      <c r="H83" s="14">
        <f>G83*F83/1000</f>
        <v>10.946879999999998</v>
      </c>
      <c r="I83" s="14">
        <f>G83*27</f>
        <v>1368.36</v>
      </c>
    </row>
    <row r="84" spans="1:9" ht="31.5" hidden="1" customHeight="1">
      <c r="A84" s="36"/>
      <c r="B84" s="88" t="s">
        <v>196</v>
      </c>
      <c r="C84" s="89" t="s">
        <v>197</v>
      </c>
      <c r="D84" s="67"/>
      <c r="E84" s="14"/>
      <c r="F84" s="14">
        <v>1</v>
      </c>
      <c r="G84" s="14">
        <v>51.39</v>
      </c>
      <c r="H84" s="14">
        <f>G84*F84/1000</f>
        <v>5.1389999999999998E-2</v>
      </c>
      <c r="I84" s="14">
        <v>0</v>
      </c>
    </row>
    <row r="85" spans="1:9" ht="15.75" hidden="1" customHeight="1">
      <c r="A85" s="36"/>
      <c r="B85" s="88" t="s">
        <v>152</v>
      </c>
      <c r="C85" s="89" t="s">
        <v>198</v>
      </c>
      <c r="D85" s="67"/>
      <c r="E85" s="14"/>
      <c r="F85" s="14">
        <v>2</v>
      </c>
      <c r="G85" s="14">
        <v>1501</v>
      </c>
      <c r="H85" s="121">
        <f>G85*F85/1000</f>
        <v>3.0019999999999998</v>
      </c>
      <c r="I85" s="14">
        <v>0</v>
      </c>
    </row>
    <row r="86" spans="1:9" ht="15.75" hidden="1" customHeight="1">
      <c r="A86" s="36"/>
      <c r="B86" s="88" t="s">
        <v>199</v>
      </c>
      <c r="C86" s="89" t="s">
        <v>200</v>
      </c>
      <c r="D86" s="67"/>
      <c r="E86" s="14"/>
      <c r="F86" s="14">
        <v>1</v>
      </c>
      <c r="G86" s="14">
        <v>15786</v>
      </c>
      <c r="H86" s="14">
        <f t="shared" ref="H86:H88" si="7">G86*F86/1000</f>
        <v>15.786</v>
      </c>
      <c r="I86" s="14">
        <v>0</v>
      </c>
    </row>
    <row r="87" spans="1:9" ht="31.5" hidden="1" customHeight="1">
      <c r="A87" s="36"/>
      <c r="B87" s="88" t="s">
        <v>201</v>
      </c>
      <c r="C87" s="89" t="s">
        <v>89</v>
      </c>
      <c r="D87" s="67"/>
      <c r="E87" s="14"/>
      <c r="F87" s="14">
        <v>3</v>
      </c>
      <c r="G87" s="14">
        <v>851.93</v>
      </c>
      <c r="H87" s="14">
        <f t="shared" si="7"/>
        <v>2.55579</v>
      </c>
      <c r="I87" s="14">
        <v>0</v>
      </c>
    </row>
    <row r="88" spans="1:9" ht="31.5" hidden="1" customHeight="1">
      <c r="A88" s="36"/>
      <c r="B88" s="88" t="s">
        <v>215</v>
      </c>
      <c r="C88" s="89" t="s">
        <v>31</v>
      </c>
      <c r="D88" s="67"/>
      <c r="E88" s="14"/>
      <c r="F88" s="14">
        <v>3</v>
      </c>
      <c r="G88" s="14">
        <v>160</v>
      </c>
      <c r="H88" s="121">
        <f t="shared" si="7"/>
        <v>0.48</v>
      </c>
      <c r="I88" s="14">
        <v>0</v>
      </c>
    </row>
    <row r="89" spans="1:9" ht="15.75" hidden="1" customHeight="1">
      <c r="A89" s="36"/>
      <c r="B89" s="88" t="s">
        <v>92</v>
      </c>
      <c r="C89" s="89" t="s">
        <v>130</v>
      </c>
      <c r="D89" s="67"/>
      <c r="E89" s="14"/>
      <c r="F89" s="14">
        <v>4</v>
      </c>
      <c r="G89" s="14">
        <v>180.15</v>
      </c>
      <c r="H89" s="121">
        <f>G89*F89/1000</f>
        <v>0.72060000000000002</v>
      </c>
      <c r="I89" s="14">
        <v>0</v>
      </c>
    </row>
    <row r="90" spans="1:9" ht="31.5" hidden="1" customHeight="1">
      <c r="A90" s="36"/>
      <c r="B90" s="143" t="s">
        <v>202</v>
      </c>
      <c r="C90" s="36" t="s">
        <v>203</v>
      </c>
      <c r="D90" s="67"/>
      <c r="E90" s="14"/>
      <c r="F90" s="14">
        <v>1</v>
      </c>
      <c r="G90" s="14">
        <v>1835.8</v>
      </c>
      <c r="H90" s="121">
        <f>G90*F90/1000</f>
        <v>1.8357999999999999</v>
      </c>
      <c r="I90" s="14">
        <v>0</v>
      </c>
    </row>
    <row r="91" spans="1:9" ht="31.5" hidden="1" customHeight="1">
      <c r="A91" s="36"/>
      <c r="B91" s="88" t="s">
        <v>204</v>
      </c>
      <c r="C91" s="89" t="s">
        <v>89</v>
      </c>
      <c r="D91" s="67"/>
      <c r="E91" s="14"/>
      <c r="F91" s="14">
        <v>2</v>
      </c>
      <c r="G91" s="14">
        <v>1206</v>
      </c>
      <c r="H91" s="121">
        <f t="shared" ref="H91" si="8">G91*F91/1000</f>
        <v>2.4119999999999999</v>
      </c>
      <c r="I91" s="14">
        <v>0</v>
      </c>
    </row>
    <row r="92" spans="1:9" ht="31.5" hidden="1" customHeight="1">
      <c r="A92" s="36"/>
      <c r="B92" s="88" t="s">
        <v>96</v>
      </c>
      <c r="C92" s="89" t="s">
        <v>39</v>
      </c>
      <c r="D92" s="67"/>
      <c r="E92" s="14"/>
      <c r="F92" s="14">
        <v>0.03</v>
      </c>
      <c r="G92" s="14">
        <v>3397.65</v>
      </c>
      <c r="H92" s="121">
        <f>G92*F92/1000</f>
        <v>0.10192950000000001</v>
      </c>
      <c r="I92" s="14">
        <v>0</v>
      </c>
    </row>
    <row r="93" spans="1:9" ht="31.5" hidden="1" customHeight="1">
      <c r="A93" s="36"/>
      <c r="B93" s="88" t="s">
        <v>205</v>
      </c>
      <c r="C93" s="89" t="s">
        <v>29</v>
      </c>
      <c r="D93" s="67"/>
      <c r="E93" s="14"/>
      <c r="F93" s="19">
        <f>3/1000</f>
        <v>3.0000000000000001E-3</v>
      </c>
      <c r="G93" s="14">
        <v>1510.06</v>
      </c>
      <c r="H93" s="19">
        <f t="shared" ref="H93" si="9">G93*F93/1000</f>
        <v>4.53018E-3</v>
      </c>
      <c r="I93" s="14">
        <v>0</v>
      </c>
    </row>
    <row r="94" spans="1:9" ht="15.75" hidden="1" customHeight="1">
      <c r="A94" s="36"/>
      <c r="B94" s="88" t="s">
        <v>206</v>
      </c>
      <c r="C94" s="89" t="s">
        <v>207</v>
      </c>
      <c r="D94" s="67"/>
      <c r="E94" s="14"/>
      <c r="F94" s="14">
        <f>3/100</f>
        <v>0.03</v>
      </c>
      <c r="G94" s="14">
        <v>7033.13</v>
      </c>
      <c r="H94" s="121">
        <f>G94*F94/1000</f>
        <v>0.21099389999999998</v>
      </c>
      <c r="I94" s="14">
        <v>0</v>
      </c>
    </row>
    <row r="95" spans="1:9" ht="15.75" hidden="1" customHeight="1">
      <c r="A95" s="36"/>
      <c r="B95" s="88" t="s">
        <v>208</v>
      </c>
      <c r="C95" s="89" t="s">
        <v>130</v>
      </c>
      <c r="D95" s="67"/>
      <c r="E95" s="14"/>
      <c r="F95" s="14">
        <v>1</v>
      </c>
      <c r="G95" s="14">
        <v>124.25</v>
      </c>
      <c r="H95" s="121">
        <f t="shared" ref="H95:H99" si="10">G95*F95/1000</f>
        <v>0.12425</v>
      </c>
      <c r="I95" s="14">
        <v>0</v>
      </c>
    </row>
    <row r="96" spans="1:9" ht="15.75" hidden="1" customHeight="1">
      <c r="A96" s="36"/>
      <c r="B96" s="88" t="s">
        <v>209</v>
      </c>
      <c r="C96" s="89" t="s">
        <v>210</v>
      </c>
      <c r="D96" s="67"/>
      <c r="E96" s="14"/>
      <c r="F96" s="14">
        <v>2</v>
      </c>
      <c r="G96" s="14">
        <v>83.63</v>
      </c>
      <c r="H96" s="121">
        <f t="shared" si="10"/>
        <v>0.16725999999999999</v>
      </c>
      <c r="I96" s="14">
        <v>0</v>
      </c>
    </row>
    <row r="97" spans="1:9" ht="31.5" hidden="1" customHeight="1">
      <c r="A97" s="36"/>
      <c r="B97" s="88" t="s">
        <v>86</v>
      </c>
      <c r="C97" s="89" t="s">
        <v>130</v>
      </c>
      <c r="D97" s="67"/>
      <c r="E97" s="14"/>
      <c r="F97" s="14">
        <v>1</v>
      </c>
      <c r="G97" s="14">
        <v>79.09</v>
      </c>
      <c r="H97" s="121">
        <f t="shared" si="10"/>
        <v>7.9090000000000008E-2</v>
      </c>
      <c r="I97" s="14">
        <v>0</v>
      </c>
    </row>
    <row r="98" spans="1:9" ht="15.75" hidden="1" customHeight="1">
      <c r="A98" s="36"/>
      <c r="B98" s="88" t="s">
        <v>211</v>
      </c>
      <c r="C98" s="89" t="s">
        <v>130</v>
      </c>
      <c r="D98" s="67"/>
      <c r="E98" s="14"/>
      <c r="F98" s="14">
        <v>1</v>
      </c>
      <c r="G98" s="14">
        <v>5692.42</v>
      </c>
      <c r="H98" s="121">
        <f t="shared" si="10"/>
        <v>5.6924200000000003</v>
      </c>
      <c r="I98" s="14">
        <v>0</v>
      </c>
    </row>
    <row r="99" spans="1:9" ht="15.75" hidden="1" customHeight="1">
      <c r="A99" s="36"/>
      <c r="B99" s="88" t="s">
        <v>212</v>
      </c>
      <c r="C99" s="89" t="s">
        <v>213</v>
      </c>
      <c r="D99" s="67"/>
      <c r="E99" s="14"/>
      <c r="F99" s="14">
        <v>1</v>
      </c>
      <c r="G99" s="14">
        <v>2426</v>
      </c>
      <c r="H99" s="121">
        <f t="shared" si="10"/>
        <v>2.4260000000000002</v>
      </c>
      <c r="I99" s="14">
        <v>0</v>
      </c>
    </row>
    <row r="100" spans="1:9" ht="15.75" hidden="1" customHeight="1">
      <c r="A100" s="36"/>
      <c r="B100" s="88" t="s">
        <v>214</v>
      </c>
      <c r="C100" s="89" t="s">
        <v>98</v>
      </c>
      <c r="D100" s="67"/>
      <c r="E100" s="14"/>
      <c r="F100" s="14">
        <v>1</v>
      </c>
      <c r="G100" s="14">
        <v>185.81</v>
      </c>
      <c r="H100" s="121">
        <f>G100*F100/1000</f>
        <v>0.18581</v>
      </c>
      <c r="I100" s="14">
        <v>0</v>
      </c>
    </row>
    <row r="101" spans="1:9" ht="15.75" hidden="1" customHeight="1">
      <c r="A101" s="36"/>
      <c r="B101" s="122" t="s">
        <v>99</v>
      </c>
      <c r="C101" s="89" t="s">
        <v>130</v>
      </c>
      <c r="D101" s="67"/>
      <c r="E101" s="14"/>
      <c r="F101" s="14">
        <v>1</v>
      </c>
      <c r="G101" s="14">
        <v>179.96</v>
      </c>
      <c r="H101" s="121">
        <f t="shared" ref="H101" si="11">G101*F101/1000</f>
        <v>0.17996000000000001</v>
      </c>
      <c r="I101" s="14">
        <v>0</v>
      </c>
    </row>
    <row r="102" spans="1:9">
      <c r="A102" s="36"/>
      <c r="B102" s="61" t="s">
        <v>52</v>
      </c>
      <c r="C102" s="57"/>
      <c r="D102" s="71"/>
      <c r="E102" s="57">
        <v>1</v>
      </c>
      <c r="F102" s="57"/>
      <c r="G102" s="57"/>
      <c r="H102" s="57"/>
      <c r="I102" s="39">
        <f>SUM(I83:I101)</f>
        <v>1368.36</v>
      </c>
    </row>
    <row r="103" spans="1:9" ht="15.75" customHeight="1">
      <c r="A103" s="36"/>
      <c r="B103" s="67" t="s">
        <v>84</v>
      </c>
      <c r="C103" s="17"/>
      <c r="D103" s="17"/>
      <c r="E103" s="58"/>
      <c r="F103" s="58"/>
      <c r="G103" s="59"/>
      <c r="H103" s="59"/>
      <c r="I103" s="20">
        <v>0</v>
      </c>
    </row>
    <row r="104" spans="1:9">
      <c r="A104" s="72"/>
      <c r="B104" s="62" t="s">
        <v>53</v>
      </c>
      <c r="C104" s="45"/>
      <c r="D104" s="45"/>
      <c r="E104" s="45"/>
      <c r="F104" s="45"/>
      <c r="G104" s="45"/>
      <c r="H104" s="45"/>
      <c r="I104" s="60">
        <f>I81+I102</f>
        <v>27864.545098400005</v>
      </c>
    </row>
    <row r="105" spans="1:9" ht="15.75">
      <c r="A105" s="164" t="s">
        <v>240</v>
      </c>
      <c r="B105" s="164"/>
      <c r="C105" s="164"/>
      <c r="D105" s="164"/>
      <c r="E105" s="164"/>
      <c r="F105" s="164"/>
      <c r="G105" s="164"/>
      <c r="H105" s="164"/>
      <c r="I105" s="164"/>
    </row>
    <row r="106" spans="1:9" ht="15.75" customHeight="1">
      <c r="A106" s="107"/>
      <c r="B106" s="165" t="s">
        <v>248</v>
      </c>
      <c r="C106" s="165"/>
      <c r="D106" s="165"/>
      <c r="E106" s="165"/>
      <c r="F106" s="165"/>
      <c r="G106" s="165"/>
      <c r="H106" s="120"/>
      <c r="I106" s="3"/>
    </row>
    <row r="107" spans="1:9">
      <c r="A107" s="106"/>
      <c r="B107" s="161" t="s">
        <v>6</v>
      </c>
      <c r="C107" s="161"/>
      <c r="D107" s="161"/>
      <c r="E107" s="161"/>
      <c r="F107" s="161"/>
      <c r="G107" s="161"/>
      <c r="H107" s="31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66" t="s">
        <v>7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15.75" customHeight="1">
      <c r="A110" s="166" t="s">
        <v>8</v>
      </c>
      <c r="B110" s="166"/>
      <c r="C110" s="166"/>
      <c r="D110" s="166"/>
      <c r="E110" s="166"/>
      <c r="F110" s="166"/>
      <c r="G110" s="166"/>
      <c r="H110" s="166"/>
      <c r="I110" s="166"/>
    </row>
    <row r="111" spans="1:9" ht="15.75">
      <c r="A111" s="158" t="s">
        <v>64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15.75">
      <c r="A112" s="11"/>
    </row>
    <row r="113" spans="1:9" ht="15.75">
      <c r="A113" s="159" t="s">
        <v>9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.75">
      <c r="A114" s="4"/>
    </row>
    <row r="115" spans="1:9" ht="15.75">
      <c r="B115" s="103" t="s">
        <v>10</v>
      </c>
      <c r="C115" s="160" t="s">
        <v>179</v>
      </c>
      <c r="D115" s="160"/>
      <c r="E115" s="160"/>
      <c r="F115" s="118"/>
      <c r="I115" s="105"/>
    </row>
    <row r="116" spans="1:9">
      <c r="A116" s="106"/>
      <c r="C116" s="161" t="s">
        <v>11</v>
      </c>
      <c r="D116" s="161"/>
      <c r="E116" s="161"/>
      <c r="F116" s="31"/>
      <c r="I116" s="104" t="s">
        <v>12</v>
      </c>
    </row>
    <row r="117" spans="1:9" ht="15.75">
      <c r="A117" s="32"/>
      <c r="C117" s="12"/>
      <c r="D117" s="12"/>
      <c r="G117" s="12"/>
      <c r="H117" s="12"/>
    </row>
    <row r="118" spans="1:9" ht="15.75" customHeight="1">
      <c r="B118" s="103" t="s">
        <v>13</v>
      </c>
      <c r="C118" s="162"/>
      <c r="D118" s="162"/>
      <c r="E118" s="162"/>
      <c r="F118" s="119"/>
      <c r="I118" s="105"/>
    </row>
    <row r="119" spans="1:9" ht="15.75" customHeight="1">
      <c r="A119" s="106"/>
      <c r="C119" s="163" t="s">
        <v>11</v>
      </c>
      <c r="D119" s="163"/>
      <c r="E119" s="163"/>
      <c r="F119" s="106"/>
      <c r="I119" s="104" t="s">
        <v>12</v>
      </c>
    </row>
    <row r="120" spans="1:9" ht="15.75" customHeight="1">
      <c r="A120" s="4" t="s">
        <v>14</v>
      </c>
    </row>
    <row r="121" spans="1:9">
      <c r="A121" s="156" t="s">
        <v>15</v>
      </c>
      <c r="B121" s="156"/>
      <c r="C121" s="156"/>
      <c r="D121" s="156"/>
      <c r="E121" s="156"/>
      <c r="F121" s="156"/>
      <c r="G121" s="156"/>
      <c r="H121" s="156"/>
      <c r="I121" s="156"/>
    </row>
    <row r="122" spans="1:9" ht="45" customHeight="1">
      <c r="A122" s="157" t="s">
        <v>16</v>
      </c>
      <c r="B122" s="157"/>
      <c r="C122" s="157"/>
      <c r="D122" s="157"/>
      <c r="E122" s="157"/>
      <c r="F122" s="157"/>
      <c r="G122" s="157"/>
      <c r="H122" s="157"/>
      <c r="I122" s="157"/>
    </row>
    <row r="123" spans="1:9" ht="30" customHeight="1">
      <c r="A123" s="157" t="s">
        <v>17</v>
      </c>
      <c r="B123" s="157"/>
      <c r="C123" s="157"/>
      <c r="D123" s="157"/>
      <c r="E123" s="157"/>
      <c r="F123" s="157"/>
      <c r="G123" s="157"/>
      <c r="H123" s="157"/>
      <c r="I123" s="157"/>
    </row>
    <row r="124" spans="1:9" ht="30" customHeight="1">
      <c r="A124" s="157" t="s">
        <v>21</v>
      </c>
      <c r="B124" s="157"/>
      <c r="C124" s="157"/>
      <c r="D124" s="157"/>
      <c r="E124" s="157"/>
      <c r="F124" s="157"/>
      <c r="G124" s="157"/>
      <c r="H124" s="157"/>
      <c r="I124" s="157"/>
    </row>
    <row r="125" spans="1:9" ht="15" customHeight="1">
      <c r="A125" s="157" t="s">
        <v>20</v>
      </c>
      <c r="B125" s="157"/>
      <c r="C125" s="157"/>
      <c r="D125" s="157"/>
      <c r="E125" s="157"/>
      <c r="F125" s="157"/>
      <c r="G125" s="157"/>
      <c r="H125" s="157"/>
      <c r="I125" s="157"/>
    </row>
  </sheetData>
  <autoFilter ref="I12:I61"/>
  <mergeCells count="28">
    <mergeCell ref="R66:U66"/>
    <mergeCell ref="A78:I78"/>
    <mergeCell ref="A3:I3"/>
    <mergeCell ref="A4:I4"/>
    <mergeCell ref="A5:I5"/>
    <mergeCell ref="A8:I8"/>
    <mergeCell ref="A10:I10"/>
    <mergeCell ref="A14:I14"/>
    <mergeCell ref="A111:I111"/>
    <mergeCell ref="A15:I15"/>
    <mergeCell ref="A29:I29"/>
    <mergeCell ref="A45:I45"/>
    <mergeCell ref="A56:I56"/>
    <mergeCell ref="A105:I105"/>
    <mergeCell ref="B106:G106"/>
    <mergeCell ref="B107:G107"/>
    <mergeCell ref="A109:I109"/>
    <mergeCell ref="A110:I110"/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4" t="s">
        <v>101</v>
      </c>
      <c r="I1" s="33"/>
      <c r="J1" s="1"/>
      <c r="K1" s="1"/>
      <c r="L1" s="1"/>
      <c r="M1" s="1"/>
    </row>
    <row r="2" spans="1:13" ht="15.75">
      <c r="A2" s="35" t="s">
        <v>67</v>
      </c>
      <c r="J2" s="2"/>
      <c r="K2" s="2"/>
      <c r="L2" s="2"/>
      <c r="M2" s="2"/>
    </row>
    <row r="3" spans="1:13" ht="15.75" customHeight="1">
      <c r="A3" s="168" t="s">
        <v>241</v>
      </c>
      <c r="B3" s="168"/>
      <c r="C3" s="168"/>
      <c r="D3" s="168"/>
      <c r="E3" s="168"/>
      <c r="F3" s="168"/>
      <c r="G3" s="168"/>
      <c r="H3" s="168"/>
      <c r="I3" s="168"/>
      <c r="J3" s="3"/>
      <c r="K3" s="3"/>
      <c r="L3" s="3"/>
    </row>
    <row r="4" spans="1:13" ht="31.5" customHeight="1">
      <c r="A4" s="169" t="s">
        <v>167</v>
      </c>
      <c r="B4" s="169"/>
      <c r="C4" s="169"/>
      <c r="D4" s="169"/>
      <c r="E4" s="169"/>
      <c r="F4" s="169"/>
      <c r="G4" s="169"/>
      <c r="H4" s="169"/>
      <c r="I4" s="169"/>
    </row>
    <row r="5" spans="1:13" ht="15.75">
      <c r="A5" s="168" t="s">
        <v>95</v>
      </c>
      <c r="B5" s="170"/>
      <c r="C5" s="170"/>
      <c r="D5" s="170"/>
      <c r="E5" s="170"/>
      <c r="F5" s="170"/>
      <c r="G5" s="170"/>
      <c r="H5" s="170"/>
      <c r="I5" s="170"/>
      <c r="J5" s="2"/>
      <c r="K5" s="2"/>
      <c r="L5" s="2"/>
      <c r="M5" s="2"/>
    </row>
    <row r="6" spans="1:13" ht="15.75">
      <c r="A6" s="2"/>
      <c r="B6" s="102"/>
      <c r="C6" s="102"/>
      <c r="D6" s="102"/>
      <c r="E6" s="102"/>
      <c r="F6" s="102"/>
      <c r="G6" s="102"/>
      <c r="H6" s="102"/>
      <c r="I6" s="149">
        <v>42643</v>
      </c>
      <c r="J6" s="2"/>
      <c r="K6" s="2"/>
      <c r="L6" s="2"/>
      <c r="M6" s="2"/>
    </row>
    <row r="7" spans="1:13" ht="15.75">
      <c r="B7" s="103"/>
      <c r="C7" s="103"/>
      <c r="D7" s="10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71" t="s">
        <v>181</v>
      </c>
      <c r="B8" s="171"/>
      <c r="C8" s="171"/>
      <c r="D8" s="171"/>
      <c r="E8" s="171"/>
      <c r="F8" s="171"/>
      <c r="G8" s="171"/>
      <c r="H8" s="171"/>
      <c r="I8" s="17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72" t="s">
        <v>182</v>
      </c>
      <c r="B10" s="172"/>
      <c r="C10" s="172"/>
      <c r="D10" s="172"/>
      <c r="E10" s="172"/>
      <c r="F10" s="172"/>
      <c r="G10" s="172"/>
      <c r="H10" s="172"/>
      <c r="I10" s="172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73" t="s">
        <v>62</v>
      </c>
      <c r="B14" s="173"/>
      <c r="C14" s="173"/>
      <c r="D14" s="173"/>
      <c r="E14" s="173"/>
      <c r="F14" s="173"/>
      <c r="G14" s="173"/>
      <c r="H14" s="173"/>
      <c r="I14" s="173"/>
      <c r="J14" s="8"/>
      <c r="K14" s="8"/>
      <c r="L14" s="8"/>
      <c r="M14" s="8"/>
    </row>
    <row r="15" spans="1:13" ht="15" customHeight="1">
      <c r="A15" s="167" t="s">
        <v>4</v>
      </c>
      <c r="B15" s="167"/>
      <c r="C15" s="167"/>
      <c r="D15" s="167"/>
      <c r="E15" s="167"/>
      <c r="F15" s="167"/>
      <c r="G15" s="167"/>
      <c r="H15" s="167"/>
      <c r="I15" s="167"/>
      <c r="J15" s="8"/>
      <c r="K15" s="8"/>
      <c r="L15" s="8"/>
      <c r="M15" s="8"/>
    </row>
    <row r="16" spans="1:13" ht="31.5" customHeight="1">
      <c r="A16" s="36">
        <v>1</v>
      </c>
      <c r="B16" s="123" t="s">
        <v>104</v>
      </c>
      <c r="C16" s="124" t="s">
        <v>105</v>
      </c>
      <c r="D16" s="123" t="s">
        <v>188</v>
      </c>
      <c r="E16" s="125">
        <v>54.9</v>
      </c>
      <c r="F16" s="126">
        <f>SUM(E16*156/100)</f>
        <v>85.643999999999991</v>
      </c>
      <c r="G16" s="126">
        <v>218.21</v>
      </c>
      <c r="H16" s="127">
        <f t="shared" ref="H16:H26" si="0">SUM(F16*G16/1000)</f>
        <v>18.688377239999998</v>
      </c>
      <c r="I16" s="14">
        <f>F16/12*G16</f>
        <v>1557.3647699999999</v>
      </c>
      <c r="J16" s="28"/>
      <c r="K16" s="8"/>
      <c r="L16" s="8"/>
      <c r="M16" s="8"/>
    </row>
    <row r="17" spans="1:13" ht="31.5" customHeight="1">
      <c r="A17" s="36">
        <v>2</v>
      </c>
      <c r="B17" s="123" t="s">
        <v>142</v>
      </c>
      <c r="C17" s="124" t="s">
        <v>105</v>
      </c>
      <c r="D17" s="123" t="s">
        <v>189</v>
      </c>
      <c r="E17" s="125">
        <v>109.8</v>
      </c>
      <c r="F17" s="126">
        <f>SUM(E17*104/100)</f>
        <v>114.19199999999999</v>
      </c>
      <c r="G17" s="126">
        <v>218.21</v>
      </c>
      <c r="H17" s="127">
        <f t="shared" si="0"/>
        <v>24.917836319999999</v>
      </c>
      <c r="I17" s="14">
        <f>F17/12*G17</f>
        <v>2076.4863599999999</v>
      </c>
      <c r="J17" s="29"/>
      <c r="K17" s="8"/>
      <c r="L17" s="8"/>
      <c r="M17" s="8"/>
    </row>
    <row r="18" spans="1:13" ht="31.5" customHeight="1">
      <c r="A18" s="36">
        <v>3</v>
      </c>
      <c r="B18" s="123" t="s">
        <v>143</v>
      </c>
      <c r="C18" s="124" t="s">
        <v>105</v>
      </c>
      <c r="D18" s="123" t="s">
        <v>216</v>
      </c>
      <c r="E18" s="125">
        <f>SUM(E16+E17)</f>
        <v>164.7</v>
      </c>
      <c r="F18" s="126">
        <f>SUM(E18*24/100)</f>
        <v>39.527999999999999</v>
      </c>
      <c r="G18" s="126">
        <v>627.77</v>
      </c>
      <c r="H18" s="127">
        <f t="shared" si="0"/>
        <v>24.814492559999998</v>
      </c>
      <c r="I18" s="14">
        <f>F18/12*G18</f>
        <v>2067.8743799999997</v>
      </c>
      <c r="J18" s="29"/>
      <c r="K18" s="8"/>
      <c r="L18" s="8"/>
      <c r="M18" s="8"/>
    </row>
    <row r="19" spans="1:13" ht="15.75" hidden="1" customHeight="1">
      <c r="A19" s="36"/>
      <c r="B19" s="123" t="s">
        <v>112</v>
      </c>
      <c r="C19" s="124" t="s">
        <v>113</v>
      </c>
      <c r="D19" s="123" t="s">
        <v>114</v>
      </c>
      <c r="E19" s="125">
        <v>21.6</v>
      </c>
      <c r="F19" s="126">
        <f>SUM(E19/10)</f>
        <v>2.16</v>
      </c>
      <c r="G19" s="126">
        <v>211.74</v>
      </c>
      <c r="H19" s="127">
        <f t="shared" si="0"/>
        <v>0.45735840000000005</v>
      </c>
      <c r="I19" s="14">
        <v>0</v>
      </c>
      <c r="J19" s="29"/>
      <c r="K19" s="8"/>
      <c r="L19" s="8"/>
      <c r="M19" s="8"/>
    </row>
    <row r="20" spans="1:13" ht="15.75" customHeight="1">
      <c r="A20" s="36">
        <v>4</v>
      </c>
      <c r="B20" s="123" t="s">
        <v>115</v>
      </c>
      <c r="C20" s="124" t="s">
        <v>105</v>
      </c>
      <c r="D20" s="123" t="s">
        <v>43</v>
      </c>
      <c r="E20" s="125">
        <v>9.18</v>
      </c>
      <c r="F20" s="126">
        <f>SUM(E20*2/100)</f>
        <v>0.18359999999999999</v>
      </c>
      <c r="G20" s="126">
        <v>271.12</v>
      </c>
      <c r="H20" s="127">
        <f t="shared" si="0"/>
        <v>4.9777631999999995E-2</v>
      </c>
      <c r="I20" s="14">
        <f>F20/2*G20</f>
        <v>24.888815999999998</v>
      </c>
      <c r="J20" s="29"/>
      <c r="K20" s="8"/>
      <c r="L20" s="8"/>
      <c r="M20" s="8"/>
    </row>
    <row r="21" spans="1:13" ht="15.75" customHeight="1">
      <c r="A21" s="36">
        <v>5</v>
      </c>
      <c r="B21" s="123" t="s">
        <v>116</v>
      </c>
      <c r="C21" s="124" t="s">
        <v>105</v>
      </c>
      <c r="D21" s="123" t="s">
        <v>43</v>
      </c>
      <c r="E21" s="125">
        <v>8.1</v>
      </c>
      <c r="F21" s="126">
        <f>SUM(E21*2/100)</f>
        <v>0.16200000000000001</v>
      </c>
      <c r="G21" s="126">
        <v>268.92</v>
      </c>
      <c r="H21" s="127">
        <f t="shared" si="0"/>
        <v>4.3565040000000006E-2</v>
      </c>
      <c r="I21" s="14">
        <f>F21/2*G21</f>
        <v>21.782520000000002</v>
      </c>
      <c r="J21" s="29"/>
      <c r="K21" s="8"/>
      <c r="L21" s="8"/>
      <c r="M21" s="8"/>
    </row>
    <row r="22" spans="1:13" ht="15.75" hidden="1" customHeight="1">
      <c r="A22" s="36"/>
      <c r="B22" s="123" t="s">
        <v>117</v>
      </c>
      <c r="C22" s="124" t="s">
        <v>54</v>
      </c>
      <c r="D22" s="123" t="s">
        <v>114</v>
      </c>
      <c r="E22" s="125">
        <v>220.32</v>
      </c>
      <c r="F22" s="126">
        <f>SUM(E22/100)</f>
        <v>2.2031999999999998</v>
      </c>
      <c r="G22" s="126">
        <v>335.05</v>
      </c>
      <c r="H22" s="127">
        <f t="shared" si="0"/>
        <v>0.73818215999999992</v>
      </c>
      <c r="I22" s="14">
        <v>0</v>
      </c>
      <c r="J22" s="29"/>
      <c r="K22" s="8"/>
      <c r="L22" s="8"/>
      <c r="M22" s="8"/>
    </row>
    <row r="23" spans="1:13" ht="15.75" hidden="1" customHeight="1">
      <c r="A23" s="36"/>
      <c r="B23" s="123" t="s">
        <v>118</v>
      </c>
      <c r="C23" s="124" t="s">
        <v>54</v>
      </c>
      <c r="D23" s="123" t="s">
        <v>114</v>
      </c>
      <c r="E23" s="128">
        <v>17.64</v>
      </c>
      <c r="F23" s="126">
        <f>SUM(E23/100)</f>
        <v>0.1764</v>
      </c>
      <c r="G23" s="126">
        <v>55.1</v>
      </c>
      <c r="H23" s="127">
        <f t="shared" si="0"/>
        <v>9.7196399999999999E-3</v>
      </c>
      <c r="I23" s="14">
        <v>0</v>
      </c>
      <c r="J23" s="29"/>
      <c r="K23" s="8"/>
      <c r="L23" s="8"/>
      <c r="M23" s="8"/>
    </row>
    <row r="24" spans="1:13" ht="15.75" hidden="1" customHeight="1">
      <c r="A24" s="36"/>
      <c r="B24" s="123" t="s">
        <v>119</v>
      </c>
      <c r="C24" s="124" t="s">
        <v>54</v>
      </c>
      <c r="D24" s="123" t="s">
        <v>120</v>
      </c>
      <c r="E24" s="125">
        <v>7.2</v>
      </c>
      <c r="F24" s="126">
        <f>E24/100</f>
        <v>7.2000000000000008E-2</v>
      </c>
      <c r="G24" s="126">
        <v>484.94</v>
      </c>
      <c r="H24" s="127">
        <f t="shared" si="0"/>
        <v>3.4915680000000004E-2</v>
      </c>
      <c r="I24" s="14">
        <v>0</v>
      </c>
      <c r="J24" s="29"/>
      <c r="K24" s="8"/>
      <c r="L24" s="8"/>
      <c r="M24" s="8"/>
    </row>
    <row r="25" spans="1:13" ht="15.75" hidden="1" customHeight="1">
      <c r="A25" s="36"/>
      <c r="B25" s="123" t="s">
        <v>121</v>
      </c>
      <c r="C25" s="124" t="s">
        <v>54</v>
      </c>
      <c r="D25" s="123" t="s">
        <v>55</v>
      </c>
      <c r="E25" s="125">
        <v>9.4499999999999993</v>
      </c>
      <c r="F25" s="126">
        <f>E25/100</f>
        <v>9.4499999999999987E-2</v>
      </c>
      <c r="G25" s="126">
        <v>268.92</v>
      </c>
      <c r="H25" s="127">
        <f t="shared" si="0"/>
        <v>2.5412939999999998E-2</v>
      </c>
      <c r="I25" s="14">
        <v>0</v>
      </c>
      <c r="J25" s="29"/>
      <c r="K25" s="8"/>
      <c r="L25" s="8"/>
      <c r="M25" s="8"/>
    </row>
    <row r="26" spans="1:13" ht="15.75" hidden="1" customHeight="1">
      <c r="A26" s="36"/>
      <c r="B26" s="123" t="s">
        <v>122</v>
      </c>
      <c r="C26" s="124" t="s">
        <v>54</v>
      </c>
      <c r="D26" s="123" t="s">
        <v>114</v>
      </c>
      <c r="E26" s="125">
        <v>10.8</v>
      </c>
      <c r="F26" s="126">
        <f>SUM(E26/100)</f>
        <v>0.10800000000000001</v>
      </c>
      <c r="G26" s="126">
        <v>684.05</v>
      </c>
      <c r="H26" s="127">
        <f t="shared" si="0"/>
        <v>7.387740000000001E-2</v>
      </c>
      <c r="I26" s="14">
        <v>0</v>
      </c>
      <c r="J26" s="29"/>
      <c r="K26" s="8"/>
      <c r="L26" s="8"/>
      <c r="M26" s="8"/>
    </row>
    <row r="27" spans="1:13" ht="15.75" customHeight="1">
      <c r="A27" s="36">
        <v>6</v>
      </c>
      <c r="B27" s="123" t="s">
        <v>69</v>
      </c>
      <c r="C27" s="124" t="s">
        <v>33</v>
      </c>
      <c r="D27" s="123" t="s">
        <v>144</v>
      </c>
      <c r="E27" s="125">
        <v>0.1</v>
      </c>
      <c r="F27" s="126">
        <f>SUM(E27*365)</f>
        <v>36.5</v>
      </c>
      <c r="G27" s="126">
        <v>182.96</v>
      </c>
      <c r="H27" s="127">
        <f>SUM(F27*G27/1000)</f>
        <v>6.6780400000000002</v>
      </c>
      <c r="I27" s="14">
        <f>F27/12*G27</f>
        <v>556.50333333333333</v>
      </c>
      <c r="J27" s="29"/>
      <c r="K27" s="8"/>
    </row>
    <row r="28" spans="1:13" ht="15.75" customHeight="1">
      <c r="A28" s="36">
        <v>7</v>
      </c>
      <c r="B28" s="131" t="s">
        <v>23</v>
      </c>
      <c r="C28" s="124" t="s">
        <v>24</v>
      </c>
      <c r="D28" s="131" t="s">
        <v>145</v>
      </c>
      <c r="E28" s="125">
        <v>1536.4</v>
      </c>
      <c r="F28" s="126">
        <f>SUM(E28*12)</f>
        <v>18436.800000000003</v>
      </c>
      <c r="G28" s="126">
        <v>4.5599999999999996</v>
      </c>
      <c r="H28" s="127">
        <f>SUM(F28*G28/1000)</f>
        <v>84.071808000000004</v>
      </c>
      <c r="I28" s="14">
        <f>F28/12*G28</f>
        <v>7005.9840000000013</v>
      </c>
      <c r="J28" s="30"/>
    </row>
    <row r="29" spans="1:13" ht="15.75" customHeight="1">
      <c r="A29" s="153" t="s">
        <v>100</v>
      </c>
      <c r="B29" s="154"/>
      <c r="C29" s="154"/>
      <c r="D29" s="154"/>
      <c r="E29" s="154"/>
      <c r="F29" s="154"/>
      <c r="G29" s="154"/>
      <c r="H29" s="154"/>
      <c r="I29" s="155"/>
      <c r="J29" s="30"/>
    </row>
    <row r="30" spans="1:13" ht="15.75" customHeight="1">
      <c r="A30" s="36"/>
      <c r="B30" s="144" t="s">
        <v>28</v>
      </c>
      <c r="C30" s="124"/>
      <c r="D30" s="123"/>
      <c r="E30" s="125"/>
      <c r="F30" s="126"/>
      <c r="G30" s="126"/>
      <c r="H30" s="127"/>
      <c r="I30" s="14"/>
      <c r="J30" s="30"/>
    </row>
    <row r="31" spans="1:13" ht="31.5" customHeight="1">
      <c r="A31" s="36">
        <v>8</v>
      </c>
      <c r="B31" s="123" t="s">
        <v>128</v>
      </c>
      <c r="C31" s="124" t="s">
        <v>108</v>
      </c>
      <c r="D31" s="123" t="s">
        <v>123</v>
      </c>
      <c r="E31" s="126">
        <v>61.5</v>
      </c>
      <c r="F31" s="126">
        <f>SUM(E31*52/1000)</f>
        <v>3.198</v>
      </c>
      <c r="G31" s="126">
        <v>193.97</v>
      </c>
      <c r="H31" s="127">
        <f t="shared" ref="H31:H36" si="1">SUM(F31*G31/1000)</f>
        <v>0.62031605999999995</v>
      </c>
      <c r="I31" s="14">
        <f t="shared" ref="I31:I32" si="2">F31/6*G31</f>
        <v>103.38601</v>
      </c>
      <c r="J31" s="29"/>
      <c r="K31" s="8"/>
      <c r="L31" s="8"/>
      <c r="M31" s="8"/>
    </row>
    <row r="32" spans="1:13" ht="31.5" customHeight="1">
      <c r="A32" s="36">
        <v>9</v>
      </c>
      <c r="B32" s="123" t="s">
        <v>127</v>
      </c>
      <c r="C32" s="124" t="s">
        <v>108</v>
      </c>
      <c r="D32" s="123" t="s">
        <v>124</v>
      </c>
      <c r="E32" s="126">
        <v>35.299999999999997</v>
      </c>
      <c r="F32" s="126">
        <f>SUM(E32*78/1000)</f>
        <v>2.7533999999999996</v>
      </c>
      <c r="G32" s="126">
        <v>321.82</v>
      </c>
      <c r="H32" s="127">
        <f t="shared" si="1"/>
        <v>0.88609918799999987</v>
      </c>
      <c r="I32" s="14">
        <f t="shared" si="2"/>
        <v>147.68319799999998</v>
      </c>
      <c r="J32" s="29"/>
      <c r="K32" s="8"/>
      <c r="L32" s="8"/>
      <c r="M32" s="8"/>
    </row>
    <row r="33" spans="1:14" ht="15.75" hidden="1" customHeight="1">
      <c r="A33" s="36"/>
      <c r="B33" s="123" t="s">
        <v>27</v>
      </c>
      <c r="C33" s="124" t="s">
        <v>108</v>
      </c>
      <c r="D33" s="123" t="s">
        <v>55</v>
      </c>
      <c r="E33" s="126">
        <v>61.5</v>
      </c>
      <c r="F33" s="126">
        <f>SUM(E33/1000)</f>
        <v>6.1499999999999999E-2</v>
      </c>
      <c r="G33" s="126">
        <v>3758.28</v>
      </c>
      <c r="H33" s="127">
        <f t="shared" si="1"/>
        <v>0.23113422</v>
      </c>
      <c r="I33" s="14">
        <f>F33*G33</f>
        <v>231.13422</v>
      </c>
      <c r="J33" s="29"/>
      <c r="K33" s="8"/>
      <c r="L33" s="8"/>
      <c r="M33" s="8"/>
    </row>
    <row r="34" spans="1:14" ht="15.75" customHeight="1">
      <c r="A34" s="36">
        <v>10</v>
      </c>
      <c r="B34" s="123" t="s">
        <v>126</v>
      </c>
      <c r="C34" s="124" t="s">
        <v>31</v>
      </c>
      <c r="D34" s="123" t="s">
        <v>68</v>
      </c>
      <c r="E34" s="130">
        <f>1/3</f>
        <v>0.33333333333333331</v>
      </c>
      <c r="F34" s="126">
        <f>155/3</f>
        <v>51.666666666666664</v>
      </c>
      <c r="G34" s="126">
        <v>70.540000000000006</v>
      </c>
      <c r="H34" s="127">
        <f t="shared" si="1"/>
        <v>3.6445666666666665</v>
      </c>
      <c r="I34" s="14">
        <f>F34/6*G34</f>
        <v>607.42777777777781</v>
      </c>
      <c r="J34" s="29"/>
      <c r="K34" s="8"/>
      <c r="L34" s="8"/>
      <c r="M34" s="8"/>
    </row>
    <row r="35" spans="1:14" ht="15.75" hidden="1" customHeight="1">
      <c r="A35" s="36"/>
      <c r="B35" s="123" t="s">
        <v>70</v>
      </c>
      <c r="C35" s="124" t="s">
        <v>33</v>
      </c>
      <c r="D35" s="123" t="s">
        <v>72</v>
      </c>
      <c r="E35" s="125"/>
      <c r="F35" s="126">
        <v>1</v>
      </c>
      <c r="G35" s="126">
        <v>238.07</v>
      </c>
      <c r="H35" s="127">
        <f t="shared" si="1"/>
        <v>0.23807</v>
      </c>
      <c r="I35" s="14">
        <v>0</v>
      </c>
      <c r="J35" s="30"/>
    </row>
    <row r="36" spans="1:14" ht="15.75" hidden="1" customHeight="1">
      <c r="A36" s="36"/>
      <c r="B36" s="123" t="s">
        <v>71</v>
      </c>
      <c r="C36" s="124" t="s">
        <v>32</v>
      </c>
      <c r="D36" s="123" t="s">
        <v>72</v>
      </c>
      <c r="E36" s="125"/>
      <c r="F36" s="126">
        <v>1</v>
      </c>
      <c r="G36" s="126">
        <v>1413.96</v>
      </c>
      <c r="H36" s="127">
        <f t="shared" si="1"/>
        <v>1.4139600000000001</v>
      </c>
      <c r="I36" s="14">
        <v>0</v>
      </c>
      <c r="J36" s="30"/>
    </row>
    <row r="37" spans="1:14" ht="15.75" hidden="1" customHeight="1">
      <c r="A37" s="36"/>
      <c r="B37" s="144" t="s">
        <v>5</v>
      </c>
      <c r="C37" s="124"/>
      <c r="D37" s="123"/>
      <c r="E37" s="125"/>
      <c r="F37" s="126"/>
      <c r="G37" s="126"/>
      <c r="H37" s="127" t="s">
        <v>145</v>
      </c>
      <c r="I37" s="14"/>
      <c r="J37" s="30"/>
      <c r="L37" s="23"/>
      <c r="M37" s="24"/>
      <c r="N37" s="25"/>
    </row>
    <row r="38" spans="1:14" ht="15.75" hidden="1" customHeight="1">
      <c r="A38" s="36"/>
      <c r="B38" s="123" t="s">
        <v>26</v>
      </c>
      <c r="C38" s="124" t="s">
        <v>32</v>
      </c>
      <c r="D38" s="123"/>
      <c r="E38" s="125"/>
      <c r="F38" s="126">
        <v>3</v>
      </c>
      <c r="G38" s="126">
        <v>1900.37</v>
      </c>
      <c r="H38" s="127">
        <f t="shared" ref="H38:H43" si="3">SUM(F38*G38/1000)</f>
        <v>5.7011099999999999</v>
      </c>
      <c r="I38" s="14">
        <f t="shared" ref="I38:I43" si="4">F38/6*G38</f>
        <v>950.18499999999995</v>
      </c>
      <c r="J38" s="30"/>
      <c r="L38" s="23"/>
      <c r="M38" s="24"/>
      <c r="N38" s="25"/>
    </row>
    <row r="39" spans="1:14" ht="31.5" hidden="1" customHeight="1">
      <c r="A39" s="36"/>
      <c r="B39" s="123" t="s">
        <v>146</v>
      </c>
      <c r="C39" s="124" t="s">
        <v>29</v>
      </c>
      <c r="D39" s="123" t="s">
        <v>106</v>
      </c>
      <c r="E39" s="125">
        <v>35.299999999999997</v>
      </c>
      <c r="F39" s="126">
        <f>E39*30/1000</f>
        <v>1.0589999999999999</v>
      </c>
      <c r="G39" s="126">
        <v>2616.4899999999998</v>
      </c>
      <c r="H39" s="127">
        <f t="shared" si="3"/>
        <v>2.77086291</v>
      </c>
      <c r="I39" s="14">
        <f t="shared" si="4"/>
        <v>461.81048499999991</v>
      </c>
      <c r="J39" s="30"/>
      <c r="L39" s="23"/>
      <c r="M39" s="24"/>
      <c r="N39" s="25"/>
    </row>
    <row r="40" spans="1:14" ht="15.75" hidden="1" customHeight="1">
      <c r="A40" s="36"/>
      <c r="B40" s="123" t="s">
        <v>147</v>
      </c>
      <c r="C40" s="124" t="s">
        <v>29</v>
      </c>
      <c r="D40" s="123" t="s">
        <v>107</v>
      </c>
      <c r="E40" s="125">
        <v>35.299999999999997</v>
      </c>
      <c r="F40" s="126">
        <f>SUM(E40*155/1000)</f>
        <v>5.4714999999999998</v>
      </c>
      <c r="G40" s="126">
        <v>436.45</v>
      </c>
      <c r="H40" s="127">
        <f t="shared" si="3"/>
        <v>2.3880361749999999</v>
      </c>
      <c r="I40" s="14">
        <f t="shared" si="4"/>
        <v>398.00602916666662</v>
      </c>
      <c r="J40" s="30"/>
      <c r="L40" s="23"/>
      <c r="M40" s="24"/>
      <c r="N40" s="25"/>
    </row>
    <row r="41" spans="1:14" ht="47.25" hidden="1" customHeight="1">
      <c r="A41" s="36"/>
      <c r="B41" s="123" t="s">
        <v>148</v>
      </c>
      <c r="C41" s="124" t="s">
        <v>108</v>
      </c>
      <c r="D41" s="123" t="s">
        <v>149</v>
      </c>
      <c r="E41" s="125">
        <v>35.299999999999997</v>
      </c>
      <c r="F41" s="126">
        <f>SUM(E41*24/1000)</f>
        <v>0.84719999999999995</v>
      </c>
      <c r="G41" s="126">
        <v>7221.21</v>
      </c>
      <c r="H41" s="127">
        <f t="shared" si="3"/>
        <v>6.1178091119999998</v>
      </c>
      <c r="I41" s="14">
        <f t="shared" si="4"/>
        <v>1019.6348519999999</v>
      </c>
      <c r="J41" s="30"/>
      <c r="L41" s="23"/>
      <c r="M41" s="24"/>
      <c r="N41" s="25"/>
    </row>
    <row r="42" spans="1:14" ht="15.75" hidden="1" customHeight="1">
      <c r="A42" s="36"/>
      <c r="B42" s="123" t="s">
        <v>150</v>
      </c>
      <c r="C42" s="124" t="s">
        <v>108</v>
      </c>
      <c r="D42" s="123" t="s">
        <v>74</v>
      </c>
      <c r="E42" s="125">
        <v>35.299999999999997</v>
      </c>
      <c r="F42" s="126">
        <f>SUM(E42*45/1000)</f>
        <v>1.5884999999999998</v>
      </c>
      <c r="G42" s="126">
        <v>533.45000000000005</v>
      </c>
      <c r="H42" s="127">
        <f t="shared" si="3"/>
        <v>0.84738532499999997</v>
      </c>
      <c r="I42" s="14">
        <f t="shared" si="4"/>
        <v>141.23088749999999</v>
      </c>
      <c r="J42" s="30"/>
      <c r="L42" s="23"/>
      <c r="M42" s="24"/>
      <c r="N42" s="25"/>
    </row>
    <row r="43" spans="1:14" ht="15.75" hidden="1" customHeight="1">
      <c r="A43" s="36"/>
      <c r="B43" s="123" t="s">
        <v>75</v>
      </c>
      <c r="C43" s="124" t="s">
        <v>33</v>
      </c>
      <c r="D43" s="123"/>
      <c r="E43" s="125"/>
      <c r="F43" s="126">
        <v>0.3</v>
      </c>
      <c r="G43" s="126">
        <v>992.97</v>
      </c>
      <c r="H43" s="127">
        <f t="shared" si="3"/>
        <v>0.29789100000000002</v>
      </c>
      <c r="I43" s="14">
        <f t="shared" si="4"/>
        <v>49.648499999999999</v>
      </c>
      <c r="J43" s="30"/>
      <c r="L43" s="23"/>
      <c r="M43" s="24"/>
      <c r="N43" s="25"/>
    </row>
    <row r="44" spans="1:14" ht="15.75" customHeight="1">
      <c r="A44" s="153" t="s">
        <v>183</v>
      </c>
      <c r="B44" s="154"/>
      <c r="C44" s="154"/>
      <c r="D44" s="154"/>
      <c r="E44" s="154"/>
      <c r="F44" s="154"/>
      <c r="G44" s="154"/>
      <c r="H44" s="154"/>
      <c r="I44" s="155"/>
      <c r="J44" s="30"/>
      <c r="L44" s="23"/>
      <c r="M44" s="24"/>
      <c r="N44" s="25"/>
    </row>
    <row r="45" spans="1:14" ht="15.75" customHeight="1">
      <c r="A45" s="36">
        <v>11</v>
      </c>
      <c r="B45" s="123" t="s">
        <v>129</v>
      </c>
      <c r="C45" s="124" t="s">
        <v>108</v>
      </c>
      <c r="D45" s="123" t="s">
        <v>43</v>
      </c>
      <c r="E45" s="125">
        <v>907.4</v>
      </c>
      <c r="F45" s="126">
        <f>SUM(E45*2/1000)</f>
        <v>1.8148</v>
      </c>
      <c r="G45" s="14">
        <v>1283.46</v>
      </c>
      <c r="H45" s="127">
        <f t="shared" ref="H45:H54" si="5">SUM(F45*G45/1000)</f>
        <v>2.3292232079999997</v>
      </c>
      <c r="I45" s="14">
        <f>F45/2*G45</f>
        <v>1164.6116039999999</v>
      </c>
      <c r="J45" s="30"/>
      <c r="L45" s="23"/>
      <c r="M45" s="24"/>
      <c r="N45" s="25"/>
    </row>
    <row r="46" spans="1:14" ht="15.75" customHeight="1">
      <c r="A46" s="36">
        <v>12</v>
      </c>
      <c r="B46" s="123" t="s">
        <v>36</v>
      </c>
      <c r="C46" s="124" t="s">
        <v>108</v>
      </c>
      <c r="D46" s="123" t="s">
        <v>43</v>
      </c>
      <c r="E46" s="125">
        <v>27</v>
      </c>
      <c r="F46" s="126">
        <f>SUM(E46*2/1000)</f>
        <v>5.3999999999999999E-2</v>
      </c>
      <c r="G46" s="14">
        <v>4192.6400000000003</v>
      </c>
      <c r="H46" s="127">
        <f t="shared" si="5"/>
        <v>0.22640256000000003</v>
      </c>
      <c r="I46" s="14">
        <f t="shared" ref="I46:I53" si="6">F46/2*G46</f>
        <v>113.20128000000001</v>
      </c>
      <c r="J46" s="30"/>
      <c r="L46" s="23"/>
      <c r="M46" s="24"/>
      <c r="N46" s="25"/>
    </row>
    <row r="47" spans="1:14" ht="15.75" customHeight="1">
      <c r="A47" s="36">
        <v>13</v>
      </c>
      <c r="B47" s="123" t="s">
        <v>37</v>
      </c>
      <c r="C47" s="124" t="s">
        <v>108</v>
      </c>
      <c r="D47" s="123" t="s">
        <v>43</v>
      </c>
      <c r="E47" s="125">
        <v>772</v>
      </c>
      <c r="F47" s="126">
        <f>SUM(E47*2/1000)</f>
        <v>1.544</v>
      </c>
      <c r="G47" s="14">
        <v>1711.28</v>
      </c>
      <c r="H47" s="127">
        <f t="shared" si="5"/>
        <v>2.6422163200000002</v>
      </c>
      <c r="I47" s="14">
        <f t="shared" si="6"/>
        <v>1321.10816</v>
      </c>
      <c r="J47" s="30"/>
      <c r="L47" s="23"/>
      <c r="M47" s="24"/>
      <c r="N47" s="25"/>
    </row>
    <row r="48" spans="1:14" ht="15.75" customHeight="1">
      <c r="A48" s="36">
        <v>14</v>
      </c>
      <c r="B48" s="123" t="s">
        <v>38</v>
      </c>
      <c r="C48" s="124" t="s">
        <v>108</v>
      </c>
      <c r="D48" s="123" t="s">
        <v>43</v>
      </c>
      <c r="E48" s="125">
        <v>959.4</v>
      </c>
      <c r="F48" s="126">
        <f>SUM(E48*2/1000)</f>
        <v>1.9188000000000001</v>
      </c>
      <c r="G48" s="14">
        <v>1179.73</v>
      </c>
      <c r="H48" s="127">
        <f t="shared" si="5"/>
        <v>2.2636659240000001</v>
      </c>
      <c r="I48" s="14">
        <f t="shared" si="6"/>
        <v>1131.832962</v>
      </c>
      <c r="J48" s="30"/>
      <c r="L48" s="23"/>
      <c r="M48" s="24"/>
      <c r="N48" s="25"/>
    </row>
    <row r="49" spans="1:22" ht="15.75" customHeight="1">
      <c r="A49" s="36">
        <v>15</v>
      </c>
      <c r="B49" s="123" t="s">
        <v>34</v>
      </c>
      <c r="C49" s="124" t="s">
        <v>35</v>
      </c>
      <c r="D49" s="123" t="s">
        <v>43</v>
      </c>
      <c r="E49" s="125">
        <v>66.02</v>
      </c>
      <c r="F49" s="126">
        <f>SUM(E49*2/100)</f>
        <v>1.3204</v>
      </c>
      <c r="G49" s="14">
        <v>90.61</v>
      </c>
      <c r="H49" s="127">
        <f t="shared" si="5"/>
        <v>0.11964144400000001</v>
      </c>
      <c r="I49" s="14">
        <f t="shared" si="6"/>
        <v>59.820722000000004</v>
      </c>
      <c r="J49" s="30"/>
      <c r="L49" s="23"/>
      <c r="M49" s="24"/>
      <c r="N49" s="25"/>
    </row>
    <row r="50" spans="1:22" ht="15.75" customHeight="1">
      <c r="A50" s="36">
        <v>16</v>
      </c>
      <c r="B50" s="123" t="s">
        <v>59</v>
      </c>
      <c r="C50" s="124" t="s">
        <v>108</v>
      </c>
      <c r="D50" s="123" t="s">
        <v>180</v>
      </c>
      <c r="E50" s="125">
        <v>1536.4</v>
      </c>
      <c r="F50" s="126">
        <f>SUM(E50*5/1000)</f>
        <v>7.6820000000000004</v>
      </c>
      <c r="G50" s="14">
        <v>1711.28</v>
      </c>
      <c r="H50" s="127">
        <f t="shared" si="5"/>
        <v>13.14605296</v>
      </c>
      <c r="I50" s="14">
        <f>F50/5*G50</f>
        <v>2629.2105919999999</v>
      </c>
      <c r="J50" s="30"/>
      <c r="L50" s="23"/>
      <c r="M50" s="24"/>
      <c r="N50" s="25"/>
    </row>
    <row r="51" spans="1:22" ht="32.25" hidden="1" customHeight="1">
      <c r="A51" s="36"/>
      <c r="B51" s="123" t="s">
        <v>109</v>
      </c>
      <c r="C51" s="124" t="s">
        <v>108</v>
      </c>
      <c r="D51" s="123" t="s">
        <v>43</v>
      </c>
      <c r="E51" s="125">
        <v>1536.4</v>
      </c>
      <c r="F51" s="126">
        <f>SUM(E51*2/1000)</f>
        <v>3.0728</v>
      </c>
      <c r="G51" s="14">
        <v>1510.06</v>
      </c>
      <c r="H51" s="127">
        <f t="shared" si="5"/>
        <v>4.6401123680000005</v>
      </c>
      <c r="I51" s="14">
        <f t="shared" si="6"/>
        <v>2320.056184</v>
      </c>
      <c r="J51" s="30"/>
      <c r="L51" s="23"/>
      <c r="M51" s="24"/>
      <c r="N51" s="25"/>
    </row>
    <row r="52" spans="1:22" ht="32.25" hidden="1" customHeight="1">
      <c r="A52" s="36"/>
      <c r="B52" s="123" t="s">
        <v>110</v>
      </c>
      <c r="C52" s="124" t="s">
        <v>39</v>
      </c>
      <c r="D52" s="123" t="s">
        <v>43</v>
      </c>
      <c r="E52" s="125">
        <v>9</v>
      </c>
      <c r="F52" s="126">
        <f>SUM(E52*2/100)</f>
        <v>0.18</v>
      </c>
      <c r="G52" s="14">
        <v>3850.4</v>
      </c>
      <c r="H52" s="127">
        <f t="shared" si="5"/>
        <v>0.69307200000000002</v>
      </c>
      <c r="I52" s="14">
        <f t="shared" si="6"/>
        <v>346.536</v>
      </c>
      <c r="J52" s="30"/>
      <c r="L52" s="23"/>
      <c r="M52" s="24"/>
      <c r="N52" s="25"/>
    </row>
    <row r="53" spans="1:22" ht="15.75" hidden="1" customHeight="1">
      <c r="A53" s="36"/>
      <c r="B53" s="123" t="s">
        <v>40</v>
      </c>
      <c r="C53" s="124" t="s">
        <v>41</v>
      </c>
      <c r="D53" s="123" t="s">
        <v>43</v>
      </c>
      <c r="E53" s="125">
        <v>1</v>
      </c>
      <c r="F53" s="126">
        <v>0.02</v>
      </c>
      <c r="G53" s="14">
        <v>7033.13</v>
      </c>
      <c r="H53" s="127">
        <f t="shared" si="5"/>
        <v>0.1406626</v>
      </c>
      <c r="I53" s="14">
        <f t="shared" si="6"/>
        <v>70.331299999999999</v>
      </c>
      <c r="J53" s="30"/>
      <c r="L53" s="23"/>
      <c r="M53" s="24"/>
      <c r="N53" s="25"/>
    </row>
    <row r="54" spans="1:22" ht="15.75" hidden="1" customHeight="1">
      <c r="A54" s="36"/>
      <c r="B54" s="123" t="s">
        <v>42</v>
      </c>
      <c r="C54" s="124" t="s">
        <v>130</v>
      </c>
      <c r="D54" s="123" t="s">
        <v>55</v>
      </c>
      <c r="E54" s="125">
        <v>53</v>
      </c>
      <c r="F54" s="126">
        <v>53</v>
      </c>
      <c r="G54" s="14">
        <v>81.73</v>
      </c>
      <c r="H54" s="127">
        <f t="shared" si="5"/>
        <v>4.3316900000000009</v>
      </c>
      <c r="I54" s="14">
        <f>F54/3*G54</f>
        <v>1443.8966666666668</v>
      </c>
      <c r="J54" s="30"/>
      <c r="L54" s="23"/>
    </row>
    <row r="55" spans="1:22" ht="15.75" customHeight="1">
      <c r="A55" s="153" t="s">
        <v>184</v>
      </c>
      <c r="B55" s="154"/>
      <c r="C55" s="154"/>
      <c r="D55" s="154"/>
      <c r="E55" s="154"/>
      <c r="F55" s="154"/>
      <c r="G55" s="154"/>
      <c r="H55" s="154"/>
      <c r="I55" s="155"/>
    </row>
    <row r="56" spans="1:22" ht="15.75" hidden="1" customHeight="1">
      <c r="A56" s="36"/>
      <c r="B56" s="144" t="s">
        <v>44</v>
      </c>
      <c r="C56" s="124"/>
      <c r="D56" s="123"/>
      <c r="E56" s="125"/>
      <c r="F56" s="126"/>
      <c r="G56" s="126"/>
      <c r="H56" s="127"/>
      <c r="I56" s="14"/>
    </row>
    <row r="57" spans="1:22" ht="31.5" hidden="1" customHeight="1">
      <c r="A57" s="36"/>
      <c r="B57" s="123" t="s">
        <v>131</v>
      </c>
      <c r="C57" s="124" t="s">
        <v>105</v>
      </c>
      <c r="D57" s="123" t="s">
        <v>132</v>
      </c>
      <c r="E57" s="125">
        <v>11.5</v>
      </c>
      <c r="F57" s="126">
        <f>SUM(E57*6/100)</f>
        <v>0.69</v>
      </c>
      <c r="G57" s="14">
        <v>2306.62</v>
      </c>
      <c r="H57" s="127">
        <f>SUM(F57*G57/1000)</f>
        <v>1.5915677999999998</v>
      </c>
      <c r="I57" s="14">
        <v>0</v>
      </c>
    </row>
    <row r="58" spans="1:22" ht="15.75" hidden="1" customHeight="1">
      <c r="A58" s="36"/>
      <c r="B58" s="123" t="s">
        <v>152</v>
      </c>
      <c r="C58" s="124" t="s">
        <v>153</v>
      </c>
      <c r="D58" s="123" t="s">
        <v>72</v>
      </c>
      <c r="E58" s="125"/>
      <c r="F58" s="126">
        <v>2</v>
      </c>
      <c r="G58" s="150">
        <v>1501</v>
      </c>
      <c r="H58" s="127">
        <f>SUM(F58*G58/1000)</f>
        <v>3.0019999999999998</v>
      </c>
      <c r="I58" s="14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6"/>
      <c r="B59" s="144" t="s">
        <v>45</v>
      </c>
      <c r="C59" s="124"/>
      <c r="D59" s="123"/>
      <c r="E59" s="125"/>
      <c r="F59" s="126"/>
      <c r="G59" s="151"/>
      <c r="H59" s="127"/>
      <c r="I59" s="14"/>
      <c r="J59" s="32"/>
      <c r="K59" s="32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6"/>
      <c r="B60" s="123" t="s">
        <v>133</v>
      </c>
      <c r="C60" s="124" t="s">
        <v>105</v>
      </c>
      <c r="D60" s="123" t="s">
        <v>55</v>
      </c>
      <c r="E60" s="125">
        <v>148</v>
      </c>
      <c r="F60" s="127">
        <f>E60/100</f>
        <v>1.48</v>
      </c>
      <c r="G60" s="14">
        <v>987.51</v>
      </c>
      <c r="H60" s="132">
        <f>F60*G60/1000</f>
        <v>1.4615148</v>
      </c>
      <c r="I60" s="14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6">
        <v>17</v>
      </c>
      <c r="B61" s="134" t="s">
        <v>163</v>
      </c>
      <c r="C61" s="133" t="s">
        <v>25</v>
      </c>
      <c r="D61" s="134" t="s">
        <v>156</v>
      </c>
      <c r="E61" s="135">
        <v>140.5</v>
      </c>
      <c r="F61" s="126">
        <f>E61*12</f>
        <v>1686</v>
      </c>
      <c r="G61" s="152">
        <v>2.59</v>
      </c>
      <c r="H61" s="132">
        <f>F61*G61/1000</f>
        <v>4.3667400000000001</v>
      </c>
      <c r="I61" s="14">
        <f>F61/12*G61</f>
        <v>363.89499999999998</v>
      </c>
      <c r="J61" s="5"/>
      <c r="K61" s="5"/>
      <c r="L61" s="5"/>
      <c r="M61" s="5"/>
      <c r="N61" s="5"/>
      <c r="O61" s="5"/>
      <c r="P61" s="5"/>
      <c r="Q61" s="5"/>
      <c r="R61" s="163"/>
      <c r="S61" s="163"/>
      <c r="T61" s="163"/>
      <c r="U61" s="163"/>
    </row>
    <row r="62" spans="1:22" ht="15.75" customHeight="1">
      <c r="A62" s="36"/>
      <c r="B62" s="145" t="s">
        <v>46</v>
      </c>
      <c r="C62" s="133"/>
      <c r="D62" s="134"/>
      <c r="E62" s="135"/>
      <c r="F62" s="136"/>
      <c r="G62" s="136"/>
      <c r="H62" s="137" t="s">
        <v>145</v>
      </c>
      <c r="I62" s="14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6">
        <v>18</v>
      </c>
      <c r="B63" s="16" t="s">
        <v>47</v>
      </c>
      <c r="C63" s="18" t="s">
        <v>130</v>
      </c>
      <c r="D63" s="16" t="s">
        <v>72</v>
      </c>
      <c r="E63" s="21">
        <v>2</v>
      </c>
      <c r="F63" s="126">
        <f>E63</f>
        <v>2</v>
      </c>
      <c r="G63" s="14">
        <v>276.74</v>
      </c>
      <c r="H63" s="121">
        <f t="shared" ref="H63:H79" si="7">SUM(F63*G63/1000)</f>
        <v>0.55347999999999997</v>
      </c>
      <c r="I63" s="14">
        <f>G63*3</f>
        <v>830.22</v>
      </c>
    </row>
    <row r="64" spans="1:22" ht="15.75" hidden="1" customHeight="1">
      <c r="A64" s="36"/>
      <c r="B64" s="16" t="s">
        <v>48</v>
      </c>
      <c r="C64" s="18" t="s">
        <v>130</v>
      </c>
      <c r="D64" s="16" t="s">
        <v>72</v>
      </c>
      <c r="E64" s="21">
        <v>1</v>
      </c>
      <c r="F64" s="126">
        <f>E64</f>
        <v>1</v>
      </c>
      <c r="G64" s="14">
        <v>94.89</v>
      </c>
      <c r="H64" s="121">
        <f t="shared" si="7"/>
        <v>9.4890000000000002E-2</v>
      </c>
      <c r="I64" s="14">
        <v>0</v>
      </c>
    </row>
    <row r="65" spans="1:9" ht="15.75" hidden="1" customHeight="1">
      <c r="A65" s="36"/>
      <c r="B65" s="16" t="s">
        <v>49</v>
      </c>
      <c r="C65" s="18" t="s">
        <v>134</v>
      </c>
      <c r="D65" s="16" t="s">
        <v>55</v>
      </c>
      <c r="E65" s="125">
        <v>6307</v>
      </c>
      <c r="F65" s="14">
        <f>SUM(E65/100)</f>
        <v>63.07</v>
      </c>
      <c r="G65" s="14">
        <v>263.99</v>
      </c>
      <c r="H65" s="121">
        <f t="shared" si="7"/>
        <v>16.649849300000003</v>
      </c>
      <c r="I65" s="14">
        <v>0</v>
      </c>
    </row>
    <row r="66" spans="1:9" ht="15.75" hidden="1" customHeight="1">
      <c r="A66" s="36"/>
      <c r="B66" s="16" t="s">
        <v>50</v>
      </c>
      <c r="C66" s="18" t="s">
        <v>135</v>
      </c>
      <c r="D66" s="16"/>
      <c r="E66" s="125">
        <v>6307</v>
      </c>
      <c r="F66" s="14">
        <f>SUM(E66/1000)</f>
        <v>6.3070000000000004</v>
      </c>
      <c r="G66" s="14">
        <v>205.57</v>
      </c>
      <c r="H66" s="121">
        <f t="shared" si="7"/>
        <v>1.29652999</v>
      </c>
      <c r="I66" s="14">
        <v>0</v>
      </c>
    </row>
    <row r="67" spans="1:9" ht="15.75" hidden="1" customHeight="1">
      <c r="A67" s="36"/>
      <c r="B67" s="16" t="s">
        <v>51</v>
      </c>
      <c r="C67" s="18" t="s">
        <v>82</v>
      </c>
      <c r="D67" s="16" t="s">
        <v>55</v>
      </c>
      <c r="E67" s="125">
        <v>1003</v>
      </c>
      <c r="F67" s="14">
        <f>SUM(E67/100)</f>
        <v>10.029999999999999</v>
      </c>
      <c r="G67" s="14">
        <v>2581.5300000000002</v>
      </c>
      <c r="H67" s="121">
        <f t="shared" si="7"/>
        <v>25.892745900000001</v>
      </c>
      <c r="I67" s="14">
        <v>0</v>
      </c>
    </row>
    <row r="68" spans="1:9" ht="15.75" hidden="1" customHeight="1">
      <c r="A68" s="36"/>
      <c r="B68" s="138" t="s">
        <v>136</v>
      </c>
      <c r="C68" s="18" t="s">
        <v>33</v>
      </c>
      <c r="D68" s="16"/>
      <c r="E68" s="125">
        <v>6.6</v>
      </c>
      <c r="F68" s="14">
        <f>SUM(E68)</f>
        <v>6.6</v>
      </c>
      <c r="G68" s="14">
        <v>47.75</v>
      </c>
      <c r="H68" s="121">
        <f t="shared" si="7"/>
        <v>0.31514999999999999</v>
      </c>
      <c r="I68" s="14">
        <v>0</v>
      </c>
    </row>
    <row r="69" spans="1:9" ht="15.75" hidden="1" customHeight="1">
      <c r="A69" s="36"/>
      <c r="B69" s="138" t="s">
        <v>137</v>
      </c>
      <c r="C69" s="18" t="s">
        <v>33</v>
      </c>
      <c r="D69" s="16"/>
      <c r="E69" s="125">
        <v>6.6</v>
      </c>
      <c r="F69" s="14">
        <f>SUM(E69)</f>
        <v>6.6</v>
      </c>
      <c r="G69" s="14">
        <v>44.27</v>
      </c>
      <c r="H69" s="121">
        <f t="shared" si="7"/>
        <v>0.292182</v>
      </c>
      <c r="I69" s="14">
        <v>0</v>
      </c>
    </row>
    <row r="70" spans="1:9" ht="15.75" customHeight="1">
      <c r="A70" s="36">
        <v>19</v>
      </c>
      <c r="B70" s="16" t="s">
        <v>60</v>
      </c>
      <c r="C70" s="18" t="s">
        <v>61</v>
      </c>
      <c r="D70" s="16" t="s">
        <v>55</v>
      </c>
      <c r="E70" s="21">
        <v>3</v>
      </c>
      <c r="F70" s="126">
        <v>3</v>
      </c>
      <c r="G70" s="14">
        <v>62.07</v>
      </c>
      <c r="H70" s="121">
        <f t="shared" si="7"/>
        <v>0.18621000000000001</v>
      </c>
      <c r="I70" s="14">
        <f>F70*G70</f>
        <v>186.21</v>
      </c>
    </row>
    <row r="71" spans="1:9" ht="15.75" customHeight="1">
      <c r="A71" s="36">
        <v>20</v>
      </c>
      <c r="B71" s="16" t="s">
        <v>154</v>
      </c>
      <c r="C71" s="36" t="s">
        <v>155</v>
      </c>
      <c r="D71" s="16" t="s">
        <v>156</v>
      </c>
      <c r="E71" s="21">
        <v>1536.4</v>
      </c>
      <c r="F71" s="116">
        <f>E71*12</f>
        <v>18436.800000000003</v>
      </c>
      <c r="G71" s="14">
        <v>2.16</v>
      </c>
      <c r="H71" s="121">
        <f t="shared" si="7"/>
        <v>39.823488000000012</v>
      </c>
      <c r="I71" s="14">
        <f>F71/12*G71</f>
        <v>3318.6240000000007</v>
      </c>
    </row>
    <row r="72" spans="1:9" ht="15.75" customHeight="1">
      <c r="A72" s="36"/>
      <c r="B72" s="101" t="s">
        <v>77</v>
      </c>
      <c r="C72" s="18"/>
      <c r="D72" s="16"/>
      <c r="E72" s="21"/>
      <c r="F72" s="14"/>
      <c r="G72" s="14"/>
      <c r="H72" s="121" t="s">
        <v>145</v>
      </c>
      <c r="I72" s="14"/>
    </row>
    <row r="73" spans="1:9" ht="15.75" hidden="1" customHeight="1">
      <c r="A73" s="36"/>
      <c r="B73" s="16" t="s">
        <v>157</v>
      </c>
      <c r="C73" s="18" t="s">
        <v>158</v>
      </c>
      <c r="D73" s="16" t="s">
        <v>72</v>
      </c>
      <c r="E73" s="21">
        <v>1</v>
      </c>
      <c r="F73" s="14">
        <f>E73</f>
        <v>1</v>
      </c>
      <c r="G73" s="14">
        <v>976.4</v>
      </c>
      <c r="H73" s="121">
        <f t="shared" ref="H73:H74" si="8">SUM(F73*G73/1000)</f>
        <v>0.97639999999999993</v>
      </c>
      <c r="I73" s="14">
        <v>0</v>
      </c>
    </row>
    <row r="74" spans="1:9" ht="15.75" hidden="1" customHeight="1">
      <c r="A74" s="36"/>
      <c r="B74" s="16" t="s">
        <v>159</v>
      </c>
      <c r="C74" s="18" t="s">
        <v>160</v>
      </c>
      <c r="D74" s="16"/>
      <c r="E74" s="21">
        <v>1</v>
      </c>
      <c r="F74" s="14">
        <v>1</v>
      </c>
      <c r="G74" s="14">
        <v>650</v>
      </c>
      <c r="H74" s="121">
        <f t="shared" si="8"/>
        <v>0.65</v>
      </c>
      <c r="I74" s="14">
        <v>0</v>
      </c>
    </row>
    <row r="75" spans="1:9" ht="15.75" hidden="1" customHeight="1">
      <c r="A75" s="36"/>
      <c r="B75" s="16" t="s">
        <v>78</v>
      </c>
      <c r="C75" s="18" t="s">
        <v>80</v>
      </c>
      <c r="D75" s="16"/>
      <c r="E75" s="21">
        <v>3</v>
      </c>
      <c r="F75" s="14">
        <v>0.3</v>
      </c>
      <c r="G75" s="14">
        <v>624.16999999999996</v>
      </c>
      <c r="H75" s="121">
        <f t="shared" si="7"/>
        <v>0.18725099999999997</v>
      </c>
      <c r="I75" s="14">
        <v>0</v>
      </c>
    </row>
    <row r="76" spans="1:9" ht="15.75" hidden="1" customHeight="1">
      <c r="A76" s="36"/>
      <c r="B76" s="16" t="s">
        <v>79</v>
      </c>
      <c r="C76" s="18" t="s">
        <v>31</v>
      </c>
      <c r="D76" s="16"/>
      <c r="E76" s="21">
        <v>1</v>
      </c>
      <c r="F76" s="116">
        <v>1</v>
      </c>
      <c r="G76" s="14">
        <v>1061.4100000000001</v>
      </c>
      <c r="H76" s="121">
        <f>F76*G76/1000</f>
        <v>1.0614100000000002</v>
      </c>
      <c r="I76" s="14">
        <v>0</v>
      </c>
    </row>
    <row r="77" spans="1:9" ht="15.75" customHeight="1">
      <c r="A77" s="36">
        <v>21</v>
      </c>
      <c r="B77" s="88" t="s">
        <v>161</v>
      </c>
      <c r="C77" s="89" t="s">
        <v>130</v>
      </c>
      <c r="D77" s="16" t="s">
        <v>30</v>
      </c>
      <c r="E77" s="21">
        <v>1</v>
      </c>
      <c r="F77" s="14">
        <f>E77*12</f>
        <v>12</v>
      </c>
      <c r="G77" s="14">
        <v>50.69</v>
      </c>
      <c r="H77" s="121">
        <f>G77*F77/1000</f>
        <v>0.60827999999999993</v>
      </c>
      <c r="I77" s="14">
        <f>G77</f>
        <v>50.69</v>
      </c>
    </row>
    <row r="78" spans="1:9" ht="15.75" hidden="1" customHeight="1">
      <c r="A78" s="36"/>
      <c r="B78" s="140" t="s">
        <v>81</v>
      </c>
      <c r="C78" s="18"/>
      <c r="D78" s="16"/>
      <c r="E78" s="21"/>
      <c r="F78" s="14"/>
      <c r="G78" s="14" t="s">
        <v>145</v>
      </c>
      <c r="H78" s="121" t="s">
        <v>145</v>
      </c>
      <c r="I78" s="14" t="str">
        <f>G78</f>
        <v xml:space="preserve"> </v>
      </c>
    </row>
    <row r="79" spans="1:9" ht="15.75" hidden="1" customHeight="1">
      <c r="A79" s="36"/>
      <c r="B79" s="67" t="s">
        <v>162</v>
      </c>
      <c r="C79" s="18" t="s">
        <v>82</v>
      </c>
      <c r="D79" s="16"/>
      <c r="E79" s="21"/>
      <c r="F79" s="14">
        <v>0.1</v>
      </c>
      <c r="G79" s="14">
        <v>3433.69</v>
      </c>
      <c r="H79" s="121">
        <f t="shared" si="7"/>
        <v>0.34336900000000004</v>
      </c>
      <c r="I79" s="14">
        <v>0</v>
      </c>
    </row>
    <row r="80" spans="1:9" ht="15.75" hidden="1" customHeight="1">
      <c r="A80" s="36"/>
      <c r="B80" s="115" t="s">
        <v>111</v>
      </c>
      <c r="C80" s="140"/>
      <c r="D80" s="38"/>
      <c r="E80" s="39"/>
      <c r="F80" s="129"/>
      <c r="G80" s="129"/>
      <c r="H80" s="141">
        <f>SUM(H57:H79)</f>
        <v>99.353057790000008</v>
      </c>
      <c r="I80" s="14"/>
    </row>
    <row r="81" spans="1:9" ht="15.75" hidden="1" customHeight="1">
      <c r="A81" s="36"/>
      <c r="B81" s="123" t="s">
        <v>138</v>
      </c>
      <c r="C81" s="18"/>
      <c r="D81" s="16"/>
      <c r="E81" s="117"/>
      <c r="F81" s="14">
        <v>1</v>
      </c>
      <c r="G81" s="14">
        <v>5637.8</v>
      </c>
      <c r="H81" s="121">
        <f>G81*F81/1000</f>
        <v>5.6378000000000004</v>
      </c>
      <c r="I81" s="14">
        <v>0</v>
      </c>
    </row>
    <row r="82" spans="1:9" ht="15.75" customHeight="1">
      <c r="A82" s="153" t="s">
        <v>185</v>
      </c>
      <c r="B82" s="154"/>
      <c r="C82" s="154"/>
      <c r="D82" s="154"/>
      <c r="E82" s="154"/>
      <c r="F82" s="154"/>
      <c r="G82" s="154"/>
      <c r="H82" s="154"/>
      <c r="I82" s="155"/>
    </row>
    <row r="83" spans="1:9" ht="15.75" customHeight="1">
      <c r="A83" s="36">
        <v>22</v>
      </c>
      <c r="B83" s="123" t="s">
        <v>139</v>
      </c>
      <c r="C83" s="18" t="s">
        <v>56</v>
      </c>
      <c r="D83" s="142" t="s">
        <v>57</v>
      </c>
      <c r="E83" s="14">
        <v>1536.4</v>
      </c>
      <c r="F83" s="14">
        <f>SUM(E83*12)</f>
        <v>18436.800000000003</v>
      </c>
      <c r="G83" s="14">
        <v>2.95</v>
      </c>
      <c r="H83" s="121">
        <f>SUM(F83*G83/1000)</f>
        <v>54.388560000000012</v>
      </c>
      <c r="I83" s="14">
        <f>F83/12*G83</f>
        <v>4532.380000000001</v>
      </c>
    </row>
    <row r="84" spans="1:9" ht="31.5" customHeight="1">
      <c r="A84" s="36">
        <v>23</v>
      </c>
      <c r="B84" s="16" t="s">
        <v>83</v>
      </c>
      <c r="C84" s="18"/>
      <c r="D84" s="142" t="s">
        <v>57</v>
      </c>
      <c r="E84" s="125">
        <f>E83</f>
        <v>1536.4</v>
      </c>
      <c r="F84" s="14">
        <f>E84*12</f>
        <v>18436.800000000003</v>
      </c>
      <c r="G84" s="14">
        <v>3.05</v>
      </c>
      <c r="H84" s="121">
        <f>F84*G84/1000</f>
        <v>56.232240000000004</v>
      </c>
      <c r="I84" s="14">
        <f>F84/12*G84</f>
        <v>4686.0200000000004</v>
      </c>
    </row>
    <row r="85" spans="1:9" ht="15.75" customHeight="1">
      <c r="A85" s="36"/>
      <c r="B85" s="54" t="s">
        <v>87</v>
      </c>
      <c r="C85" s="140"/>
      <c r="D85" s="139"/>
      <c r="E85" s="129"/>
      <c r="F85" s="129"/>
      <c r="G85" s="129"/>
      <c r="H85" s="141">
        <f>H84</f>
        <v>56.232240000000004</v>
      </c>
      <c r="I85" s="129">
        <f>I16+I17+I18+I20+I21+I27+I28+I31+I32+I34+I45+I46+I47+I48+I49+I50+I61+I63+I70+I71+I77+I83+I84</f>
        <v>34557.205485111117</v>
      </c>
    </row>
    <row r="86" spans="1:9" ht="15.75" customHeight="1">
      <c r="A86" s="36"/>
      <c r="B86" s="87" t="s">
        <v>63</v>
      </c>
      <c r="C86" s="18"/>
      <c r="D86" s="67"/>
      <c r="E86" s="14"/>
      <c r="F86" s="14"/>
      <c r="G86" s="14"/>
      <c r="H86" s="14"/>
      <c r="I86" s="14"/>
    </row>
    <row r="87" spans="1:9" ht="15.75" customHeight="1">
      <c r="A87" s="36">
        <v>24</v>
      </c>
      <c r="B87" s="88" t="s">
        <v>164</v>
      </c>
      <c r="C87" s="89" t="s">
        <v>130</v>
      </c>
      <c r="D87" s="67"/>
      <c r="E87" s="14"/>
      <c r="F87" s="14">
        <v>104</v>
      </c>
      <c r="G87" s="14">
        <v>50.68</v>
      </c>
      <c r="H87" s="14">
        <f t="shared" ref="H87:H88" si="9">G87*F87/1000</f>
        <v>5.2707199999999998</v>
      </c>
      <c r="I87" s="14">
        <f>G87*26</f>
        <v>1317.68</v>
      </c>
    </row>
    <row r="88" spans="1:9" ht="15.75" hidden="1" customHeight="1">
      <c r="A88" s="36"/>
      <c r="B88" s="88" t="s">
        <v>242</v>
      </c>
      <c r="C88" s="89" t="s">
        <v>130</v>
      </c>
      <c r="D88" s="67"/>
      <c r="E88" s="14"/>
      <c r="F88" s="14">
        <v>1</v>
      </c>
      <c r="G88" s="14">
        <v>379.22</v>
      </c>
      <c r="H88" s="14">
        <f t="shared" si="9"/>
        <v>0.37922</v>
      </c>
      <c r="I88" s="14">
        <v>0</v>
      </c>
    </row>
    <row r="89" spans="1:9" ht="15.75" customHeight="1">
      <c r="A89" s="36"/>
      <c r="B89" s="61" t="s">
        <v>52</v>
      </c>
      <c r="C89" s="57"/>
      <c r="D89" s="71"/>
      <c r="E89" s="57">
        <v>1</v>
      </c>
      <c r="F89" s="57"/>
      <c r="G89" s="57"/>
      <c r="H89" s="57"/>
      <c r="I89" s="39">
        <f>SUM(I87:I88)</f>
        <v>1317.68</v>
      </c>
    </row>
    <row r="90" spans="1:9" ht="15.75" customHeight="1">
      <c r="A90" s="36"/>
      <c r="B90" s="67" t="s">
        <v>84</v>
      </c>
      <c r="C90" s="17"/>
      <c r="D90" s="17"/>
      <c r="E90" s="58"/>
      <c r="F90" s="58"/>
      <c r="G90" s="59"/>
      <c r="H90" s="59"/>
      <c r="I90" s="20">
        <v>0</v>
      </c>
    </row>
    <row r="91" spans="1:9">
      <c r="A91" s="72"/>
      <c r="B91" s="62" t="s">
        <v>53</v>
      </c>
      <c r="C91" s="45"/>
      <c r="D91" s="45"/>
      <c r="E91" s="45"/>
      <c r="F91" s="45"/>
      <c r="G91" s="45"/>
      <c r="H91" s="45"/>
      <c r="I91" s="60">
        <f>I85+I89</f>
        <v>35874.885485111117</v>
      </c>
    </row>
    <row r="92" spans="1:9" ht="15.75">
      <c r="A92" s="164" t="s">
        <v>243</v>
      </c>
      <c r="B92" s="164"/>
      <c r="C92" s="164"/>
      <c r="D92" s="164"/>
      <c r="E92" s="164"/>
      <c r="F92" s="164"/>
      <c r="G92" s="164"/>
      <c r="H92" s="164"/>
      <c r="I92" s="164"/>
    </row>
    <row r="93" spans="1:9" ht="15.75" customHeight="1">
      <c r="A93" s="107"/>
      <c r="B93" s="165" t="s">
        <v>244</v>
      </c>
      <c r="C93" s="165"/>
      <c r="D93" s="165"/>
      <c r="E93" s="165"/>
      <c r="F93" s="165"/>
      <c r="G93" s="165"/>
      <c r="H93" s="120"/>
      <c r="I93" s="3"/>
    </row>
    <row r="94" spans="1:9">
      <c r="A94" s="106"/>
      <c r="B94" s="161" t="s">
        <v>6</v>
      </c>
      <c r="C94" s="161"/>
      <c r="D94" s="161"/>
      <c r="E94" s="161"/>
      <c r="F94" s="161"/>
      <c r="G94" s="161"/>
      <c r="H94" s="31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66" t="s">
        <v>7</v>
      </c>
      <c r="B96" s="166"/>
      <c r="C96" s="166"/>
      <c r="D96" s="166"/>
      <c r="E96" s="166"/>
      <c r="F96" s="166"/>
      <c r="G96" s="166"/>
      <c r="H96" s="166"/>
      <c r="I96" s="166"/>
    </row>
    <row r="97" spans="1:9" ht="15.75" customHeight="1">
      <c r="A97" s="166" t="s">
        <v>8</v>
      </c>
      <c r="B97" s="166"/>
      <c r="C97" s="166"/>
      <c r="D97" s="166"/>
      <c r="E97" s="166"/>
      <c r="F97" s="166"/>
      <c r="G97" s="166"/>
      <c r="H97" s="166"/>
      <c r="I97" s="166"/>
    </row>
    <row r="98" spans="1:9" ht="15.75">
      <c r="A98" s="158" t="s">
        <v>64</v>
      </c>
      <c r="B98" s="158"/>
      <c r="C98" s="158"/>
      <c r="D98" s="158"/>
      <c r="E98" s="158"/>
      <c r="F98" s="158"/>
      <c r="G98" s="158"/>
      <c r="H98" s="158"/>
      <c r="I98" s="158"/>
    </row>
    <row r="99" spans="1:9" ht="15.75">
      <c r="A99" s="11"/>
    </row>
    <row r="100" spans="1:9" ht="15.75">
      <c r="A100" s="159" t="s">
        <v>9</v>
      </c>
      <c r="B100" s="159"/>
      <c r="C100" s="159"/>
      <c r="D100" s="159"/>
      <c r="E100" s="159"/>
      <c r="F100" s="159"/>
      <c r="G100" s="159"/>
      <c r="H100" s="159"/>
      <c r="I100" s="159"/>
    </row>
    <row r="101" spans="1:9" ht="15.75">
      <c r="A101" s="4"/>
    </row>
    <row r="102" spans="1:9" ht="15.75">
      <c r="B102" s="103" t="s">
        <v>10</v>
      </c>
      <c r="C102" s="160" t="s">
        <v>179</v>
      </c>
      <c r="D102" s="160"/>
      <c r="E102" s="160"/>
      <c r="F102" s="118"/>
      <c r="I102" s="105"/>
    </row>
    <row r="103" spans="1:9">
      <c r="A103" s="106"/>
      <c r="C103" s="161" t="s">
        <v>11</v>
      </c>
      <c r="D103" s="161"/>
      <c r="E103" s="161"/>
      <c r="F103" s="31"/>
      <c r="I103" s="104" t="s">
        <v>12</v>
      </c>
    </row>
    <row r="104" spans="1:9" ht="15.75">
      <c r="A104" s="32"/>
      <c r="C104" s="12"/>
      <c r="D104" s="12"/>
      <c r="G104" s="12"/>
      <c r="H104" s="12"/>
    </row>
    <row r="105" spans="1:9" ht="15.75" customHeight="1">
      <c r="B105" s="103" t="s">
        <v>13</v>
      </c>
      <c r="C105" s="162"/>
      <c r="D105" s="162"/>
      <c r="E105" s="162"/>
      <c r="F105" s="119"/>
      <c r="I105" s="105"/>
    </row>
    <row r="106" spans="1:9" ht="15.75" customHeight="1">
      <c r="A106" s="106"/>
      <c r="C106" s="163" t="s">
        <v>11</v>
      </c>
      <c r="D106" s="163"/>
      <c r="E106" s="163"/>
      <c r="F106" s="106"/>
      <c r="I106" s="104" t="s">
        <v>12</v>
      </c>
    </row>
    <row r="107" spans="1:9" ht="15.75" customHeight="1">
      <c r="A107" s="4" t="s">
        <v>14</v>
      </c>
    </row>
    <row r="108" spans="1:9">
      <c r="A108" s="156" t="s">
        <v>15</v>
      </c>
      <c r="B108" s="156"/>
      <c r="C108" s="156"/>
      <c r="D108" s="156"/>
      <c r="E108" s="156"/>
      <c r="F108" s="156"/>
      <c r="G108" s="156"/>
      <c r="H108" s="156"/>
      <c r="I108" s="156"/>
    </row>
    <row r="109" spans="1:9" ht="45" customHeight="1">
      <c r="A109" s="157" t="s">
        <v>16</v>
      </c>
      <c r="B109" s="157"/>
      <c r="C109" s="157"/>
      <c r="D109" s="157"/>
      <c r="E109" s="157"/>
      <c r="F109" s="157"/>
      <c r="G109" s="157"/>
      <c r="H109" s="157"/>
      <c r="I109" s="157"/>
    </row>
    <row r="110" spans="1:9" ht="30" customHeight="1">
      <c r="A110" s="157" t="s">
        <v>17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30" customHeight="1">
      <c r="A111" s="157" t="s">
        <v>21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15" customHeight="1">
      <c r="A112" s="157" t="s">
        <v>20</v>
      </c>
      <c r="B112" s="157"/>
      <c r="C112" s="157"/>
      <c r="D112" s="157"/>
      <c r="E112" s="157"/>
      <c r="F112" s="157"/>
      <c r="G112" s="157"/>
      <c r="H112" s="157"/>
      <c r="I112" s="157"/>
    </row>
  </sheetData>
  <autoFilter ref="I12:I56"/>
  <mergeCells count="28">
    <mergeCell ref="R61:U61"/>
    <mergeCell ref="A3:I3"/>
    <mergeCell ref="A4:I4"/>
    <mergeCell ref="A5:I5"/>
    <mergeCell ref="A8:I8"/>
    <mergeCell ref="A10:I10"/>
    <mergeCell ref="A14:I14"/>
    <mergeCell ref="A97:I97"/>
    <mergeCell ref="A98:I98"/>
    <mergeCell ref="A15:I15"/>
    <mergeCell ref="A29:I29"/>
    <mergeCell ref="A44:I44"/>
    <mergeCell ref="A109:I109"/>
    <mergeCell ref="A110:I110"/>
    <mergeCell ref="A111:I111"/>
    <mergeCell ref="A112:I112"/>
    <mergeCell ref="A55:I55"/>
    <mergeCell ref="A82:I82"/>
    <mergeCell ref="A100:I100"/>
    <mergeCell ref="C102:E102"/>
    <mergeCell ref="C103:E103"/>
    <mergeCell ref="C105:E105"/>
    <mergeCell ref="C106:E106"/>
    <mergeCell ref="A108:I108"/>
    <mergeCell ref="A92:I92"/>
    <mergeCell ref="B93:G93"/>
    <mergeCell ref="B94:G94"/>
    <mergeCell ref="A96:I9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'05.16'!Заголовки_для_печати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2017-04-18T13:33:58Z</cp:lastPrinted>
  <dcterms:created xsi:type="dcterms:W3CDTF">2016-03-25T08:33:47Z</dcterms:created>
  <dcterms:modified xsi:type="dcterms:W3CDTF">2017-04-18T13:34:41Z</dcterms:modified>
</cp:coreProperties>
</file>