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2"/>
  </bookViews>
  <sheets>
    <sheet name="01.17" sheetId="18" r:id="rId1"/>
    <sheet name="02.17" sheetId="19" r:id="rId2"/>
    <sheet name="03.17" sheetId="20" r:id="rId3"/>
    <sheet name="04.17" sheetId="21" r:id="rId4"/>
    <sheet name="05.17" sheetId="22" r:id="rId5"/>
    <sheet name="06.17" sheetId="23" r:id="rId6"/>
    <sheet name="07.17" sheetId="24" r:id="rId7"/>
    <sheet name="08.17" sheetId="25" r:id="rId8"/>
    <sheet name="09.17" sheetId="26" r:id="rId9"/>
    <sheet name="10.17" sheetId="27" r:id="rId10"/>
    <sheet name="10а.17" sheetId="17" r:id="rId11"/>
    <sheet name="11.17" sheetId="28" r:id="rId12"/>
    <sheet name="12.17" sheetId="29" r:id="rId13"/>
  </sheets>
  <definedNames>
    <definedName name="_xlnm._FilterDatabase" localSheetId="0" hidden="1">'01.17'!$I$12:$I$71</definedName>
    <definedName name="_xlnm._FilterDatabase" localSheetId="1" hidden="1">'02.17'!$I$12:$I$71</definedName>
    <definedName name="_xlnm._FilterDatabase" localSheetId="2" hidden="1">'03.17'!$I$12:$I$71</definedName>
    <definedName name="_xlnm._FilterDatabase" localSheetId="3" hidden="1">'04.17'!$I$12:$I$71</definedName>
    <definedName name="_xlnm._FilterDatabase" localSheetId="4" hidden="1">'05.17'!$I$12:$I$71</definedName>
    <definedName name="_xlnm._FilterDatabase" localSheetId="5" hidden="1">'06.17'!$I$12:$I$71</definedName>
    <definedName name="_xlnm._FilterDatabase" localSheetId="6" hidden="1">'07.17'!$I$12:$I$71</definedName>
    <definedName name="_xlnm._FilterDatabase" localSheetId="7" hidden="1">'08.17'!$I$12:$I$71</definedName>
    <definedName name="_xlnm._FilterDatabase" localSheetId="8" hidden="1">'09.17'!$I$12:$I$71</definedName>
    <definedName name="_xlnm._FilterDatabase" localSheetId="9" hidden="1">'10.17'!$I$12:$I$71</definedName>
    <definedName name="_xlnm._FilterDatabase" localSheetId="10" hidden="1">'10а.17'!$I$12:$I$71</definedName>
    <definedName name="_xlnm._FilterDatabase" localSheetId="11" hidden="1">'11.17'!$I$12:$I$71</definedName>
    <definedName name="_xlnm._FilterDatabase" localSheetId="12" hidden="1">'12.17'!$I$12:$I$71</definedName>
    <definedName name="_xlnm.Print_Titles" localSheetId="2">'03.17'!$12:$13</definedName>
    <definedName name="_xlnm.Print_Area" localSheetId="0">'01.17'!$A$1:$I$113</definedName>
    <definedName name="_xlnm.Print_Area" localSheetId="1">'02.17'!$A$1:$I$114</definedName>
    <definedName name="_xlnm.Print_Area" localSheetId="2">'03.17'!$A$1:$I$126</definedName>
    <definedName name="_xlnm.Print_Area" localSheetId="3">'04.17'!$A$1:$I$112</definedName>
    <definedName name="_xlnm.Print_Area" localSheetId="4">'05.17'!$A$1:$I$116</definedName>
    <definedName name="_xlnm.Print_Area" localSheetId="5">'06.17'!$A$1:$I$113</definedName>
    <definedName name="_xlnm.Print_Area" localSheetId="6">'07.17'!$A$1:$I$112</definedName>
    <definedName name="_xlnm.Print_Area" localSheetId="7">'08.17'!$A$1:$I$120</definedName>
    <definedName name="_xlnm.Print_Area" localSheetId="8">'09.17'!$A$1:$I$114</definedName>
    <definedName name="_xlnm.Print_Area" localSheetId="9">'10.17'!$A$1:$I$116</definedName>
    <definedName name="_xlnm.Print_Area" localSheetId="10">'10а.17'!$A$1:$I$113</definedName>
    <definedName name="_xlnm.Print_Area" localSheetId="11">'11.17'!$A$1:$I$116</definedName>
    <definedName name="_xlnm.Print_Area" localSheetId="12">'12.17'!$A$1:$I$114</definedName>
  </definedNames>
  <calcPr calcId="125725"/>
</workbook>
</file>

<file path=xl/calcChain.xml><?xml version="1.0" encoding="utf-8"?>
<calcChain xmlns="http://schemas.openxmlformats.org/spreadsheetml/2006/main">
  <c r="I84" i="29"/>
  <c r="I84" i="28"/>
  <c r="I44" i="21"/>
  <c r="F44"/>
  <c r="H44" s="1"/>
  <c r="I44" i="20"/>
  <c r="F44"/>
  <c r="H44" s="1"/>
  <c r="I84" i="19"/>
  <c r="I84" i="18"/>
  <c r="H90" i="29" l="1"/>
  <c r="I89"/>
  <c r="H89"/>
  <c r="I88"/>
  <c r="I86"/>
  <c r="I76"/>
  <c r="I65"/>
  <c r="I90"/>
  <c r="H88"/>
  <c r="I87"/>
  <c r="H87"/>
  <c r="F86"/>
  <c r="H86" s="1"/>
  <c r="F83"/>
  <c r="I83" s="1"/>
  <c r="F82"/>
  <c r="I82" s="1"/>
  <c r="H80"/>
  <c r="I78"/>
  <c r="H78"/>
  <c r="I77"/>
  <c r="H77"/>
  <c r="H76"/>
  <c r="I74"/>
  <c r="H74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I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1" i="28"/>
  <c r="I92"/>
  <c r="I90"/>
  <c r="H92"/>
  <c r="H91"/>
  <c r="H90"/>
  <c r="I89"/>
  <c r="H89"/>
  <c r="I88"/>
  <c r="I87"/>
  <c r="H87"/>
  <c r="I86"/>
  <c r="F86"/>
  <c r="H86" s="1"/>
  <c r="I65"/>
  <c r="H88"/>
  <c r="F83"/>
  <c r="H83" s="1"/>
  <c r="H82"/>
  <c r="F82"/>
  <c r="I82" s="1"/>
  <c r="H80"/>
  <c r="I78"/>
  <c r="H78"/>
  <c r="I77"/>
  <c r="H77"/>
  <c r="I76"/>
  <c r="H76"/>
  <c r="I74"/>
  <c r="H74"/>
  <c r="F72"/>
  <c r="I72" s="1"/>
  <c r="F71"/>
  <c r="H71" s="1"/>
  <c r="F70"/>
  <c r="I70" s="1"/>
  <c r="F69"/>
  <c r="H69" s="1"/>
  <c r="H68"/>
  <c r="F68"/>
  <c r="I68" s="1"/>
  <c r="F67"/>
  <c r="H67" s="1"/>
  <c r="H66"/>
  <c r="H65"/>
  <c r="H63"/>
  <c r="F63"/>
  <c r="F62"/>
  <c r="H62" s="1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I31" s="1"/>
  <c r="F28"/>
  <c r="I28" s="1"/>
  <c r="H27"/>
  <c r="F27"/>
  <c r="I27" s="1"/>
  <c r="F26"/>
  <c r="I26" s="1"/>
  <c r="H25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2" i="27"/>
  <c r="I90"/>
  <c r="I91"/>
  <c r="I89"/>
  <c r="H92"/>
  <c r="G92"/>
  <c r="H91"/>
  <c r="H90"/>
  <c r="H89"/>
  <c r="I87"/>
  <c r="H88"/>
  <c r="H87"/>
  <c r="I86"/>
  <c r="H86"/>
  <c r="I65"/>
  <c r="H72" i="28" l="1"/>
  <c r="H70"/>
  <c r="I91" i="29"/>
  <c r="H17"/>
  <c r="H20"/>
  <c r="H31"/>
  <c r="H83"/>
  <c r="H33"/>
  <c r="I18"/>
  <c r="H18"/>
  <c r="I16"/>
  <c r="I19"/>
  <c r="I21"/>
  <c r="H22"/>
  <c r="I23"/>
  <c r="H24"/>
  <c r="I25"/>
  <c r="H26"/>
  <c r="I27"/>
  <c r="H28"/>
  <c r="H32"/>
  <c r="I40"/>
  <c r="H41"/>
  <c r="I42"/>
  <c r="H43"/>
  <c r="I44"/>
  <c r="H47"/>
  <c r="I48"/>
  <c r="H49"/>
  <c r="I50"/>
  <c r="H51"/>
  <c r="I52"/>
  <c r="H53"/>
  <c r="H58"/>
  <c r="I59"/>
  <c r="I62"/>
  <c r="I67"/>
  <c r="H68"/>
  <c r="I69"/>
  <c r="H70"/>
  <c r="I71"/>
  <c r="H72"/>
  <c r="H82"/>
  <c r="H33" i="28"/>
  <c r="H31"/>
  <c r="I18"/>
  <c r="H18"/>
  <c r="I16"/>
  <c r="H17"/>
  <c r="I19"/>
  <c r="H20"/>
  <c r="I21"/>
  <c r="H22"/>
  <c r="I23"/>
  <c r="H24"/>
  <c r="H26"/>
  <c r="H28"/>
  <c r="H32"/>
  <c r="I40"/>
  <c r="H41"/>
  <c r="I42"/>
  <c r="H43"/>
  <c r="I44"/>
  <c r="H47"/>
  <c r="I48"/>
  <c r="H49"/>
  <c r="I50"/>
  <c r="H51"/>
  <c r="I52"/>
  <c r="H53"/>
  <c r="H58"/>
  <c r="I59"/>
  <c r="I62"/>
  <c r="I67"/>
  <c r="I69"/>
  <c r="I71"/>
  <c r="I83"/>
  <c r="I93"/>
  <c r="I95" l="1"/>
  <c r="I93" i="29"/>
  <c r="I88" i="27" l="1"/>
  <c r="I93" s="1"/>
  <c r="F83"/>
  <c r="I83" s="1"/>
  <c r="F82"/>
  <c r="H82" s="1"/>
  <c r="H80"/>
  <c r="I78"/>
  <c r="H78"/>
  <c r="I77"/>
  <c r="H77"/>
  <c r="I76"/>
  <c r="H76"/>
  <c r="I74"/>
  <c r="H74"/>
  <c r="F72"/>
  <c r="H72" s="1"/>
  <c r="F71"/>
  <c r="I71" s="1"/>
  <c r="F70"/>
  <c r="H70" s="1"/>
  <c r="F69"/>
  <c r="I69" s="1"/>
  <c r="F68"/>
  <c r="H68" s="1"/>
  <c r="F67"/>
  <c r="I67" s="1"/>
  <c r="H66"/>
  <c r="H65"/>
  <c r="F63"/>
  <c r="H63" s="1"/>
  <c r="F62"/>
  <c r="I62" s="1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0" i="26"/>
  <c r="H90"/>
  <c r="I89"/>
  <c r="H89"/>
  <c r="H88"/>
  <c r="I87"/>
  <c r="H87"/>
  <c r="I86"/>
  <c r="H86"/>
  <c r="I78"/>
  <c r="I65"/>
  <c r="I88"/>
  <c r="F83"/>
  <c r="I83" s="1"/>
  <c r="F82"/>
  <c r="I82" s="1"/>
  <c r="H80"/>
  <c r="H78"/>
  <c r="I77"/>
  <c r="H77"/>
  <c r="I76"/>
  <c r="H76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I31" s="1"/>
  <c r="F28"/>
  <c r="I28" s="1"/>
  <c r="F27"/>
  <c r="I27" s="1"/>
  <c r="F26"/>
  <c r="I26" s="1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6" i="25"/>
  <c r="I95"/>
  <c r="I94"/>
  <c r="I93"/>
  <c r="I92"/>
  <c r="I91"/>
  <c r="H96"/>
  <c r="H95"/>
  <c r="F94"/>
  <c r="H94" s="1"/>
  <c r="H93"/>
  <c r="H92"/>
  <c r="H91"/>
  <c r="I90"/>
  <c r="H90"/>
  <c r="I89"/>
  <c r="H89"/>
  <c r="I88"/>
  <c r="H88"/>
  <c r="I87"/>
  <c r="H87"/>
  <c r="I86"/>
  <c r="I97" s="1"/>
  <c r="I76"/>
  <c r="I65"/>
  <c r="H86"/>
  <c r="F83"/>
  <c r="I83" s="1"/>
  <c r="F82"/>
  <c r="H82" s="1"/>
  <c r="H80"/>
  <c r="H78"/>
  <c r="I77"/>
  <c r="H77"/>
  <c r="H76"/>
  <c r="I74"/>
  <c r="H74"/>
  <c r="F72"/>
  <c r="H72" s="1"/>
  <c r="F71"/>
  <c r="I71" s="1"/>
  <c r="F70"/>
  <c r="H70" s="1"/>
  <c r="F69"/>
  <c r="I69" s="1"/>
  <c r="F68"/>
  <c r="H68" s="1"/>
  <c r="F67"/>
  <c r="I67" s="1"/>
  <c r="H66"/>
  <c r="H65"/>
  <c r="F63"/>
  <c r="H63" s="1"/>
  <c r="F62"/>
  <c r="I62" s="1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24"/>
  <c r="I86"/>
  <c r="I65"/>
  <c r="I87"/>
  <c r="H87"/>
  <c r="I89"/>
  <c r="F86"/>
  <c r="H86" s="1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23"/>
  <c r="H89"/>
  <c r="I88"/>
  <c r="H88"/>
  <c r="H87"/>
  <c r="I86"/>
  <c r="I90" s="1"/>
  <c r="I65"/>
  <c r="I87"/>
  <c r="F86"/>
  <c r="H86" s="1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H33"/>
  <c r="F33"/>
  <c r="I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1" i="22"/>
  <c r="I89"/>
  <c r="I90"/>
  <c r="I92"/>
  <c r="H92"/>
  <c r="H91"/>
  <c r="H90"/>
  <c r="H89"/>
  <c r="H88"/>
  <c r="H87"/>
  <c r="I86"/>
  <c r="I93" s="1"/>
  <c r="I71"/>
  <c r="I67"/>
  <c r="I49"/>
  <c r="I50"/>
  <c r="I34"/>
  <c r="I35"/>
  <c r="I22"/>
  <c r="I23"/>
  <c r="I26"/>
  <c r="I88"/>
  <c r="I87"/>
  <c r="F86"/>
  <c r="H86" s="1"/>
  <c r="F83"/>
  <c r="I83" s="1"/>
  <c r="F82"/>
  <c r="I82" s="1"/>
  <c r="H80"/>
  <c r="H78"/>
  <c r="I77"/>
  <c r="H77"/>
  <c r="I76"/>
  <c r="H76"/>
  <c r="I74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I62" s="1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H35"/>
  <c r="F33"/>
  <c r="H33" s="1"/>
  <c r="F32"/>
  <c r="H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88" i="21"/>
  <c r="I87"/>
  <c r="I86"/>
  <c r="I89" s="1"/>
  <c r="I65"/>
  <c r="I54"/>
  <c r="I88"/>
  <c r="H87"/>
  <c r="F86"/>
  <c r="H86" s="1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2"/>
  <c r="I62" s="1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2" i="20"/>
  <c r="I101"/>
  <c r="I100"/>
  <c r="I99"/>
  <c r="I98"/>
  <c r="I97"/>
  <c r="I96"/>
  <c r="I95"/>
  <c r="I94"/>
  <c r="I93"/>
  <c r="I92"/>
  <c r="I91"/>
  <c r="I90"/>
  <c r="H102"/>
  <c r="H99"/>
  <c r="H98"/>
  <c r="H97"/>
  <c r="H96"/>
  <c r="H95"/>
  <c r="H93"/>
  <c r="H92"/>
  <c r="H91"/>
  <c r="H90"/>
  <c r="I88"/>
  <c r="H88"/>
  <c r="I87"/>
  <c r="H87"/>
  <c r="I86"/>
  <c r="I103" s="1"/>
  <c r="I65"/>
  <c r="I89"/>
  <c r="H89"/>
  <c r="F86"/>
  <c r="H86" s="1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2"/>
  <c r="I62" s="1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3"/>
  <c r="I43" s="1"/>
  <c r="F42"/>
  <c r="H42" s="1"/>
  <c r="H41"/>
  <c r="F41"/>
  <c r="I41" s="1"/>
  <c r="F40"/>
  <c r="H40" s="1"/>
  <c r="I39"/>
  <c r="H39"/>
  <c r="H37"/>
  <c r="H36"/>
  <c r="H35"/>
  <c r="H33"/>
  <c r="F33"/>
  <c r="F32"/>
  <c r="H32" s="1"/>
  <c r="H31"/>
  <c r="F31"/>
  <c r="F28"/>
  <c r="H28" s="1"/>
  <c r="H27"/>
  <c r="F27"/>
  <c r="I27" s="1"/>
  <c r="F26"/>
  <c r="H26" s="1"/>
  <c r="H25"/>
  <c r="F25"/>
  <c r="F24"/>
  <c r="H24" s="1"/>
  <c r="H23"/>
  <c r="F23"/>
  <c r="F22"/>
  <c r="H22" s="1"/>
  <c r="H21"/>
  <c r="F21"/>
  <c r="F20"/>
  <c r="H20" s="1"/>
  <c r="H19"/>
  <c r="F19"/>
  <c r="E18"/>
  <c r="F18" s="1"/>
  <c r="H18" s="1"/>
  <c r="F17"/>
  <c r="H17" s="1"/>
  <c r="H16"/>
  <c r="F16"/>
  <c r="I16" s="1"/>
  <c r="I89" i="19"/>
  <c r="I90"/>
  <c r="I88"/>
  <c r="I87"/>
  <c r="H90"/>
  <c r="H89"/>
  <c r="H88"/>
  <c r="H87"/>
  <c r="I86"/>
  <c r="I91" s="1"/>
  <c r="I74"/>
  <c r="I77"/>
  <c r="I65"/>
  <c r="F86"/>
  <c r="H86" s="1"/>
  <c r="F83"/>
  <c r="I83" s="1"/>
  <c r="F82"/>
  <c r="H82" s="1"/>
  <c r="H80"/>
  <c r="H78"/>
  <c r="H77"/>
  <c r="I76"/>
  <c r="H76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2"/>
  <c r="H62" s="1"/>
  <c r="H60"/>
  <c r="F59"/>
  <c r="H59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H35"/>
  <c r="H33"/>
  <c r="F33"/>
  <c r="F32"/>
  <c r="H32" s="1"/>
  <c r="H31"/>
  <c r="F31"/>
  <c r="F28"/>
  <c r="I28" s="1"/>
  <c r="H27"/>
  <c r="F27"/>
  <c r="I27" s="1"/>
  <c r="F26"/>
  <c r="H26" s="1"/>
  <c r="H25"/>
  <c r="F25"/>
  <c r="F24"/>
  <c r="H24" s="1"/>
  <c r="H23"/>
  <c r="F23"/>
  <c r="F22"/>
  <c r="H22" s="1"/>
  <c r="H21"/>
  <c r="F21"/>
  <c r="F20"/>
  <c r="H20" s="1"/>
  <c r="H19"/>
  <c r="F19"/>
  <c r="E18"/>
  <c r="F18" s="1"/>
  <c r="H18" s="1"/>
  <c r="F17"/>
  <c r="I17" s="1"/>
  <c r="H16"/>
  <c r="F16"/>
  <c r="I16" s="1"/>
  <c r="I89" i="18"/>
  <c r="F89"/>
  <c r="H89" s="1"/>
  <c r="I88"/>
  <c r="H88"/>
  <c r="I87"/>
  <c r="H87"/>
  <c r="I86"/>
  <c r="I90" s="1"/>
  <c r="F86"/>
  <c r="H86" s="1"/>
  <c r="I20" i="22" l="1"/>
  <c r="I68"/>
  <c r="H43" i="20"/>
  <c r="H83" i="22"/>
  <c r="I19"/>
  <c r="I24"/>
  <c r="I31"/>
  <c r="I33"/>
  <c r="I47"/>
  <c r="I69"/>
  <c r="H27" i="26"/>
  <c r="I25" i="22"/>
  <c r="I21"/>
  <c r="I32"/>
  <c r="I48"/>
  <c r="I70"/>
  <c r="H18" i="27"/>
  <c r="I18"/>
  <c r="H16"/>
  <c r="I17"/>
  <c r="H19"/>
  <c r="I20"/>
  <c r="H21"/>
  <c r="I22"/>
  <c r="H23"/>
  <c r="I24"/>
  <c r="H25"/>
  <c r="I26"/>
  <c r="H27"/>
  <c r="I28"/>
  <c r="H31"/>
  <c r="I32"/>
  <c r="H33"/>
  <c r="H40"/>
  <c r="I41"/>
  <c r="H42"/>
  <c r="I43"/>
  <c r="H44"/>
  <c r="I47"/>
  <c r="H48"/>
  <c r="I49"/>
  <c r="H50"/>
  <c r="I51"/>
  <c r="H52"/>
  <c r="I53"/>
  <c r="I58"/>
  <c r="H59"/>
  <c r="H62"/>
  <c r="H67"/>
  <c r="I68"/>
  <c r="H69"/>
  <c r="I70"/>
  <c r="H71"/>
  <c r="I72"/>
  <c r="I82"/>
  <c r="I84" s="1"/>
  <c r="H83"/>
  <c r="H25" i="26"/>
  <c r="H31"/>
  <c r="H83"/>
  <c r="I72"/>
  <c r="H33"/>
  <c r="I91"/>
  <c r="I18"/>
  <c r="H18"/>
  <c r="I16"/>
  <c r="H17"/>
  <c r="I19"/>
  <c r="H20"/>
  <c r="I21"/>
  <c r="H22"/>
  <c r="I23"/>
  <c r="H24"/>
  <c r="H26"/>
  <c r="H28"/>
  <c r="H32"/>
  <c r="I40"/>
  <c r="H41"/>
  <c r="I42"/>
  <c r="H43"/>
  <c r="I44"/>
  <c r="H47"/>
  <c r="I48"/>
  <c r="H49"/>
  <c r="I50"/>
  <c r="H51"/>
  <c r="I52"/>
  <c r="H53"/>
  <c r="H58"/>
  <c r="I59"/>
  <c r="I62"/>
  <c r="I67"/>
  <c r="H68"/>
  <c r="I69"/>
  <c r="H70"/>
  <c r="I71"/>
  <c r="H82"/>
  <c r="H33" i="25"/>
  <c r="H19"/>
  <c r="H67"/>
  <c r="H18"/>
  <c r="I18"/>
  <c r="H16"/>
  <c r="I17"/>
  <c r="I84" s="1"/>
  <c r="I20"/>
  <c r="H21"/>
  <c r="I22"/>
  <c r="H23"/>
  <c r="I24"/>
  <c r="H25"/>
  <c r="I26"/>
  <c r="H27"/>
  <c r="I28"/>
  <c r="H31"/>
  <c r="I32"/>
  <c r="H40"/>
  <c r="I41"/>
  <c r="H42"/>
  <c r="I43"/>
  <c r="H44"/>
  <c r="I47"/>
  <c r="H48"/>
  <c r="I49"/>
  <c r="H50"/>
  <c r="I51"/>
  <c r="H52"/>
  <c r="I53"/>
  <c r="I58"/>
  <c r="H59"/>
  <c r="H62"/>
  <c r="I68"/>
  <c r="H69"/>
  <c r="I70"/>
  <c r="H71"/>
  <c r="I82"/>
  <c r="H83"/>
  <c r="H22" i="24"/>
  <c r="H26"/>
  <c r="H32"/>
  <c r="H43"/>
  <c r="H51"/>
  <c r="H58"/>
  <c r="H68"/>
  <c r="H82"/>
  <c r="H17"/>
  <c r="H20"/>
  <c r="H24"/>
  <c r="H28"/>
  <c r="H41"/>
  <c r="H47"/>
  <c r="H70"/>
  <c r="H49"/>
  <c r="H53"/>
  <c r="I18"/>
  <c r="H18"/>
  <c r="I16"/>
  <c r="I19"/>
  <c r="I21"/>
  <c r="I23"/>
  <c r="I25"/>
  <c r="I27"/>
  <c r="I31"/>
  <c r="I33"/>
  <c r="I40"/>
  <c r="I42"/>
  <c r="I44"/>
  <c r="I48"/>
  <c r="I50"/>
  <c r="I52"/>
  <c r="I59"/>
  <c r="I62"/>
  <c r="I67"/>
  <c r="I69"/>
  <c r="I71"/>
  <c r="I83"/>
  <c r="I18" i="23"/>
  <c r="H18"/>
  <c r="I16"/>
  <c r="H17"/>
  <c r="I19"/>
  <c r="H20"/>
  <c r="I21"/>
  <c r="H22"/>
  <c r="I23"/>
  <c r="H24"/>
  <c r="I25"/>
  <c r="H26"/>
  <c r="I27"/>
  <c r="H28"/>
  <c r="I31"/>
  <c r="H32"/>
  <c r="I40"/>
  <c r="H41"/>
  <c r="I42"/>
  <c r="H43"/>
  <c r="I44"/>
  <c r="H47"/>
  <c r="I48"/>
  <c r="H49"/>
  <c r="I50"/>
  <c r="H51"/>
  <c r="I52"/>
  <c r="H53"/>
  <c r="H58"/>
  <c r="I59"/>
  <c r="I62"/>
  <c r="I67"/>
  <c r="H68"/>
  <c r="I69"/>
  <c r="H70"/>
  <c r="I71"/>
  <c r="H82"/>
  <c r="I83"/>
  <c r="I18" i="22"/>
  <c r="H18"/>
  <c r="I16"/>
  <c r="I84" s="1"/>
  <c r="H17"/>
  <c r="I27"/>
  <c r="H28"/>
  <c r="H40"/>
  <c r="I41"/>
  <c r="H42"/>
  <c r="I43"/>
  <c r="H44"/>
  <c r="I51"/>
  <c r="H52"/>
  <c r="I53"/>
  <c r="I58"/>
  <c r="H59"/>
  <c r="H62"/>
  <c r="H82"/>
  <c r="I52" i="21"/>
  <c r="I53"/>
  <c r="H28"/>
  <c r="H18"/>
  <c r="I18"/>
  <c r="H16"/>
  <c r="I17"/>
  <c r="H27"/>
  <c r="I40"/>
  <c r="H41"/>
  <c r="I42"/>
  <c r="H43"/>
  <c r="H51"/>
  <c r="I58"/>
  <c r="H59"/>
  <c r="H62"/>
  <c r="H82"/>
  <c r="I83"/>
  <c r="H51" i="20"/>
  <c r="I17"/>
  <c r="I18"/>
  <c r="I28"/>
  <c r="I40"/>
  <c r="I42"/>
  <c r="I58"/>
  <c r="H59"/>
  <c r="H62"/>
  <c r="H82"/>
  <c r="I83"/>
  <c r="I18" i="19"/>
  <c r="H17"/>
  <c r="H28"/>
  <c r="H40"/>
  <c r="I41"/>
  <c r="H42"/>
  <c r="I43"/>
  <c r="H44"/>
  <c r="I51"/>
  <c r="H58"/>
  <c r="I59"/>
  <c r="I62"/>
  <c r="I82"/>
  <c r="H83"/>
  <c r="F83" i="18"/>
  <c r="F82"/>
  <c r="H82" s="1"/>
  <c r="H80"/>
  <c r="H74"/>
  <c r="H78"/>
  <c r="H77"/>
  <c r="I76"/>
  <c r="H76"/>
  <c r="F72"/>
  <c r="H72" s="1"/>
  <c r="F71"/>
  <c r="H71" s="1"/>
  <c r="F70"/>
  <c r="H70" s="1"/>
  <c r="F69"/>
  <c r="H69" s="1"/>
  <c r="F68"/>
  <c r="H68" s="1"/>
  <c r="F67"/>
  <c r="H67" s="1"/>
  <c r="H66"/>
  <c r="I65"/>
  <c r="H65"/>
  <c r="F63"/>
  <c r="H63" s="1"/>
  <c r="H62"/>
  <c r="F62"/>
  <c r="I62" s="1"/>
  <c r="H60"/>
  <c r="H59"/>
  <c r="F59"/>
  <c r="I59" s="1"/>
  <c r="F58"/>
  <c r="H58" s="1"/>
  <c r="I84" i="20" l="1"/>
  <c r="I105" s="1"/>
  <c r="I93" i="19"/>
  <c r="I84" i="21"/>
  <c r="I95" i="27"/>
  <c r="I84" i="26"/>
  <c r="I93" s="1"/>
  <c r="I99" i="25"/>
  <c r="I84" i="24"/>
  <c r="I91" s="1"/>
  <c r="I84" i="23"/>
  <c r="I92" s="1"/>
  <c r="I95" i="22"/>
  <c r="I91" i="21"/>
  <c r="H83" i="18"/>
  <c r="I83"/>
  <c r="I82"/>
  <c r="I58"/>
  <c r="I55" l="1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H44" s="1"/>
  <c r="H43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H41" l="1"/>
  <c r="I51"/>
  <c r="I40"/>
  <c r="I42"/>
  <c r="I44"/>
  <c r="I28"/>
  <c r="I27"/>
  <c r="H18"/>
  <c r="I18"/>
  <c r="I16"/>
  <c r="I92" l="1"/>
  <c r="G86" i="17" l="1"/>
  <c r="H86" s="1"/>
  <c r="I84"/>
  <c r="E32"/>
  <c r="I86" l="1"/>
  <c r="I90" s="1"/>
  <c r="I92" s="1"/>
</calcChain>
</file>

<file path=xl/sharedStrings.xml><?xml version="1.0" encoding="utf-8"?>
<sst xmlns="http://schemas.openxmlformats.org/spreadsheetml/2006/main" count="2896" uniqueCount="268">
  <si>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</si>
  <si>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</si>
  <si>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</si>
  <si>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</si>
  <si>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</si>
  <si>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</si>
  <si>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</si>
  <si>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</si>
  <si>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</si>
  <si>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</si>
  <si>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</si>
  <si>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</si>
  <si>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</si>
  <si>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</si>
  <si>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</si>
  <si>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</si>
  <si>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</si>
  <si>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</si>
  <si>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</si>
  <si>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</si>
  <si>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</si>
  <si>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</si>
  <si>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</si>
  <si>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</si>
  <si>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</si>
  <si>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</si>
  <si>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</si>
  <si>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</si>
  <si>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</si>
  <si>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</si>
  <si>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</si>
  <si>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</si>
  <si>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</si>
  <si>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</si>
  <si>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</si>
  <si>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</si>
  <si>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</si>
  <si>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</si>
  <si>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</si>
  <si>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</si>
  <si>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</si>
  <si>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</si>
  <si>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</si>
  <si>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</si>
  <si>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</si>
  <si>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</si>
  <si>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</si>
  <si>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</si>
  <si>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</si>
  <si>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</si>
  <si>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</si>
  <si>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</si>
  <si>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</si>
  <si>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</si>
  <si>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</si>
  <si>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</si>
  <si>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</si>
  <si>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</si>
  <si>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</si>
  <si>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</si>
  <si>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</si>
  <si>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</si>
  <si>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</si>
  <si>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</si>
  <si>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</si>
  <si>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</si>
  <si>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</si>
  <si>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</si>
  <si>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</si>
  <si>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</si>
  <si>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</si>
  <si>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</si>
  <si>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</si>
  <si>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</si>
  <si>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</si>
  <si>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</si>
  <si>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</si>
  <si>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</si>
  <si>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</si>
  <si>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</si>
  <si>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</si>
  <si>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</si>
  <si>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</si>
  <si>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</si>
  <si>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</si>
  <si>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</si>
  <si>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</si>
  <si>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</si>
  <si>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</si>
  <si>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</si>
  <si>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</si>
  <si>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</si>
  <si>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</si>
  <si>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</si>
  <si>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</si>
  <si>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</si>
  <si>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</si>
  <si>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</si>
  <si>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</si>
  <si>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</si>
  <si>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</si>
  <si>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</si>
  <si>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</si>
  <si>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</si>
  <si>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</si>
  <si>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</si>
  <si>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</si>
  <si>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</si>
  <si>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</si>
  <si>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</si>
  <si>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</si>
  <si>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</si>
  <si>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</si>
  <si>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Внеплановая проверка вентканалов</t>
  </si>
  <si>
    <t>Сдвигание снега в дни снегопада (проезды)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</si>
  <si>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</si>
  <si>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</si>
  <si>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</si>
  <si>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</si>
  <si>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</si>
  <si>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</si>
  <si>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</si>
  <si>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</si>
  <si>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</si>
  <si>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</si>
  <si>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</si>
  <si>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</si>
  <si>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</si>
  <si>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</si>
  <si>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 xml:space="preserve">Очистка урн от мусора 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</si>
  <si>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</si>
  <si>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</si>
  <si>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</si>
  <si>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</si>
  <si>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</si>
  <si>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</si>
  <si>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</si>
  <si>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</si>
  <si>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</si>
  <si>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</si>
  <si>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</si>
  <si>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</si>
  <si>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</si>
  <si>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</si>
  <si>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</si>
  <si>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</si>
  <si>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</si>
  <si>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</si>
  <si>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</si>
  <si>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</si>
  <si>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</si>
  <si>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</si>
  <si>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</si>
  <si>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</si>
  <si>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</si>
  <si>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</si>
  <si>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</si>
  <si>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Ремонт штукатурки внутренних стен по камню и бетону штукатурной смесью "Ротбант" площадью до 1 м2 толщиной слоя до 20 мм</t>
  </si>
  <si>
    <t>Устройство хомута диаметром до 50 мм</t>
  </si>
  <si>
    <t>АКТ №10а</t>
  </si>
  <si>
    <t>за период с 02.10.2017 г. по 06.10.2017 г.</t>
  </si>
  <si>
    <r>
      <t>1. Исполнителем  предъявлены  к  приемке  следующие  оказанные  на  основании  Договора  на  содержание  и  ремонт  многоквартирного  дома  №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</si>
  <si>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Объем</t>
  </si>
  <si>
    <t>п.м.</t>
  </si>
  <si>
    <t>Герметизация межпанельных швов (кв.22, 23, 41, 44)</t>
  </si>
  <si>
    <t>2. Всего за период с 06.10.2017 по 06.10.2017 выполнено работ (оказано услуг) на общую сумму: 9578,77 руб.</t>
  </si>
  <si>
    <t>(девять тысяч пятьсот семьдесят восемь рублей 77 копеек)</t>
  </si>
  <si>
    <t>АКТ №1</t>
  </si>
  <si>
    <t>за период с 01.01.2017 г. по 31.01.2017 г.</t>
  </si>
  <si>
    <t>ежедневно 365 раз</t>
  </si>
  <si>
    <t>Очистка урн от мусора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</si>
  <si>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</si>
  <si>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</si>
  <si>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</si>
  <si>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12 раз в год</t>
  </si>
  <si>
    <t>Спуск воды после промывки СО в канализацию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</si>
  <si>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</si>
  <si>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</si>
  <si>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</si>
  <si>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Итого месячные затраты</t>
  </si>
  <si>
    <t>Прочистка засоров канализации</t>
  </si>
  <si>
    <t>Внеплановый осмотр элекгросетей, арматуры и электрооборудования на чердаках и подвалах</t>
  </si>
  <si>
    <t>АКТ №2</t>
  </si>
  <si>
    <t>за период с 01.02.2017 г. по 28.02.2017 г.</t>
  </si>
  <si>
    <t>Смена вентилей диаметром до 32 мм (без учёта материалов)</t>
  </si>
  <si>
    <t>Смена арматуры - задвижек диаметром 80 мм</t>
  </si>
  <si>
    <t>маш/ч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</si>
  <si>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</si>
  <si>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</si>
  <si>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</si>
  <si>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</si>
  <si>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>Смена вентилей диаметром до 20 мм ПП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</si>
  <si>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</si>
  <si>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</si>
  <si>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Тройник Ду-50*90°</t>
  </si>
  <si>
    <t>Переход чугун-пластик Ду 50 с манжетой</t>
  </si>
  <si>
    <t>Смена трубопроводов на полипропиленовые трубы PN20 диаметром 25 мм</t>
  </si>
  <si>
    <t>Смена трубопроводов на полипропиленовые трубы PN20 диаметром 20 мм</t>
  </si>
  <si>
    <t>Смена светодиодных светильников в.о.</t>
  </si>
  <si>
    <t>Патрубок компенсационный ПП Ду 50</t>
  </si>
  <si>
    <t>Смена тройника 32×20×32 мм</t>
  </si>
  <si>
    <t xml:space="preserve">Смена полипропиленовых труб 50×2000 мм </t>
  </si>
  <si>
    <t>Отвод 50×90°</t>
  </si>
  <si>
    <t>2. Всего за период с 01.03.2017 по 31.03.2017 выполнено работ (оказано услуг) на общую сумму: 128582,33 руб.</t>
  </si>
  <si>
    <t>(сто двадцать восемь тысяч пятьсот восемьдесят два рубля 33 копейки)</t>
  </si>
  <si>
    <t>АКТ №4</t>
  </si>
  <si>
    <t>за период с 01.04.2017 г. по 30.04.2017 г.</t>
  </si>
  <si>
    <t>2. Всего за период с 01.04.2017 по 30.04.2017 выполнено работ (оказано услуг) на общую сумму: 101346,60 руб.</t>
  </si>
  <si>
    <t>(сто одна тысяча триста сорок шесть рублей 60 копеек)</t>
  </si>
  <si>
    <t>АКТ №5</t>
  </si>
  <si>
    <t>за период с 01.05.2017 г. по 31.05.2017 г.</t>
  </si>
  <si>
    <t>Замена кран-буксы</t>
  </si>
  <si>
    <t>Смена плавкой вставки</t>
  </si>
  <si>
    <t>Внеплановый осмотр электросетей, армазуры и электрооборудования на лестничных клетках</t>
  </si>
  <si>
    <t>Ремонт кровли и примыканий к фановой трубе</t>
  </si>
  <si>
    <t>руб.</t>
  </si>
  <si>
    <t>2. Всего за период с 01.05.2017 по 31.05.2017 выполнено работ (оказано услуг) на общую сумму: 244321,62 руб.</t>
  </si>
  <si>
    <t>(двести сорок четыре тысячи триста двадцать один рубль 62 копейки)</t>
  </si>
  <si>
    <t>АКТ №6</t>
  </si>
  <si>
    <t>за период с 01.06.2017 г. по 30.06.2017 г.</t>
  </si>
  <si>
    <t>2. Всего за период с 01.06.2017 по 30.06.2017 выполнено работ (оказано услуг) на общую сумму: 95939,09 руб.</t>
  </si>
  <si>
    <t>(девяносто пять тысяч девятьсот тридцать девять рублей 09 копеек)</t>
  </si>
  <si>
    <t>АКТ №7</t>
  </si>
  <si>
    <t>за период с 01.07.2017 г. по 31.07.2017 г.</t>
  </si>
  <si>
    <t>2. Всего за период с 01.07.2017 по 31.07.2017 выполнено работ (оказано услуг) на общую сумму: 80910,48 руб.</t>
  </si>
  <si>
    <t>(восемьдесят тысяч девятьсот десять рублей 48 копеек)</t>
  </si>
  <si>
    <t>за период с 01.08.2017 г. по 31.08.2017 г.</t>
  </si>
  <si>
    <t>Муфта ремонтная 50</t>
  </si>
  <si>
    <t>Простая масляная окраска ранее окрашенных входных металлических дверей (I-VIII под.)</t>
  </si>
  <si>
    <t>Смена дощатого настила (II под.)</t>
  </si>
  <si>
    <t>Отвод 50×45°</t>
  </si>
  <si>
    <t>2. Всего за период с 01.08.2017 по 31.08.2017 выполнено работ (оказано услуг) на общую сумму: 82891,85 руб.</t>
  </si>
  <si>
    <t>(восемьдесят две тысячи восемьсот девяносто один рубль 85 копеек)</t>
  </si>
  <si>
    <t>АКТ №8</t>
  </si>
  <si>
    <t>АКТ №9</t>
  </si>
  <si>
    <t>за период с 01.09.2017 г. по 30.09.2017 г.</t>
  </si>
  <si>
    <t>Смена вентилей диаметром до 20 мм (без учета материала)</t>
  </si>
  <si>
    <t>2. Всего за период с 01.09.2017 по 30.09.2017 выполнено работ (оказано услуг) на общую сумму: 85117,84 руб.</t>
  </si>
  <si>
    <t>(восемьдесят пять тысяч сто семнадцать рублей 84 копейки)</t>
  </si>
  <si>
    <t>АКТ №10</t>
  </si>
  <si>
    <t>за период с 01.10.2017 г. по 31.10.2017 г.</t>
  </si>
  <si>
    <t xml:space="preserve">ежедневно </t>
  </si>
  <si>
    <t>Смена сгонов у трубопроводов диаметром до 32 мм</t>
  </si>
  <si>
    <t>1 сгон</t>
  </si>
  <si>
    <t>Смена светодиодных светильников н.о.</t>
  </si>
  <si>
    <t>Герметизация межпанельных швов (кв.22,23,41,44)</t>
  </si>
  <si>
    <t>2. Всего за период с 01.10.2017 по 31.10.2017 выполнено работ (оказано услуг) на общую сумму: 110287,37 руб.</t>
  </si>
  <si>
    <t>(сто десять тысяч двести восемьдесят семь рублей 37 копеек)</t>
  </si>
  <si>
    <t>АКТ №11</t>
  </si>
  <si>
    <t>за период с 01.11.2017 г. по 30.11.2017 г.</t>
  </si>
  <si>
    <t>Ремонт и регулировка доводчика (без стоимости доводчика)</t>
  </si>
  <si>
    <t>1шт.</t>
  </si>
  <si>
    <t>Мелкий ремонт электропроводки</t>
  </si>
  <si>
    <t>Засыпка выбоин в отмостке</t>
  </si>
  <si>
    <t>1 мЗ</t>
  </si>
  <si>
    <t>АКТ №12</t>
  </si>
  <si>
    <t>за период с 01.12.2017 г. по 31.12.2017 г.</t>
  </si>
  <si>
    <t>Укрепление оконных и дверных приборов - пружин, ручек, петель, шпингалетов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</si>
  <si>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</si>
  <si>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2. Всего за период с 01.01.2017 по 31.01.2017 выполнено работ (оказано услуг) на общую сумму: 103559,76 руб.</t>
  </si>
  <si>
    <t>(сто три тысячи пятьсот пятьдесят девять рублей 76 копеек)</t>
  </si>
  <si>
    <t>2. Всего за период с 01.02.2017 по 28.02.2017 выполнено работ (оказано услуг) на общую сумму: 124699,65 руб.</t>
  </si>
  <si>
    <t>(сто двадцать четыре тысячи шестьсот девяносто девять рублей 65 копеек)</t>
  </si>
  <si>
    <t>15 раз за сезон</t>
  </si>
  <si>
    <t>2. Всего за период с 01.11.2017 по 30.11.2017 выполнено работ (оказано услуг) на общую сумму: 98098,01 руб.</t>
  </si>
  <si>
    <t>(девяносто восемь тысяч девяносто восемь рублей 01 копейка)</t>
  </si>
  <si>
    <t>2. Всего за период с 01.12.2017 по 31.12.2017 выполнено работ (оказано услуг) на общую сумму: 91159,96 руб.</t>
  </si>
  <si>
    <t>(девяносто одна тысяча сто пятьдесят девять рублей 96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</si>
</sst>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/>
    <xf numFmtId="0" fontId="11" fillId="0" borderId="0" xfId="0" applyFont="1" applyAlignment="1">
      <alignment wrapText="1"/>
    </xf>
    <xf numFmtId="0" fontId="11" fillId="2" borderId="8" xfId="0" applyFont="1" applyFill="1" applyBorder="1" applyAlignment="1">
      <alignment horizontal="left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167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168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42766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/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v>0</v>
      </c>
      <c r="J19" s="86"/>
      <c r="K19" s="85"/>
      <c r="L19" s="85"/>
      <c r="M19" s="85"/>
    </row>
    <row r="20" spans="1:13" s="43" customFormat="1" ht="15.75" hidden="1" customHeight="1">
      <c r="A20" s="29">
        <v>4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v>0</v>
      </c>
      <c r="J20" s="86"/>
      <c r="K20" s="85"/>
      <c r="L20" s="85"/>
      <c r="M20" s="85"/>
    </row>
    <row r="21" spans="1:13" s="43" customFormat="1" ht="15.75" hidden="1" customHeight="1">
      <c r="A21" s="29">
        <v>5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v>0</v>
      </c>
      <c r="J21" s="86"/>
      <c r="K21" s="85"/>
      <c r="L21" s="85"/>
      <c r="M21" s="85"/>
    </row>
    <row r="22" spans="1:13" s="43" customFormat="1" ht="15.75" hidden="1" customHeight="1">
      <c r="A22" s="29"/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v>0</v>
      </c>
      <c r="J22" s="86"/>
      <c r="K22" s="85"/>
      <c r="L22" s="85"/>
      <c r="M22" s="85"/>
    </row>
    <row r="23" spans="1:13" s="43" customFormat="1" ht="15.75" hidden="1" customHeight="1">
      <c r="A23" s="29"/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v>0</v>
      </c>
      <c r="J23" s="86"/>
      <c r="K23" s="85"/>
      <c r="L23" s="85"/>
      <c r="M23" s="85"/>
    </row>
    <row r="24" spans="1:13" s="43" customFormat="1" ht="15.75" hidden="1" customHeight="1">
      <c r="A24" s="29"/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v>0</v>
      </c>
      <c r="J24" s="86"/>
      <c r="K24" s="85"/>
      <c r="L24" s="85"/>
      <c r="M24" s="85"/>
    </row>
    <row r="25" spans="1:13" s="43" customFormat="1" ht="31.5" hidden="1" customHeight="1">
      <c r="A25" s="50">
        <v>6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v>0</v>
      </c>
      <c r="J25" s="86"/>
      <c r="K25" s="85"/>
      <c r="L25" s="85"/>
      <c r="M25" s="85"/>
    </row>
    <row r="26" spans="1:13" s="43" customFormat="1" ht="15.75" hidden="1" customHeight="1">
      <c r="A26" s="50">
        <v>7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v>0</v>
      </c>
      <c r="J26" s="86"/>
      <c r="K26" s="85"/>
      <c r="L26" s="85"/>
      <c r="M26" s="85"/>
    </row>
    <row r="27" spans="1:13" s="43" customFormat="1" ht="15.75" customHeight="1">
      <c r="A27" s="50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1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50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1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2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2">SUM(F31*G31/1000)</f>
        <v>7.2964626280000004</v>
      </c>
      <c r="I31" s="13">
        <v>0</v>
      </c>
      <c r="J31" s="86"/>
      <c r="K31" s="85"/>
      <c r="L31" s="85"/>
      <c r="M31" s="85"/>
    </row>
    <row r="32" spans="1:13" s="43" customFormat="1" ht="31.5" hidden="1" customHeight="1">
      <c r="A32" s="50">
        <v>3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2"/>
        <v>5.8381067159999995</v>
      </c>
      <c r="I32" s="13">
        <v>0</v>
      </c>
      <c r="J32" s="86"/>
      <c r="K32" s="85"/>
      <c r="L32" s="85"/>
      <c r="M32" s="85"/>
    </row>
    <row r="33" spans="1:14" s="43" customFormat="1" ht="15.75" hidden="1" customHeight="1">
      <c r="A33" s="50">
        <v>4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2"/>
        <v>2.7185990329999998</v>
      </c>
      <c r="I33" s="13">
        <v>0</v>
      </c>
      <c r="J33" s="86"/>
      <c r="K33" s="85"/>
      <c r="L33" s="85"/>
      <c r="M33" s="85"/>
    </row>
    <row r="34" spans="1:14" s="43" customFormat="1" ht="15.75" hidden="1" customHeight="1">
      <c r="A34" s="50"/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v>0</v>
      </c>
      <c r="J34" s="86"/>
      <c r="K34" s="85"/>
      <c r="L34" s="85"/>
      <c r="M34" s="85"/>
    </row>
    <row r="35" spans="1:14" s="43" customFormat="1" ht="15.75" hidden="1" customHeight="1">
      <c r="A35" s="50">
        <v>5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v>0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3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3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4">SUM(F39*G39/1000)</f>
        <v>15.272200000000002</v>
      </c>
      <c r="I39" s="13">
        <f t="shared" ref="I39:I45" si="5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4"/>
        <v>15.997417679999998</v>
      </c>
      <c r="I40" s="13">
        <f t="shared" si="5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4"/>
        <v>18.255728220000002</v>
      </c>
      <c r="I41" s="13">
        <f t="shared" si="5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4"/>
        <v>15.73359275</v>
      </c>
      <c r="I42" s="13">
        <f t="shared" si="5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4"/>
        <v>15.04210176</v>
      </c>
      <c r="I43" s="13">
        <f t="shared" si="5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4"/>
        <v>2.5927775999999998</v>
      </c>
      <c r="I44" s="13">
        <f t="shared" si="5"/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11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4"/>
        <v>0.71820000000000006</v>
      </c>
      <c r="I45" s="13">
        <f t="shared" si="5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15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6">SUM(F47*G47/1000)</f>
        <v>2.8245542500000003</v>
      </c>
      <c r="I47" s="13">
        <v>0</v>
      </c>
      <c r="J47" s="87"/>
      <c r="L47" s="22"/>
      <c r="M47" s="23"/>
      <c r="N47" s="31"/>
    </row>
    <row r="48" spans="1:14" s="43" customFormat="1" ht="15.75" hidden="1" customHeight="1">
      <c r="A48" s="50"/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6"/>
        <v>0.10755148799999999</v>
      </c>
      <c r="I48" s="13">
        <v>0</v>
      </c>
      <c r="J48" s="87"/>
      <c r="L48" s="22"/>
      <c r="M48" s="23"/>
      <c r="N48" s="31"/>
    </row>
    <row r="49" spans="1:14" s="43" customFormat="1" ht="15.75" hidden="1" customHeight="1">
      <c r="A49" s="50">
        <v>16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6"/>
        <v>5.5058712720000003</v>
      </c>
      <c r="I49" s="13">
        <v>0</v>
      </c>
      <c r="J49" s="87"/>
      <c r="L49" s="22"/>
      <c r="M49" s="23"/>
      <c r="N49" s="31"/>
    </row>
    <row r="50" spans="1:14" s="43" customFormat="1" ht="15.75" hidden="1" customHeight="1">
      <c r="A50" s="50">
        <v>17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6"/>
        <v>3.4476550045999992</v>
      </c>
      <c r="I50" s="13">
        <v>0</v>
      </c>
      <c r="J50" s="87"/>
      <c r="L50" s="22"/>
      <c r="M50" s="23"/>
      <c r="N50" s="31"/>
    </row>
    <row r="51" spans="1:14" s="43" customFormat="1" ht="15.75" customHeight="1">
      <c r="A51" s="50">
        <v>12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6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6"/>
        <v>4.0107827499999997</v>
      </c>
      <c r="I52" s="13">
        <v>0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6"/>
        <v>2.1843919999999999</v>
      </c>
      <c r="I53" s="13">
        <v>0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6"/>
        <v>0.11304260000000001</v>
      </c>
      <c r="I54" s="13">
        <v>0</v>
      </c>
      <c r="J54" s="87"/>
      <c r="L54" s="22"/>
      <c r="M54" s="23"/>
      <c r="N54" s="31"/>
    </row>
    <row r="55" spans="1:14" s="43" customFormat="1" ht="15.75" customHeight="1">
      <c r="A55" s="50">
        <v>13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6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14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15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16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17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7">SUM(F65*G65/1000)</f>
        <v>2.2240000000000002</v>
      </c>
      <c r="I65" s="13">
        <f>G65*2</f>
        <v>444.8</v>
      </c>
      <c r="J65" s="87"/>
      <c r="L65" s="22"/>
      <c r="M65" s="23"/>
      <c r="N65" s="31"/>
    </row>
    <row r="66" spans="1:22" s="43" customFormat="1" ht="15.75" hidden="1" customHeight="1">
      <c r="A66" s="29">
        <v>29</v>
      </c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7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8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7"/>
        <v>49.360940499999998</v>
      </c>
      <c r="I67" s="13">
        <v>0</v>
      </c>
      <c r="J67" s="87"/>
      <c r="L67" s="22"/>
      <c r="M67" s="23"/>
      <c r="N67" s="31"/>
    </row>
    <row r="68" spans="1:22" s="43" customFormat="1" ht="15.75" hidden="1" customHeight="1">
      <c r="A68" s="29">
        <v>9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7"/>
        <v>3.8439410700000005</v>
      </c>
      <c r="I68" s="13">
        <v>0</v>
      </c>
      <c r="J68" s="87"/>
      <c r="L68" s="22"/>
      <c r="M68" s="23"/>
      <c r="N68" s="31"/>
    </row>
    <row r="69" spans="1:22" s="43" customFormat="1" ht="15.75" hidden="1" customHeight="1">
      <c r="A69" s="29">
        <v>10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7"/>
        <v>65.247113499999998</v>
      </c>
      <c r="I69" s="13">
        <v>0</v>
      </c>
      <c r="J69" s="87"/>
      <c r="L69" s="22"/>
    </row>
    <row r="70" spans="1:22" s="43" customFormat="1" ht="15.75" hidden="1" customHeight="1">
      <c r="A70" s="29">
        <v>11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7"/>
        <v>0.88156220000000007</v>
      </c>
      <c r="I70" s="13">
        <v>0</v>
      </c>
    </row>
    <row r="71" spans="1:22" s="43" customFormat="1" ht="15.75" hidden="1" customHeight="1">
      <c r="A71" s="29">
        <v>12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7"/>
        <v>0.82247460000000006</v>
      </c>
      <c r="I71" s="13">
        <v>0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7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36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v>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customHeight="1">
      <c r="A76" s="29">
        <v>18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/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v>0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/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8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19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20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SUM(I16+I17+I18+I27+I28+I39+I40+I41+I42+I43+I45+I51+I55+I58+I59+I62+I65+I76+I82+I83)</f>
        <v>100740.774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21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89" si="9">G86*F86/1000</f>
        <v>45.582860000000004</v>
      </c>
      <c r="I86" s="13">
        <f>G86*2</f>
        <v>2241.7800000000002</v>
      </c>
    </row>
    <row r="87" spans="1:9" s="43" customFormat="1" ht="15.75" customHeight="1">
      <c r="A87" s="29">
        <v>22</v>
      </c>
      <c r="B87" s="69" t="s">
        <v>158</v>
      </c>
      <c r="C87" s="82" t="s">
        <v>90</v>
      </c>
      <c r="D87" s="15"/>
      <c r="E87" s="20"/>
      <c r="F87" s="13">
        <v>2</v>
      </c>
      <c r="G87" s="13">
        <v>195.85</v>
      </c>
      <c r="H87" s="124">
        <f>G87*F87/1000</f>
        <v>0.39169999999999999</v>
      </c>
      <c r="I87" s="13">
        <f>G87</f>
        <v>195.85</v>
      </c>
    </row>
    <row r="88" spans="1:9" s="43" customFormat="1" ht="15.75" customHeight="1">
      <c r="A88" s="35">
        <v>23</v>
      </c>
      <c r="B88" s="69" t="s">
        <v>88</v>
      </c>
      <c r="C88" s="82" t="s">
        <v>137</v>
      </c>
      <c r="D88" s="15"/>
      <c r="E88" s="20"/>
      <c r="F88" s="13">
        <v>8</v>
      </c>
      <c r="G88" s="13">
        <v>189.88</v>
      </c>
      <c r="H88" s="124">
        <f t="shared" si="9"/>
        <v>1.5190399999999999</v>
      </c>
      <c r="I88" s="13">
        <f>G88*2</f>
        <v>379.76</v>
      </c>
    </row>
    <row r="89" spans="1:9" s="43" customFormat="1" ht="31.5" customHeight="1">
      <c r="A89" s="35">
        <v>24</v>
      </c>
      <c r="B89" s="69" t="s">
        <v>181</v>
      </c>
      <c r="C89" s="82" t="s">
        <v>30</v>
      </c>
      <c r="D89" s="15"/>
      <c r="E89" s="20"/>
      <c r="F89" s="18">
        <f>1/1000</f>
        <v>1E-3</v>
      </c>
      <c r="G89" s="13">
        <v>1591.6</v>
      </c>
      <c r="H89" s="154">
        <f t="shared" si="9"/>
        <v>1.5915999999999999E-3</v>
      </c>
      <c r="I89" s="13">
        <f>G89*0.001</f>
        <v>1.5915999999999999</v>
      </c>
    </row>
    <row r="90" spans="1:9" s="43" customFormat="1" ht="15.75" customHeight="1">
      <c r="A90" s="29"/>
      <c r="B90" s="55" t="s">
        <v>53</v>
      </c>
      <c r="C90" s="51"/>
      <c r="D90" s="65"/>
      <c r="E90" s="51">
        <v>1</v>
      </c>
      <c r="F90" s="51"/>
      <c r="G90" s="51"/>
      <c r="H90" s="51"/>
      <c r="I90" s="32">
        <f>SUM(I86:I89)</f>
        <v>2818.9816000000005</v>
      </c>
    </row>
    <row r="91" spans="1:9" s="43" customFormat="1" ht="15.75" customHeight="1">
      <c r="A91" s="29"/>
      <c r="B91" s="61" t="s">
        <v>84</v>
      </c>
      <c r="C91" s="16"/>
      <c r="D91" s="16"/>
      <c r="E91" s="52"/>
      <c r="F91" s="52"/>
      <c r="G91" s="53"/>
      <c r="H91" s="53"/>
      <c r="I91" s="19">
        <v>0</v>
      </c>
    </row>
    <row r="92" spans="1:9" s="43" customFormat="1" ht="15.75" customHeight="1">
      <c r="A92" s="66"/>
      <c r="B92" s="56" t="s">
        <v>179</v>
      </c>
      <c r="C92" s="38"/>
      <c r="D92" s="38"/>
      <c r="E92" s="38"/>
      <c r="F92" s="38"/>
      <c r="G92" s="38"/>
      <c r="H92" s="38"/>
      <c r="I92" s="54">
        <f>I84+I90</f>
        <v>103559.7556</v>
      </c>
    </row>
    <row r="93" spans="1:9" ht="15.75" customHeight="1">
      <c r="A93" s="162" t="s">
        <v>259</v>
      </c>
      <c r="B93" s="162"/>
      <c r="C93" s="162"/>
      <c r="D93" s="162"/>
      <c r="E93" s="162"/>
      <c r="F93" s="162"/>
      <c r="G93" s="162"/>
      <c r="H93" s="162"/>
      <c r="I93" s="162"/>
    </row>
    <row r="94" spans="1:9" ht="15.75" customHeight="1">
      <c r="A94" s="109"/>
      <c r="B94" s="186" t="s">
        <v>260</v>
      </c>
      <c r="C94" s="186"/>
      <c r="D94" s="186"/>
      <c r="E94" s="186"/>
      <c r="F94" s="186"/>
      <c r="G94" s="186"/>
      <c r="H94" s="123"/>
      <c r="I94" s="3"/>
    </row>
    <row r="95" spans="1:9" ht="15.75" customHeight="1">
      <c r="A95" s="103"/>
      <c r="B95" s="182" t="s">
        <v>6</v>
      </c>
      <c r="C95" s="182"/>
      <c r="D95" s="182"/>
      <c r="E95" s="182"/>
      <c r="F95" s="182"/>
      <c r="G95" s="182"/>
      <c r="H95" s="24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8" t="s">
        <v>66</v>
      </c>
      <c r="B99" s="188"/>
      <c r="C99" s="188"/>
      <c r="D99" s="188"/>
      <c r="E99" s="188"/>
      <c r="F99" s="188"/>
      <c r="G99" s="188"/>
      <c r="H99" s="188"/>
      <c r="I99" s="188"/>
    </row>
    <row r="100" spans="1:9" ht="15.75" customHeight="1">
      <c r="A100" s="10"/>
    </row>
    <row r="101" spans="1:9" ht="15.75" customHeight="1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 customHeight="1">
      <c r="A102" s="4"/>
    </row>
    <row r="103" spans="1:9" ht="15.75" customHeight="1">
      <c r="B103" s="108" t="s">
        <v>10</v>
      </c>
      <c r="C103" s="181" t="s">
        <v>98</v>
      </c>
      <c r="D103" s="181"/>
      <c r="E103" s="181"/>
      <c r="F103" s="117"/>
      <c r="I103" s="105"/>
    </row>
    <row r="104" spans="1:9" ht="15.75" customHeight="1">
      <c r="A104" s="103"/>
      <c r="C104" s="182" t="s">
        <v>11</v>
      </c>
      <c r="D104" s="182"/>
      <c r="E104" s="182"/>
      <c r="F104" s="24"/>
      <c r="I104" s="104" t="s">
        <v>12</v>
      </c>
    </row>
    <row r="105" spans="1:9" ht="15.75" customHeight="1">
      <c r="A105" s="25"/>
      <c r="C105" s="11"/>
      <c r="D105" s="11"/>
      <c r="G105" s="11"/>
      <c r="H105" s="11"/>
    </row>
    <row r="106" spans="1:9" ht="15.75" customHeight="1">
      <c r="B106" s="108" t="s">
        <v>13</v>
      </c>
      <c r="C106" s="183"/>
      <c r="D106" s="183"/>
      <c r="E106" s="183"/>
      <c r="F106" s="118"/>
      <c r="I106" s="105"/>
    </row>
    <row r="107" spans="1:9" ht="15.75" customHeight="1">
      <c r="A107" s="103"/>
      <c r="C107" s="184" t="s">
        <v>11</v>
      </c>
      <c r="D107" s="184"/>
      <c r="E107" s="184"/>
      <c r="F107" s="103"/>
      <c r="I107" s="104" t="s">
        <v>12</v>
      </c>
    </row>
    <row r="108" spans="1:9" ht="15.75" customHeight="1">
      <c r="A108" s="4" t="s">
        <v>14</v>
      </c>
    </row>
    <row r="109" spans="1:9">
      <c r="A109" s="185" t="s">
        <v>15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45" customHeight="1">
      <c r="A110" s="174" t="s">
        <v>16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30" customHeight="1">
      <c r="A111" s="174" t="s">
        <v>17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21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14.25" customHeight="1">
      <c r="A113" s="174" t="s">
        <v>20</v>
      </c>
      <c r="B113" s="174"/>
      <c r="C113" s="174"/>
      <c r="D113" s="174"/>
      <c r="E113" s="174"/>
      <c r="F113" s="174"/>
      <c r="G113" s="174"/>
      <c r="H113" s="174"/>
      <c r="I113" s="174"/>
    </row>
  </sheetData>
  <autoFilter ref="I12:I71"/>
  <mergeCells count="29">
    <mergeCell ref="A111:I111"/>
    <mergeCell ref="A112:I112"/>
    <mergeCell ref="A113:I113"/>
    <mergeCell ref="A81:I81"/>
    <mergeCell ref="A85:I85"/>
    <mergeCell ref="C103:E103"/>
    <mergeCell ref="C104:E104"/>
    <mergeCell ref="C106:E106"/>
    <mergeCell ref="C107:E107"/>
    <mergeCell ref="A109:I109"/>
    <mergeCell ref="A110:I110"/>
    <mergeCell ref="B94:G94"/>
    <mergeCell ref="B95:G95"/>
    <mergeCell ref="A97:I97"/>
    <mergeCell ref="A98:I98"/>
    <mergeCell ref="A99:I99"/>
    <mergeCell ref="A101:I101"/>
    <mergeCell ref="A15:I15"/>
    <mergeCell ref="A29:I29"/>
    <mergeCell ref="A46:I46"/>
    <mergeCell ref="A56:I56"/>
    <mergeCell ref="R77:U77"/>
    <mergeCell ref="A93:I93"/>
    <mergeCell ref="A3:I3"/>
    <mergeCell ref="A4:I4"/>
    <mergeCell ref="A5:I5"/>
    <mergeCell ref="A8:I8"/>
    <mergeCell ref="A10:I10"/>
    <mergeCell ref="A14:I1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239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240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43039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241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1" t="s">
        <v>241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10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11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12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13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hidden="1" customHeight="1">
      <c r="A51" s="50">
        <v>14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customHeight="1">
      <c r="A52" s="50">
        <v>10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customHeight="1">
      <c r="A53" s="50">
        <v>11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customHeight="1">
      <c r="A54" s="50">
        <v>12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customHeight="1">
      <c r="A55" s="50">
        <v>13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14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15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G65*6</f>
        <v>1334.4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17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f>F72*G72</f>
        <v>249.4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12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G76*0.1</f>
        <v>50.162000000000006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18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f>G78</f>
        <v>852.99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16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17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SUM(I16+I17+I18+I27+I28+I31+I32+I34+I35+I52+I53+I54+I55+I62+I65+I82+I83)</f>
        <v>91104.830877888875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18</v>
      </c>
      <c r="B86" s="69" t="s">
        <v>158</v>
      </c>
      <c r="C86" s="82" t="s">
        <v>90</v>
      </c>
      <c r="D86" s="44"/>
      <c r="E86" s="19"/>
      <c r="F86" s="40">
        <v>5</v>
      </c>
      <c r="G86" s="40">
        <v>195.85</v>
      </c>
      <c r="H86" s="155">
        <f>G86*F86/1000</f>
        <v>0.97924999999999995</v>
      </c>
      <c r="I86" s="13">
        <f>G86*3</f>
        <v>587.54999999999995</v>
      </c>
    </row>
    <row r="87" spans="1:9" s="43" customFormat="1" ht="31.5" customHeight="1">
      <c r="A87" s="35">
        <v>19</v>
      </c>
      <c r="B87" s="69" t="s">
        <v>192</v>
      </c>
      <c r="C87" s="82" t="s">
        <v>101</v>
      </c>
      <c r="D87" s="61"/>
      <c r="E87" s="13"/>
      <c r="F87" s="13">
        <v>8</v>
      </c>
      <c r="G87" s="13">
        <v>803.54</v>
      </c>
      <c r="H87" s="155">
        <f t="shared" ref="H87:H88" si="14">G87*F87/1000</f>
        <v>6.4283199999999994</v>
      </c>
      <c r="I87" s="13">
        <f>G87*2</f>
        <v>1607.08</v>
      </c>
    </row>
    <row r="88" spans="1:9" s="43" customFormat="1" ht="31.5" customHeight="1">
      <c r="A88" s="35">
        <v>20</v>
      </c>
      <c r="B88" s="69" t="s">
        <v>97</v>
      </c>
      <c r="C88" s="82" t="s">
        <v>101</v>
      </c>
      <c r="D88" s="80"/>
      <c r="E88" s="40"/>
      <c r="F88" s="40">
        <v>9</v>
      </c>
      <c r="G88" s="40">
        <v>589.84</v>
      </c>
      <c r="H88" s="155">
        <f t="shared" si="14"/>
        <v>5.3085600000000008</v>
      </c>
      <c r="I88" s="13">
        <f>G88*2</f>
        <v>1179.68</v>
      </c>
    </row>
    <row r="89" spans="1:9" s="43" customFormat="1" ht="15.75" customHeight="1">
      <c r="A89" s="35">
        <v>21</v>
      </c>
      <c r="B89" s="69" t="s">
        <v>242</v>
      </c>
      <c r="C89" s="82" t="s">
        <v>243</v>
      </c>
      <c r="D89" s="61"/>
      <c r="E89" s="13"/>
      <c r="F89" s="13">
        <v>2</v>
      </c>
      <c r="G89" s="13">
        <v>306.37</v>
      </c>
      <c r="H89" s="124">
        <f>G89*F89/1000</f>
        <v>0.61274000000000006</v>
      </c>
      <c r="I89" s="13">
        <f>G89*2</f>
        <v>612.74</v>
      </c>
    </row>
    <row r="90" spans="1:9" s="43" customFormat="1" ht="15.75" customHeight="1">
      <c r="A90" s="35">
        <v>22</v>
      </c>
      <c r="B90" s="83" t="s">
        <v>198</v>
      </c>
      <c r="C90" s="84" t="s">
        <v>137</v>
      </c>
      <c r="D90" s="80"/>
      <c r="E90" s="40"/>
      <c r="F90" s="40">
        <v>2</v>
      </c>
      <c r="G90" s="40">
        <v>1202.53</v>
      </c>
      <c r="H90" s="40">
        <f>G90*F90/1000</f>
        <v>2.4050599999999998</v>
      </c>
      <c r="I90" s="13">
        <f t="shared" ref="I90:I91" si="15">G90*2</f>
        <v>2405.06</v>
      </c>
    </row>
    <row r="91" spans="1:9" s="43" customFormat="1" ht="15.75" customHeight="1">
      <c r="A91" s="35">
        <v>23</v>
      </c>
      <c r="B91" s="83" t="s">
        <v>244</v>
      </c>
      <c r="C91" s="84" t="s">
        <v>137</v>
      </c>
      <c r="D91" s="61"/>
      <c r="E91" s="40"/>
      <c r="F91" s="40">
        <v>2</v>
      </c>
      <c r="G91" s="40">
        <v>1605.83</v>
      </c>
      <c r="H91" s="155">
        <f>G91*F91/1000</f>
        <v>3.2116599999999997</v>
      </c>
      <c r="I91" s="13">
        <f t="shared" si="15"/>
        <v>3211.66</v>
      </c>
    </row>
    <row r="92" spans="1:9" s="43" customFormat="1" ht="15.75" customHeight="1">
      <c r="A92" s="35">
        <v>24</v>
      </c>
      <c r="B92" s="69" t="s">
        <v>245</v>
      </c>
      <c r="C92" s="82" t="s">
        <v>163</v>
      </c>
      <c r="D92" s="70"/>
      <c r="E92" s="20"/>
      <c r="F92" s="13">
        <v>28</v>
      </c>
      <c r="G92" s="13">
        <f>103656/303</f>
        <v>342.0990099009901</v>
      </c>
      <c r="H92" s="124">
        <f t="shared" ref="H92" si="16">G92*F92/1000</f>
        <v>9.5787722772277224</v>
      </c>
      <c r="I92" s="13">
        <f>G92*28</f>
        <v>9578.772277227723</v>
      </c>
    </row>
    <row r="93" spans="1:9" s="43" customFormat="1" ht="15.75" customHeight="1">
      <c r="A93" s="29"/>
      <c r="B93" s="55" t="s">
        <v>53</v>
      </c>
      <c r="C93" s="51"/>
      <c r="D93" s="65"/>
      <c r="E93" s="51">
        <v>1</v>
      </c>
      <c r="F93" s="51"/>
      <c r="G93" s="51"/>
      <c r="H93" s="51"/>
      <c r="I93" s="32">
        <f>SUM(I86:I92)</f>
        <v>19182.542277227723</v>
      </c>
    </row>
    <row r="94" spans="1:9" s="43" customFormat="1" ht="15.75" customHeight="1">
      <c r="A94" s="29"/>
      <c r="B94" s="61" t="s">
        <v>84</v>
      </c>
      <c r="C94" s="16"/>
      <c r="D94" s="16"/>
      <c r="E94" s="52"/>
      <c r="F94" s="52"/>
      <c r="G94" s="53"/>
      <c r="H94" s="53"/>
      <c r="I94" s="19">
        <v>0</v>
      </c>
    </row>
    <row r="95" spans="1:9" s="43" customFormat="1" ht="15.75" customHeight="1">
      <c r="A95" s="66"/>
      <c r="B95" s="56" t="s">
        <v>179</v>
      </c>
      <c r="C95" s="38"/>
      <c r="D95" s="38"/>
      <c r="E95" s="38"/>
      <c r="F95" s="38"/>
      <c r="G95" s="38"/>
      <c r="H95" s="38"/>
      <c r="I95" s="54">
        <f>I84+I93</f>
        <v>110287.3731551166</v>
      </c>
    </row>
    <row r="96" spans="1:9" ht="15.75" customHeight="1">
      <c r="A96" s="162" t="s">
        <v>246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09"/>
      <c r="B97" s="186" t="s">
        <v>247</v>
      </c>
      <c r="C97" s="186"/>
      <c r="D97" s="186"/>
      <c r="E97" s="186"/>
      <c r="F97" s="186"/>
      <c r="G97" s="186"/>
      <c r="H97" s="123"/>
      <c r="I97" s="3"/>
    </row>
    <row r="98" spans="1:9" ht="15.75" customHeight="1">
      <c r="A98" s="103"/>
      <c r="B98" s="182" t="s">
        <v>6</v>
      </c>
      <c r="C98" s="182"/>
      <c r="D98" s="182"/>
      <c r="E98" s="182"/>
      <c r="F98" s="182"/>
      <c r="G98" s="182"/>
      <c r="H98" s="24"/>
      <c r="I98" s="5"/>
    </row>
    <row r="99" spans="1:9" ht="8.2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187" t="s">
        <v>7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 customHeight="1">
      <c r="A101" s="187" t="s">
        <v>8</v>
      </c>
      <c r="B101" s="187"/>
      <c r="C101" s="187"/>
      <c r="D101" s="187"/>
      <c r="E101" s="187"/>
      <c r="F101" s="187"/>
      <c r="G101" s="187"/>
      <c r="H101" s="187"/>
      <c r="I101" s="187"/>
    </row>
    <row r="102" spans="1:9" ht="15.75" customHeight="1">
      <c r="A102" s="188" t="s">
        <v>66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 customHeight="1">
      <c r="A103" s="10"/>
    </row>
    <row r="104" spans="1:9" ht="15.75" customHeight="1">
      <c r="A104" s="169" t="s">
        <v>9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4"/>
    </row>
    <row r="106" spans="1:9" ht="15.75" customHeight="1">
      <c r="B106" s="108" t="s">
        <v>10</v>
      </c>
      <c r="C106" s="181" t="s">
        <v>98</v>
      </c>
      <c r="D106" s="181"/>
      <c r="E106" s="181"/>
      <c r="F106" s="117"/>
      <c r="I106" s="105"/>
    </row>
    <row r="107" spans="1:9" ht="15.75" customHeight="1">
      <c r="A107" s="103"/>
      <c r="C107" s="182" t="s">
        <v>11</v>
      </c>
      <c r="D107" s="182"/>
      <c r="E107" s="182"/>
      <c r="F107" s="24"/>
      <c r="I107" s="104" t="s">
        <v>12</v>
      </c>
    </row>
    <row r="108" spans="1:9" ht="15.75" customHeight="1">
      <c r="A108" s="25"/>
      <c r="C108" s="11"/>
      <c r="D108" s="11"/>
      <c r="G108" s="11"/>
      <c r="H108" s="11"/>
    </row>
    <row r="109" spans="1:9" ht="15.75" customHeight="1">
      <c r="B109" s="108" t="s">
        <v>13</v>
      </c>
      <c r="C109" s="183"/>
      <c r="D109" s="183"/>
      <c r="E109" s="183"/>
      <c r="F109" s="118"/>
      <c r="I109" s="105"/>
    </row>
    <row r="110" spans="1:9" ht="15.75" customHeight="1">
      <c r="A110" s="103"/>
      <c r="C110" s="184" t="s">
        <v>11</v>
      </c>
      <c r="D110" s="184"/>
      <c r="E110" s="184"/>
      <c r="F110" s="103"/>
      <c r="I110" s="104" t="s">
        <v>12</v>
      </c>
    </row>
    <row r="111" spans="1:9" ht="15.75" customHeight="1">
      <c r="A111" s="4" t="s">
        <v>14</v>
      </c>
    </row>
    <row r="112" spans="1:9">
      <c r="A112" s="185" t="s">
        <v>15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45" customHeight="1">
      <c r="A113" s="174" t="s">
        <v>16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30" customHeight="1">
      <c r="A114" s="174" t="s">
        <v>17</v>
      </c>
      <c r="B114" s="174"/>
      <c r="C114" s="174"/>
      <c r="D114" s="174"/>
      <c r="E114" s="174"/>
      <c r="F114" s="174"/>
      <c r="G114" s="174"/>
      <c r="H114" s="174"/>
      <c r="I114" s="174"/>
    </row>
    <row r="115" spans="1:9" ht="30" customHeight="1">
      <c r="A115" s="174" t="s">
        <v>21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14.25" customHeight="1">
      <c r="A116" s="174" t="s">
        <v>20</v>
      </c>
      <c r="B116" s="174"/>
      <c r="C116" s="174"/>
      <c r="D116" s="174"/>
      <c r="E116" s="174"/>
      <c r="F116" s="174"/>
      <c r="G116" s="174"/>
      <c r="H116" s="174"/>
      <c r="I116" s="174"/>
    </row>
  </sheetData>
  <autoFilter ref="I12:I71"/>
  <mergeCells count="29">
    <mergeCell ref="A112:I112"/>
    <mergeCell ref="A113:I113"/>
    <mergeCell ref="A114:I114"/>
    <mergeCell ref="A115:I115"/>
    <mergeCell ref="A116:I116"/>
    <mergeCell ref="R77:U77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159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160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0">
        <v>43014</v>
      </c>
      <c r="J6" s="2"/>
      <c r="K6" s="2"/>
      <c r="L6" s="2"/>
      <c r="M6" s="2"/>
    </row>
    <row r="7" spans="1:13" ht="15.75" customHeight="1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161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162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hidden="1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hidden="1" customHeight="1">
      <c r="A15" s="168" t="s">
        <v>4</v>
      </c>
      <c r="B15" s="168"/>
      <c r="C15" s="168"/>
      <c r="D15" s="168"/>
      <c r="E15" s="168"/>
      <c r="F15" s="168"/>
      <c r="G15" s="168"/>
      <c r="H15" s="168"/>
      <c r="I15" s="168"/>
      <c r="J15" s="85"/>
      <c r="K15" s="85"/>
      <c r="L15" s="85"/>
      <c r="M15" s="85"/>
    </row>
    <row r="16" spans="1:13" s="43" customFormat="1" ht="15.75" hidden="1" customHeight="1">
      <c r="A16" s="29">
        <v>1</v>
      </c>
      <c r="B16" s="34" t="s">
        <v>94</v>
      </c>
      <c r="C16" s="49" t="s">
        <v>115</v>
      </c>
      <c r="D16" s="34" t="s">
        <v>116</v>
      </c>
      <c r="E16" s="101"/>
      <c r="F16" s="110"/>
      <c r="G16" s="33">
        <v>175.38</v>
      </c>
      <c r="H16" s="119"/>
      <c r="I16" s="70">
        <v>3857.66</v>
      </c>
      <c r="J16" s="85"/>
      <c r="K16" s="85"/>
      <c r="L16" s="85"/>
      <c r="M16" s="85"/>
    </row>
    <row r="17" spans="1:13" s="43" customFormat="1" ht="15.75" hidden="1" customHeight="1">
      <c r="A17" s="29">
        <v>2</v>
      </c>
      <c r="B17" s="34" t="s">
        <v>102</v>
      </c>
      <c r="C17" s="49" t="s">
        <v>115</v>
      </c>
      <c r="D17" s="34" t="s">
        <v>117</v>
      </c>
      <c r="E17" s="101"/>
      <c r="F17" s="110"/>
      <c r="G17" s="33">
        <v>175.38</v>
      </c>
      <c r="H17" s="119"/>
      <c r="I17" s="70">
        <v>10284.049999999999</v>
      </c>
      <c r="J17" s="86"/>
      <c r="K17" s="85"/>
      <c r="L17" s="85"/>
      <c r="M17" s="85"/>
    </row>
    <row r="18" spans="1:13" s="43" customFormat="1" ht="15.75" hidden="1" customHeight="1">
      <c r="A18" s="29">
        <v>3</v>
      </c>
      <c r="B18" s="34" t="s">
        <v>103</v>
      </c>
      <c r="C18" s="49" t="s">
        <v>115</v>
      </c>
      <c r="D18" s="34" t="s">
        <v>118</v>
      </c>
      <c r="E18" s="101"/>
      <c r="F18" s="110"/>
      <c r="G18" s="33">
        <v>504.5</v>
      </c>
      <c r="H18" s="119"/>
      <c r="I18" s="70">
        <v>8534.1200000000008</v>
      </c>
      <c r="J18" s="86"/>
      <c r="K18" s="85"/>
      <c r="L18" s="85"/>
      <c r="M18" s="85"/>
    </row>
    <row r="19" spans="1:13" s="43" customFormat="1" ht="15.75" hidden="1" customHeight="1">
      <c r="A19" s="29"/>
      <c r="B19" s="34" t="s">
        <v>119</v>
      </c>
      <c r="C19" s="49" t="s">
        <v>120</v>
      </c>
      <c r="D19" s="34" t="s">
        <v>121</v>
      </c>
      <c r="E19" s="101"/>
      <c r="F19" s="110"/>
      <c r="G19" s="33">
        <v>170.16</v>
      </c>
      <c r="H19" s="119"/>
      <c r="I19" s="70">
        <v>0</v>
      </c>
      <c r="J19" s="86"/>
      <c r="K19" s="85"/>
      <c r="L19" s="85"/>
      <c r="M19" s="85"/>
    </row>
    <row r="20" spans="1:13" s="43" customFormat="1" ht="15.75" hidden="1" customHeight="1">
      <c r="A20" s="29">
        <v>4</v>
      </c>
      <c r="B20" s="34" t="s">
        <v>107</v>
      </c>
      <c r="C20" s="49" t="s">
        <v>115</v>
      </c>
      <c r="D20" s="34" t="s">
        <v>56</v>
      </c>
      <c r="E20" s="101"/>
      <c r="F20" s="110"/>
      <c r="G20" s="33">
        <v>217.88</v>
      </c>
      <c r="H20" s="119"/>
      <c r="I20" s="70">
        <v>0</v>
      </c>
      <c r="J20" s="86"/>
      <c r="K20" s="85"/>
      <c r="L20" s="85"/>
      <c r="M20" s="85"/>
    </row>
    <row r="21" spans="1:13" s="43" customFormat="1" ht="15.75" hidden="1" customHeight="1">
      <c r="A21" s="29">
        <v>5</v>
      </c>
      <c r="B21" s="34" t="s">
        <v>108</v>
      </c>
      <c r="C21" s="49" t="s">
        <v>115</v>
      </c>
      <c r="D21" s="34" t="s">
        <v>56</v>
      </c>
      <c r="E21" s="101"/>
      <c r="F21" s="110"/>
      <c r="G21" s="33">
        <v>216.12</v>
      </c>
      <c r="H21" s="119"/>
      <c r="I21" s="70">
        <v>0</v>
      </c>
      <c r="J21" s="86"/>
      <c r="K21" s="85"/>
      <c r="L21" s="85"/>
      <c r="M21" s="85"/>
    </row>
    <row r="22" spans="1:13" s="43" customFormat="1" ht="15.75" hidden="1" customHeight="1">
      <c r="A22" s="29"/>
      <c r="B22" s="34" t="s">
        <v>122</v>
      </c>
      <c r="C22" s="49" t="s">
        <v>55</v>
      </c>
      <c r="D22" s="34" t="s">
        <v>121</v>
      </c>
      <c r="E22" s="101"/>
      <c r="F22" s="110"/>
      <c r="G22" s="33">
        <v>269.26</v>
      </c>
      <c r="H22" s="119"/>
      <c r="I22" s="70">
        <v>0</v>
      </c>
      <c r="J22" s="86"/>
      <c r="K22" s="85"/>
      <c r="L22" s="85"/>
      <c r="M22" s="85"/>
    </row>
    <row r="23" spans="1:13" s="43" customFormat="1" ht="15.75" hidden="1" customHeight="1">
      <c r="A23" s="29"/>
      <c r="B23" s="34" t="s">
        <v>123</v>
      </c>
      <c r="C23" s="49" t="s">
        <v>55</v>
      </c>
      <c r="D23" s="34" t="s">
        <v>121</v>
      </c>
      <c r="E23" s="101"/>
      <c r="F23" s="110"/>
      <c r="G23" s="33">
        <v>44.29</v>
      </c>
      <c r="H23" s="119"/>
      <c r="I23" s="70">
        <v>0</v>
      </c>
      <c r="J23" s="86"/>
      <c r="K23" s="85"/>
      <c r="L23" s="85"/>
      <c r="M23" s="85"/>
    </row>
    <row r="24" spans="1:13" s="43" customFormat="1" ht="15.75" hidden="1" customHeight="1">
      <c r="A24" s="29"/>
      <c r="B24" s="34" t="s">
        <v>111</v>
      </c>
      <c r="C24" s="49" t="s">
        <v>55</v>
      </c>
      <c r="D24" s="34" t="s">
        <v>56</v>
      </c>
      <c r="E24" s="101"/>
      <c r="F24" s="110"/>
      <c r="G24" s="33">
        <v>389.42</v>
      </c>
      <c r="H24" s="119"/>
      <c r="I24" s="70">
        <v>0</v>
      </c>
      <c r="J24" s="86"/>
      <c r="K24" s="85"/>
      <c r="L24" s="85"/>
      <c r="M24" s="85"/>
    </row>
    <row r="25" spans="1:13" s="43" customFormat="1" ht="15.75" hidden="1" customHeight="1">
      <c r="A25" s="50">
        <v>6</v>
      </c>
      <c r="B25" s="34" t="s">
        <v>149</v>
      </c>
      <c r="C25" s="49" t="s">
        <v>55</v>
      </c>
      <c r="D25" s="34" t="s">
        <v>56</v>
      </c>
      <c r="E25" s="19"/>
      <c r="F25" s="111"/>
      <c r="G25" s="33">
        <v>216.12</v>
      </c>
      <c r="H25" s="119"/>
      <c r="I25" s="70">
        <v>0</v>
      </c>
      <c r="J25" s="86"/>
      <c r="K25" s="85"/>
      <c r="L25" s="85"/>
      <c r="M25" s="85"/>
    </row>
    <row r="26" spans="1:13" s="43" customFormat="1" ht="15.75" hidden="1" customHeight="1">
      <c r="A26" s="50">
        <v>7</v>
      </c>
      <c r="B26" s="34" t="s">
        <v>112</v>
      </c>
      <c r="C26" s="49" t="s">
        <v>55</v>
      </c>
      <c r="D26" s="34" t="s">
        <v>56</v>
      </c>
      <c r="E26" s="19">
        <v>506.1</v>
      </c>
      <c r="F26" s="111"/>
      <c r="G26" s="33">
        <v>520.79999999999995</v>
      </c>
      <c r="H26" s="119"/>
      <c r="I26" s="70">
        <v>0</v>
      </c>
      <c r="J26" s="86"/>
      <c r="K26" s="85"/>
      <c r="L26" s="85"/>
      <c r="M26" s="85"/>
    </row>
    <row r="27" spans="1:13" s="43" customFormat="1" ht="15.75" hidden="1" customHeight="1">
      <c r="A27" s="50">
        <v>4</v>
      </c>
      <c r="B27" s="34" t="s">
        <v>70</v>
      </c>
      <c r="C27" s="49" t="s">
        <v>35</v>
      </c>
      <c r="D27" s="90" t="s">
        <v>25</v>
      </c>
      <c r="E27" s="19"/>
      <c r="F27" s="111"/>
      <c r="G27" s="33">
        <v>147.03</v>
      </c>
      <c r="H27" s="119"/>
      <c r="I27" s="70">
        <v>447.22</v>
      </c>
      <c r="J27" s="86"/>
      <c r="K27" s="85"/>
      <c r="L27" s="85"/>
      <c r="M27" s="85"/>
    </row>
    <row r="28" spans="1:13" s="43" customFormat="1" ht="15.75" hidden="1" customHeight="1">
      <c r="A28" s="50">
        <v>5</v>
      </c>
      <c r="B28" s="90" t="s">
        <v>23</v>
      </c>
      <c r="C28" s="49" t="s">
        <v>24</v>
      </c>
      <c r="D28" s="90" t="s">
        <v>25</v>
      </c>
      <c r="E28" s="19"/>
      <c r="F28" s="111"/>
      <c r="G28" s="33">
        <v>3.33</v>
      </c>
      <c r="H28" s="119"/>
      <c r="I28" s="70">
        <v>19701.28</v>
      </c>
      <c r="J28" s="86"/>
      <c r="K28" s="85"/>
      <c r="L28" s="85"/>
      <c r="M28" s="85"/>
    </row>
    <row r="29" spans="1:13" s="43" customFormat="1" ht="15.75" hidden="1" customHeight="1">
      <c r="A29" s="168" t="s">
        <v>92</v>
      </c>
      <c r="B29" s="168"/>
      <c r="C29" s="168"/>
      <c r="D29" s="168"/>
      <c r="E29" s="168"/>
      <c r="F29" s="168"/>
      <c r="G29" s="168"/>
      <c r="H29" s="168"/>
      <c r="I29" s="168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2</v>
      </c>
      <c r="B31" s="34" t="s">
        <v>124</v>
      </c>
      <c r="C31" s="49" t="s">
        <v>125</v>
      </c>
      <c r="D31" s="34" t="s">
        <v>126</v>
      </c>
      <c r="E31" s="14">
        <v>2.31</v>
      </c>
      <c r="F31" s="112"/>
      <c r="G31" s="33">
        <v>155.88999999999999</v>
      </c>
      <c r="H31" s="119"/>
      <c r="I31" s="13">
        <v>0</v>
      </c>
      <c r="J31" s="86"/>
      <c r="K31" s="85"/>
      <c r="L31" s="85"/>
      <c r="M31" s="85"/>
    </row>
    <row r="32" spans="1:13" s="43" customFormat="1" ht="31.5" hidden="1" customHeight="1">
      <c r="A32" s="50">
        <v>3</v>
      </c>
      <c r="B32" s="34" t="s">
        <v>127</v>
      </c>
      <c r="C32" s="49" t="s">
        <v>125</v>
      </c>
      <c r="D32" s="34" t="s">
        <v>128</v>
      </c>
      <c r="E32" s="13">
        <f>0.0024*3*4.5</f>
        <v>3.2399999999999998E-2</v>
      </c>
      <c r="F32" s="113"/>
      <c r="G32" s="33">
        <v>258.63</v>
      </c>
      <c r="H32" s="119"/>
      <c r="I32" s="20">
        <v>0</v>
      </c>
      <c r="J32" s="86"/>
      <c r="K32" s="85"/>
      <c r="L32" s="85"/>
      <c r="M32" s="85"/>
    </row>
    <row r="33" spans="1:14" s="43" customFormat="1" ht="15.75" hidden="1" customHeight="1">
      <c r="A33" s="50">
        <v>4</v>
      </c>
      <c r="B33" s="34" t="s">
        <v>28</v>
      </c>
      <c r="C33" s="49" t="s">
        <v>125</v>
      </c>
      <c r="D33" s="34" t="s">
        <v>56</v>
      </c>
      <c r="E33" s="18">
        <v>0</v>
      </c>
      <c r="F33" s="114"/>
      <c r="G33" s="33">
        <v>3020.33</v>
      </c>
      <c r="H33" s="119"/>
      <c r="I33" s="20">
        <v>0</v>
      </c>
      <c r="J33" s="86"/>
      <c r="K33" s="85"/>
      <c r="L33" s="85"/>
      <c r="M33" s="85"/>
    </row>
    <row r="34" spans="1:14" s="43" customFormat="1" ht="15.75" hidden="1" customHeight="1">
      <c r="A34" s="50"/>
      <c r="B34" s="34" t="s">
        <v>129</v>
      </c>
      <c r="C34" s="49" t="s">
        <v>41</v>
      </c>
      <c r="D34" s="34" t="s">
        <v>69</v>
      </c>
      <c r="E34" s="18"/>
      <c r="F34" s="114"/>
      <c r="G34" s="33">
        <v>1302.02</v>
      </c>
      <c r="H34" s="119"/>
      <c r="I34" s="20">
        <v>0</v>
      </c>
      <c r="J34" s="86"/>
      <c r="K34" s="85"/>
      <c r="L34" s="85"/>
      <c r="M34" s="85"/>
    </row>
    <row r="35" spans="1:14" s="43" customFormat="1" ht="15.75" hidden="1" customHeight="1">
      <c r="A35" s="50">
        <v>5</v>
      </c>
      <c r="B35" s="34" t="s">
        <v>130</v>
      </c>
      <c r="C35" s="49" t="s">
        <v>32</v>
      </c>
      <c r="D35" s="34" t="s">
        <v>69</v>
      </c>
      <c r="E35" s="18">
        <v>0</v>
      </c>
      <c r="F35" s="114"/>
      <c r="G35" s="33">
        <v>56.69</v>
      </c>
      <c r="H35" s="119"/>
      <c r="I35" s="20">
        <v>0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34" t="s">
        <v>71</v>
      </c>
      <c r="C36" s="49" t="s">
        <v>35</v>
      </c>
      <c r="D36" s="34" t="s">
        <v>73</v>
      </c>
      <c r="E36" s="13">
        <v>3.75</v>
      </c>
      <c r="F36" s="113"/>
      <c r="G36" s="33">
        <v>191.32</v>
      </c>
      <c r="H36" s="119"/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34" t="s">
        <v>72</v>
      </c>
      <c r="C37" s="49" t="s">
        <v>34</v>
      </c>
      <c r="D37" s="34" t="s">
        <v>73</v>
      </c>
      <c r="E37" s="13"/>
      <c r="F37" s="113"/>
      <c r="G37" s="33">
        <v>1136.32</v>
      </c>
      <c r="H37" s="119"/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36" t="s">
        <v>27</v>
      </c>
      <c r="C39" s="49" t="s">
        <v>34</v>
      </c>
      <c r="D39" s="34"/>
      <c r="E39" s="13">
        <v>0</v>
      </c>
      <c r="F39" s="113"/>
      <c r="G39" s="33">
        <v>1527.22</v>
      </c>
      <c r="H39" s="119"/>
      <c r="I39" s="13">
        <v>2545.37</v>
      </c>
      <c r="J39" s="87"/>
    </row>
    <row r="40" spans="1:14" s="43" customFormat="1" ht="15.75" hidden="1" customHeight="1">
      <c r="A40" s="35">
        <v>7</v>
      </c>
      <c r="B40" s="36" t="s">
        <v>114</v>
      </c>
      <c r="C40" s="71" t="s">
        <v>30</v>
      </c>
      <c r="D40" s="36" t="s">
        <v>150</v>
      </c>
      <c r="E40" s="13"/>
      <c r="F40" s="113"/>
      <c r="G40" s="37">
        <v>2102.71</v>
      </c>
      <c r="H40" s="120"/>
      <c r="I40" s="13">
        <v>2666.24</v>
      </c>
      <c r="J40" s="87"/>
    </row>
    <row r="41" spans="1:14" s="43" customFormat="1" ht="15.75" hidden="1" customHeight="1">
      <c r="A41" s="35">
        <v>8</v>
      </c>
      <c r="B41" s="36" t="s">
        <v>151</v>
      </c>
      <c r="C41" s="71" t="s">
        <v>30</v>
      </c>
      <c r="D41" s="36" t="s">
        <v>152</v>
      </c>
      <c r="E41" s="13"/>
      <c r="F41" s="113"/>
      <c r="G41" s="37">
        <v>2102.71</v>
      </c>
      <c r="H41" s="120"/>
      <c r="I41" s="13">
        <v>3042.62</v>
      </c>
      <c r="J41" s="87"/>
    </row>
    <row r="42" spans="1:14" s="43" customFormat="1" ht="15.75" hidden="1" customHeight="1">
      <c r="A42" s="35">
        <v>9</v>
      </c>
      <c r="B42" s="34" t="s">
        <v>74</v>
      </c>
      <c r="C42" s="49" t="s">
        <v>30</v>
      </c>
      <c r="D42" s="34" t="s">
        <v>131</v>
      </c>
      <c r="E42" s="13">
        <v>0</v>
      </c>
      <c r="F42" s="113"/>
      <c r="G42" s="33">
        <v>350.75</v>
      </c>
      <c r="H42" s="119"/>
      <c r="I42" s="13">
        <v>2622.27</v>
      </c>
      <c r="J42" s="87"/>
    </row>
    <row r="43" spans="1:14" s="43" customFormat="1" ht="47.25" hidden="1" customHeight="1">
      <c r="A43" s="35">
        <v>10</v>
      </c>
      <c r="B43" s="34" t="s">
        <v>89</v>
      </c>
      <c r="C43" s="49" t="s">
        <v>125</v>
      </c>
      <c r="D43" s="34" t="s">
        <v>153</v>
      </c>
      <c r="E43" s="13">
        <v>0</v>
      </c>
      <c r="F43" s="113"/>
      <c r="G43" s="33">
        <v>5803.28</v>
      </c>
      <c r="H43" s="119"/>
      <c r="I43" s="13">
        <v>2507.02</v>
      </c>
      <c r="J43" s="87"/>
    </row>
    <row r="44" spans="1:14" s="43" customFormat="1" ht="15.75" hidden="1" customHeight="1">
      <c r="A44" s="35">
        <v>11</v>
      </c>
      <c r="B44" s="34" t="s">
        <v>132</v>
      </c>
      <c r="C44" s="49" t="s">
        <v>125</v>
      </c>
      <c r="D44" s="34" t="s">
        <v>75</v>
      </c>
      <c r="E44" s="13"/>
      <c r="F44" s="113"/>
      <c r="G44" s="33">
        <v>428.7</v>
      </c>
      <c r="H44" s="119"/>
      <c r="I44" s="13">
        <v>432.13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36" t="s">
        <v>76</v>
      </c>
      <c r="C45" s="71" t="s">
        <v>35</v>
      </c>
      <c r="D45" s="36"/>
      <c r="E45" s="13"/>
      <c r="F45" s="113"/>
      <c r="G45" s="37">
        <v>798</v>
      </c>
      <c r="H45" s="120"/>
      <c r="I45" s="13">
        <v>119.7</v>
      </c>
      <c r="J45" s="87"/>
      <c r="L45" s="22"/>
      <c r="M45" s="23"/>
      <c r="N45" s="31"/>
    </row>
    <row r="46" spans="1:14" s="43" customFormat="1" ht="15.75" hidden="1" customHeight="1">
      <c r="A46" s="190" t="s">
        <v>67</v>
      </c>
      <c r="B46" s="191"/>
      <c r="C46" s="191"/>
      <c r="D46" s="191"/>
      <c r="E46" s="191"/>
      <c r="F46" s="191"/>
      <c r="G46" s="191"/>
      <c r="H46" s="191"/>
      <c r="I46" s="192"/>
      <c r="J46" s="87"/>
      <c r="L46" s="22"/>
      <c r="M46" s="23"/>
      <c r="N46" s="31"/>
    </row>
    <row r="47" spans="1:14" s="43" customFormat="1" ht="15.75" hidden="1" customHeight="1">
      <c r="A47" s="50">
        <v>15</v>
      </c>
      <c r="B47" s="34" t="s">
        <v>133</v>
      </c>
      <c r="C47" s="49" t="s">
        <v>125</v>
      </c>
      <c r="D47" s="34" t="s">
        <v>43</v>
      </c>
      <c r="E47" s="20">
        <v>0.42</v>
      </c>
      <c r="F47" s="20"/>
      <c r="G47" s="40">
        <v>849.49</v>
      </c>
      <c r="H47" s="40"/>
      <c r="I47" s="21">
        <v>0</v>
      </c>
      <c r="J47" s="87"/>
      <c r="L47" s="22"/>
      <c r="M47" s="23"/>
      <c r="N47" s="31"/>
    </row>
    <row r="48" spans="1:14" s="43" customFormat="1" ht="15.75" hidden="1" customHeight="1">
      <c r="A48" s="50"/>
      <c r="B48" s="34" t="s">
        <v>36</v>
      </c>
      <c r="C48" s="49" t="s">
        <v>125</v>
      </c>
      <c r="D48" s="34" t="s">
        <v>43</v>
      </c>
      <c r="E48" s="20"/>
      <c r="F48" s="20"/>
      <c r="G48" s="40">
        <v>579.48</v>
      </c>
      <c r="H48" s="40"/>
      <c r="I48" s="21">
        <v>0</v>
      </c>
      <c r="J48" s="87"/>
      <c r="L48" s="22"/>
      <c r="M48" s="23"/>
      <c r="N48" s="31"/>
    </row>
    <row r="49" spans="1:14" s="43" customFormat="1" ht="15.75" hidden="1" customHeight="1">
      <c r="A49" s="50">
        <v>16</v>
      </c>
      <c r="B49" s="34" t="s">
        <v>37</v>
      </c>
      <c r="C49" s="49" t="s">
        <v>125</v>
      </c>
      <c r="D49" s="34" t="s">
        <v>43</v>
      </c>
      <c r="E49" s="20">
        <v>1.35</v>
      </c>
      <c r="F49" s="20"/>
      <c r="G49" s="40">
        <v>579.48</v>
      </c>
      <c r="H49" s="40"/>
      <c r="I49" s="21">
        <v>0</v>
      </c>
      <c r="J49" s="87"/>
      <c r="L49" s="22"/>
      <c r="M49" s="23"/>
      <c r="N49" s="31"/>
    </row>
    <row r="50" spans="1:14" s="43" customFormat="1" ht="15.75" hidden="1" customHeight="1">
      <c r="A50" s="50">
        <v>17</v>
      </c>
      <c r="B50" s="34" t="s">
        <v>38</v>
      </c>
      <c r="C50" s="49" t="s">
        <v>125</v>
      </c>
      <c r="D50" s="34" t="s">
        <v>43</v>
      </c>
      <c r="E50" s="20">
        <v>0.03</v>
      </c>
      <c r="F50" s="20"/>
      <c r="G50" s="40">
        <v>606.77</v>
      </c>
      <c r="H50" s="40"/>
      <c r="I50" s="21">
        <v>0</v>
      </c>
      <c r="J50" s="87"/>
      <c r="L50" s="22"/>
      <c r="M50" s="23"/>
      <c r="N50" s="31"/>
    </row>
    <row r="51" spans="1:14" s="43" customFormat="1" ht="15.75" hidden="1" customHeight="1">
      <c r="A51" s="50">
        <v>13</v>
      </c>
      <c r="B51" s="34" t="s">
        <v>59</v>
      </c>
      <c r="C51" s="49" t="s">
        <v>125</v>
      </c>
      <c r="D51" s="34" t="s">
        <v>134</v>
      </c>
      <c r="E51" s="20">
        <v>0.22</v>
      </c>
      <c r="F51" s="20"/>
      <c r="G51" s="40">
        <v>1213.55</v>
      </c>
      <c r="H51" s="40"/>
      <c r="I51" s="13">
        <v>2005.39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34" t="s">
        <v>135</v>
      </c>
      <c r="C52" s="49" t="s">
        <v>125</v>
      </c>
      <c r="D52" s="34" t="s">
        <v>43</v>
      </c>
      <c r="E52" s="20">
        <v>0.22</v>
      </c>
      <c r="F52" s="20"/>
      <c r="G52" s="40">
        <v>1213.55</v>
      </c>
      <c r="H52" s="40"/>
      <c r="I52" s="21">
        <v>0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34" t="s">
        <v>136</v>
      </c>
      <c r="C53" s="49" t="s">
        <v>39</v>
      </c>
      <c r="D53" s="34" t="s">
        <v>43</v>
      </c>
      <c r="E53" s="20">
        <v>0.02</v>
      </c>
      <c r="F53" s="20"/>
      <c r="G53" s="40">
        <v>2730.49</v>
      </c>
      <c r="H53" s="40"/>
      <c r="I53" s="21">
        <v>0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34" t="s">
        <v>40</v>
      </c>
      <c r="C54" s="49" t="s">
        <v>41</v>
      </c>
      <c r="D54" s="34" t="s">
        <v>43</v>
      </c>
      <c r="E54" s="20">
        <v>0.01</v>
      </c>
      <c r="F54" s="20"/>
      <c r="G54" s="40">
        <v>5652.13</v>
      </c>
      <c r="H54" s="40"/>
      <c r="I54" s="21">
        <v>0</v>
      </c>
      <c r="J54" s="87"/>
      <c r="L54" s="22"/>
      <c r="M54" s="23"/>
      <c r="N54" s="31"/>
    </row>
    <row r="55" spans="1:14" s="43" customFormat="1" ht="15.75" hidden="1" customHeight="1">
      <c r="A55" s="50">
        <v>23</v>
      </c>
      <c r="B55" s="34" t="s">
        <v>42</v>
      </c>
      <c r="C55" s="49" t="s">
        <v>137</v>
      </c>
      <c r="D55" s="34" t="s">
        <v>77</v>
      </c>
      <c r="E55" s="20">
        <v>8</v>
      </c>
      <c r="F55" s="20"/>
      <c r="G55" s="41">
        <v>65.67</v>
      </c>
      <c r="H55" s="41"/>
      <c r="I55" s="13">
        <v>0</v>
      </c>
      <c r="J55" s="87"/>
      <c r="L55" s="22"/>
      <c r="M55" s="23"/>
      <c r="N55" s="31"/>
    </row>
    <row r="56" spans="1:14" s="43" customFormat="1" ht="15.75" hidden="1" customHeight="1">
      <c r="A56" s="190" t="s">
        <v>65</v>
      </c>
      <c r="B56" s="191"/>
      <c r="C56" s="191"/>
      <c r="D56" s="191"/>
      <c r="E56" s="191"/>
      <c r="F56" s="191"/>
      <c r="G56" s="191"/>
      <c r="H56" s="191"/>
      <c r="I56" s="192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14</v>
      </c>
      <c r="B58" s="34" t="s">
        <v>154</v>
      </c>
      <c r="C58" s="49" t="s">
        <v>115</v>
      </c>
      <c r="D58" s="34" t="s">
        <v>155</v>
      </c>
      <c r="E58" s="20">
        <v>0</v>
      </c>
      <c r="F58" s="115"/>
      <c r="G58" s="72">
        <v>1547.28</v>
      </c>
      <c r="H58" s="121"/>
      <c r="I58" s="21">
        <v>2572.35</v>
      </c>
      <c r="J58" s="87"/>
      <c r="L58" s="22"/>
      <c r="M58" s="23"/>
      <c r="N58" s="31"/>
    </row>
    <row r="59" spans="1:14" s="43" customFormat="1" ht="15.75" hidden="1" customHeight="1">
      <c r="A59" s="50">
        <v>15</v>
      </c>
      <c r="B59" s="73" t="s">
        <v>104</v>
      </c>
      <c r="C59" s="62" t="s">
        <v>115</v>
      </c>
      <c r="D59" s="73" t="s">
        <v>155</v>
      </c>
      <c r="E59" s="20"/>
      <c r="F59" s="115"/>
      <c r="G59" s="72">
        <v>1547.28</v>
      </c>
      <c r="H59" s="121"/>
      <c r="I59" s="21">
        <v>866.48</v>
      </c>
      <c r="J59" s="87"/>
      <c r="L59" s="22"/>
      <c r="M59" s="23"/>
      <c r="N59" s="31"/>
    </row>
    <row r="60" spans="1:14" s="43" customFormat="1" ht="15.75" hidden="1" customHeight="1">
      <c r="A60" s="50"/>
      <c r="B60" s="73" t="s">
        <v>109</v>
      </c>
      <c r="C60" s="62" t="s">
        <v>110</v>
      </c>
      <c r="D60" s="73" t="s">
        <v>43</v>
      </c>
      <c r="E60" s="20"/>
      <c r="F60" s="115"/>
      <c r="G60" s="91">
        <v>180.78</v>
      </c>
      <c r="H60" s="121"/>
      <c r="I60" s="21">
        <v>0</v>
      </c>
      <c r="J60" s="87"/>
      <c r="L60" s="22"/>
      <c r="M60" s="23"/>
      <c r="N60" s="31"/>
    </row>
    <row r="61" spans="1:14" s="43" customFormat="1" ht="15.75" hidden="1" customHeight="1">
      <c r="A61" s="50"/>
      <c r="B61" s="101" t="s">
        <v>45</v>
      </c>
      <c r="C61" s="101"/>
      <c r="D61" s="101"/>
      <c r="E61" s="101"/>
      <c r="F61" s="101"/>
      <c r="G61" s="101"/>
      <c r="H61" s="101"/>
      <c r="I61" s="39"/>
      <c r="J61" s="87"/>
      <c r="L61" s="22"/>
      <c r="M61" s="23"/>
      <c r="N61" s="31"/>
    </row>
    <row r="62" spans="1:14" s="43" customFormat="1" ht="15.75" hidden="1" customHeight="1">
      <c r="A62" s="50">
        <v>16</v>
      </c>
      <c r="B62" s="73" t="s">
        <v>105</v>
      </c>
      <c r="C62" s="62" t="s">
        <v>26</v>
      </c>
      <c r="D62" s="34" t="s">
        <v>31</v>
      </c>
      <c r="E62" s="74"/>
      <c r="F62" s="116"/>
      <c r="G62" s="92">
        <v>2.5960000000000001</v>
      </c>
      <c r="H62" s="122"/>
      <c r="I62" s="21">
        <v>857.98</v>
      </c>
      <c r="J62" s="87"/>
      <c r="L62" s="22"/>
      <c r="M62" s="23"/>
      <c r="N62" s="31"/>
    </row>
    <row r="63" spans="1:14" s="43" customFormat="1" ht="15.75" hidden="1" customHeight="1">
      <c r="A63" s="50"/>
      <c r="B63" s="73" t="s">
        <v>46</v>
      </c>
      <c r="C63" s="62" t="s">
        <v>26</v>
      </c>
      <c r="D63" s="73" t="s">
        <v>56</v>
      </c>
      <c r="E63" s="74"/>
      <c r="F63" s="116"/>
      <c r="G63" s="93">
        <v>793.61</v>
      </c>
      <c r="H63" s="119"/>
      <c r="I63" s="21">
        <v>0</v>
      </c>
      <c r="J63" s="87"/>
      <c r="L63" s="22"/>
      <c r="M63" s="23"/>
      <c r="N63" s="31"/>
    </row>
    <row r="64" spans="1:14" s="43" customFormat="1" ht="15.75" hidden="1" customHeight="1">
      <c r="A64" s="50"/>
      <c r="B64" s="101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hidden="1" customHeight="1">
      <c r="A65" s="50">
        <v>17</v>
      </c>
      <c r="B65" s="75" t="s">
        <v>48</v>
      </c>
      <c r="C65" s="45" t="s">
        <v>137</v>
      </c>
      <c r="D65" s="44" t="s">
        <v>73</v>
      </c>
      <c r="E65" s="20">
        <v>0</v>
      </c>
      <c r="F65" s="20"/>
      <c r="G65" s="40">
        <v>222.4</v>
      </c>
      <c r="H65" s="40"/>
      <c r="I65" s="21">
        <v>0</v>
      </c>
      <c r="J65" s="87"/>
      <c r="L65" s="22"/>
      <c r="M65" s="23"/>
      <c r="N65" s="31"/>
    </row>
    <row r="66" spans="1:22" s="43" customFormat="1" ht="15.75" hidden="1" customHeight="1">
      <c r="A66" s="29">
        <v>29</v>
      </c>
      <c r="B66" s="75" t="s">
        <v>49</v>
      </c>
      <c r="C66" s="45" t="s">
        <v>137</v>
      </c>
      <c r="D66" s="44" t="s">
        <v>73</v>
      </c>
      <c r="E66" s="20">
        <v>0</v>
      </c>
      <c r="F66" s="20"/>
      <c r="G66" s="40">
        <v>76.25</v>
      </c>
      <c r="H66" s="40"/>
      <c r="I66" s="21">
        <v>0</v>
      </c>
      <c r="J66" s="87"/>
      <c r="L66" s="22"/>
      <c r="M66" s="23"/>
      <c r="N66" s="31"/>
    </row>
    <row r="67" spans="1:22" s="43" customFormat="1" ht="15.75" hidden="1" customHeight="1">
      <c r="A67" s="29">
        <v>8</v>
      </c>
      <c r="B67" s="75" t="s">
        <v>50</v>
      </c>
      <c r="C67" s="47" t="s">
        <v>138</v>
      </c>
      <c r="D67" s="44" t="s">
        <v>56</v>
      </c>
      <c r="E67" s="20">
        <v>13.47</v>
      </c>
      <c r="F67" s="20"/>
      <c r="G67" s="40">
        <v>212.15</v>
      </c>
      <c r="H67" s="40"/>
      <c r="I67" s="20">
        <v>0</v>
      </c>
      <c r="J67" s="87"/>
      <c r="L67" s="22"/>
      <c r="M67" s="23"/>
      <c r="N67" s="31"/>
    </row>
    <row r="68" spans="1:22" s="43" customFormat="1" ht="15.75" hidden="1" customHeight="1">
      <c r="A68" s="29">
        <v>9</v>
      </c>
      <c r="B68" s="75" t="s">
        <v>51</v>
      </c>
      <c r="C68" s="45" t="s">
        <v>139</v>
      </c>
      <c r="D68" s="44"/>
      <c r="E68" s="20">
        <v>1.35</v>
      </c>
      <c r="F68" s="20"/>
      <c r="G68" s="40">
        <v>165.21</v>
      </c>
      <c r="H68" s="40"/>
      <c r="I68" s="20">
        <v>0</v>
      </c>
      <c r="J68" s="87"/>
      <c r="L68" s="22"/>
      <c r="M68" s="23"/>
      <c r="N68" s="31"/>
    </row>
    <row r="69" spans="1:22" s="43" customFormat="1" ht="15.75" hidden="1" customHeight="1">
      <c r="A69" s="29">
        <v>10</v>
      </c>
      <c r="B69" s="75" t="s">
        <v>52</v>
      </c>
      <c r="C69" s="45" t="s">
        <v>82</v>
      </c>
      <c r="D69" s="44" t="s">
        <v>56</v>
      </c>
      <c r="E69" s="20">
        <v>0</v>
      </c>
      <c r="F69" s="20"/>
      <c r="G69" s="40">
        <v>2074.63</v>
      </c>
      <c r="H69" s="40"/>
      <c r="I69" s="20">
        <v>0</v>
      </c>
      <c r="J69" s="87"/>
      <c r="L69" s="22"/>
    </row>
    <row r="70" spans="1:22" s="43" customFormat="1" ht="15.75" hidden="1" customHeight="1">
      <c r="A70" s="29">
        <v>11</v>
      </c>
      <c r="B70" s="64" t="s">
        <v>140</v>
      </c>
      <c r="C70" s="45" t="s">
        <v>35</v>
      </c>
      <c r="D70" s="44"/>
      <c r="E70" s="12">
        <v>0</v>
      </c>
      <c r="F70" s="12"/>
      <c r="G70" s="40">
        <v>42.67</v>
      </c>
      <c r="H70" s="40"/>
      <c r="I70" s="20">
        <v>0</v>
      </c>
    </row>
    <row r="71" spans="1:22" s="43" customFormat="1" ht="15.75" hidden="1" customHeight="1">
      <c r="A71" s="29">
        <v>12</v>
      </c>
      <c r="B71" s="64" t="s">
        <v>141</v>
      </c>
      <c r="C71" s="45" t="s">
        <v>35</v>
      </c>
      <c r="D71" s="44"/>
      <c r="E71" s="12"/>
      <c r="F71" s="12"/>
      <c r="G71" s="40">
        <v>39.81</v>
      </c>
      <c r="H71" s="40"/>
      <c r="I71" s="20">
        <v>0</v>
      </c>
    </row>
    <row r="72" spans="1:22" s="43" customFormat="1" ht="15.75" hidden="1" customHeight="1">
      <c r="A72" s="29">
        <v>13</v>
      </c>
      <c r="B72" s="44" t="s">
        <v>60</v>
      </c>
      <c r="C72" s="45" t="s">
        <v>61</v>
      </c>
      <c r="D72" s="44" t="s">
        <v>56</v>
      </c>
      <c r="E72" s="12"/>
      <c r="F72" s="12"/>
      <c r="G72" s="40">
        <v>49.88</v>
      </c>
      <c r="H72" s="40"/>
      <c r="I72" s="20">
        <v>0</v>
      </c>
    </row>
    <row r="73" spans="1:22" s="43" customFormat="1" ht="15.75" hidden="1" customHeight="1">
      <c r="A73" s="63"/>
      <c r="B73" s="101" t="s">
        <v>142</v>
      </c>
      <c r="C73" s="101"/>
      <c r="D73" s="101"/>
      <c r="E73" s="101"/>
      <c r="F73" s="101"/>
      <c r="G73" s="101"/>
      <c r="H73" s="101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36</v>
      </c>
      <c r="B74" s="76" t="s">
        <v>143</v>
      </c>
      <c r="C74" s="77"/>
      <c r="D74" s="78" t="s">
        <v>56</v>
      </c>
      <c r="E74" s="74">
        <v>0</v>
      </c>
      <c r="F74" s="74"/>
      <c r="G74" s="42">
        <v>25556</v>
      </c>
      <c r="H74" s="42"/>
      <c r="I74" s="20">
        <v>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/>
      <c r="B76" s="44" t="s">
        <v>79</v>
      </c>
      <c r="C76" s="45" t="s">
        <v>33</v>
      </c>
      <c r="D76" s="44" t="s">
        <v>73</v>
      </c>
      <c r="E76" s="20"/>
      <c r="F76" s="20"/>
      <c r="G76" s="40">
        <v>501.62</v>
      </c>
      <c r="H76" s="40"/>
      <c r="I76" s="20"/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/>
      <c r="B77" s="44" t="s">
        <v>96</v>
      </c>
      <c r="C77" s="45" t="s">
        <v>32</v>
      </c>
      <c r="D77" s="44" t="s">
        <v>73</v>
      </c>
      <c r="E77" s="20"/>
      <c r="F77" s="20"/>
      <c r="G77" s="40">
        <v>358.51</v>
      </c>
      <c r="H77" s="40"/>
      <c r="I77" s="20">
        <v>0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/>
      <c r="B78" s="44" t="s">
        <v>80</v>
      </c>
      <c r="C78" s="45" t="s">
        <v>32</v>
      </c>
      <c r="D78" s="44" t="s">
        <v>73</v>
      </c>
      <c r="E78" s="20"/>
      <c r="F78" s="20"/>
      <c r="G78" s="40">
        <v>852.99</v>
      </c>
      <c r="H78" s="40"/>
      <c r="I78" s="20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46" t="s">
        <v>144</v>
      </c>
      <c r="C80" s="47" t="s">
        <v>82</v>
      </c>
      <c r="D80" s="75"/>
      <c r="E80" s="20"/>
      <c r="F80" s="20"/>
      <c r="G80" s="41">
        <v>2759.44</v>
      </c>
      <c r="H80" s="41"/>
      <c r="I80" s="20">
        <v>0</v>
      </c>
    </row>
    <row r="81" spans="1:9" s="43" customFormat="1" ht="15.75" hidden="1" customHeight="1">
      <c r="A81" s="29"/>
      <c r="B81" s="101" t="s">
        <v>63</v>
      </c>
      <c r="C81" s="101"/>
      <c r="D81" s="101"/>
      <c r="E81" s="20"/>
      <c r="F81" s="20"/>
      <c r="G81" s="29"/>
      <c r="H81" s="29"/>
      <c r="I81" s="20"/>
    </row>
    <row r="82" spans="1:9" s="43" customFormat="1" ht="15.75" hidden="1" customHeight="1">
      <c r="A82" s="29">
        <v>17</v>
      </c>
      <c r="B82" s="34" t="s">
        <v>145</v>
      </c>
      <c r="C82" s="45" t="s">
        <v>57</v>
      </c>
      <c r="D82" s="79"/>
      <c r="E82" s="16">
        <v>327.9</v>
      </c>
      <c r="F82" s="16"/>
      <c r="G82" s="40">
        <v>2.1</v>
      </c>
      <c r="H82" s="40"/>
      <c r="I82" s="13">
        <v>12424.23</v>
      </c>
    </row>
    <row r="83" spans="1:9" s="43" customFormat="1" ht="31.5" hidden="1" customHeight="1">
      <c r="A83" s="29">
        <v>18</v>
      </c>
      <c r="B83" s="44" t="s">
        <v>83</v>
      </c>
      <c r="C83" s="45"/>
      <c r="D83" s="80"/>
      <c r="E83" s="16"/>
      <c r="F83" s="16"/>
      <c r="G83" s="40">
        <v>1.63</v>
      </c>
      <c r="H83" s="40"/>
      <c r="I83" s="13">
        <v>9643.57</v>
      </c>
    </row>
    <row r="84" spans="1:9" s="43" customFormat="1" ht="15.75" hidden="1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SUM(I16+I17+I18+I27+I28+I39+I40+I41+I42+I43+I44+I45+I51+I58+I59+I62+I82+I83)</f>
        <v>85129.68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</v>
      </c>
      <c r="B86" s="69" t="s">
        <v>164</v>
      </c>
      <c r="C86" s="82" t="s">
        <v>163</v>
      </c>
      <c r="D86" s="70">
        <v>28</v>
      </c>
      <c r="E86" s="20"/>
      <c r="F86" s="13">
        <v>16</v>
      </c>
      <c r="G86" s="13">
        <f>103656/303</f>
        <v>342.0990099009901</v>
      </c>
      <c r="H86" s="124">
        <f t="shared" ref="H86" si="0">G86*F86/1000</f>
        <v>5.4735841584158411</v>
      </c>
      <c r="I86" s="13">
        <f>G86*D86</f>
        <v>9578.772277227723</v>
      </c>
    </row>
    <row r="87" spans="1:9" s="43" customFormat="1" ht="15.75" hidden="1" customHeight="1">
      <c r="A87" s="29">
        <v>20</v>
      </c>
      <c r="B87" s="94" t="s">
        <v>99</v>
      </c>
      <c r="C87" s="95" t="s">
        <v>100</v>
      </c>
      <c r="D87" s="81"/>
      <c r="E87" s="81"/>
      <c r="F87" s="81"/>
      <c r="G87" s="29">
        <v>1063.47</v>
      </c>
      <c r="H87" s="29"/>
      <c r="I87" s="29">
        <v>1063.47</v>
      </c>
    </row>
    <row r="88" spans="1:9" s="43" customFormat="1" ht="15.75" hidden="1" customHeight="1">
      <c r="A88" s="35">
        <v>21</v>
      </c>
      <c r="B88" s="69" t="s">
        <v>88</v>
      </c>
      <c r="C88" s="82" t="s">
        <v>137</v>
      </c>
      <c r="D88" s="81"/>
      <c r="E88" s="16"/>
      <c r="F88" s="16"/>
      <c r="G88" s="40">
        <v>180.15</v>
      </c>
      <c r="H88" s="40"/>
      <c r="I88" s="13">
        <v>180.15</v>
      </c>
    </row>
    <row r="89" spans="1:9" s="43" customFormat="1" ht="47.25" hidden="1" customHeight="1">
      <c r="A89" s="35">
        <v>22</v>
      </c>
      <c r="B89" s="83" t="s">
        <v>157</v>
      </c>
      <c r="C89" s="84" t="s">
        <v>106</v>
      </c>
      <c r="D89" s="81"/>
      <c r="E89" s="16"/>
      <c r="F89" s="16"/>
      <c r="G89" s="40">
        <v>9750.4599999999991</v>
      </c>
      <c r="H89" s="40"/>
      <c r="I89" s="13">
        <v>195.01</v>
      </c>
    </row>
    <row r="90" spans="1:9" s="43" customFormat="1" ht="15.75" customHeight="1">
      <c r="A90" s="29"/>
      <c r="B90" s="55" t="s">
        <v>53</v>
      </c>
      <c r="C90" s="51"/>
      <c r="D90" s="65"/>
      <c r="E90" s="51">
        <v>1</v>
      </c>
      <c r="F90" s="51"/>
      <c r="G90" s="51"/>
      <c r="H90" s="51"/>
      <c r="I90" s="32">
        <f>SUM(I86)</f>
        <v>9578.772277227723</v>
      </c>
    </row>
    <row r="91" spans="1:9" s="43" customFormat="1" ht="15.75" customHeight="1">
      <c r="A91" s="29"/>
      <c r="B91" s="61" t="s">
        <v>84</v>
      </c>
      <c r="C91" s="16"/>
      <c r="D91" s="16"/>
      <c r="E91" s="52"/>
      <c r="F91" s="52"/>
      <c r="G91" s="53"/>
      <c r="H91" s="53"/>
      <c r="I91" s="19">
        <v>0</v>
      </c>
    </row>
    <row r="92" spans="1:9" s="43" customFormat="1" ht="15.75" customHeight="1">
      <c r="A92" s="66"/>
      <c r="B92" s="56" t="s">
        <v>54</v>
      </c>
      <c r="C92" s="38"/>
      <c r="D92" s="38"/>
      <c r="E92" s="38"/>
      <c r="F92" s="38"/>
      <c r="G92" s="38"/>
      <c r="H92" s="38"/>
      <c r="I92" s="54">
        <f>I90</f>
        <v>9578.772277227723</v>
      </c>
    </row>
    <row r="93" spans="1:9" ht="15.75" customHeight="1">
      <c r="A93" s="162" t="s">
        <v>165</v>
      </c>
      <c r="B93" s="162"/>
      <c r="C93" s="162"/>
      <c r="D93" s="162"/>
      <c r="E93" s="162"/>
      <c r="F93" s="162"/>
      <c r="G93" s="162"/>
      <c r="H93" s="162"/>
      <c r="I93" s="162"/>
    </row>
    <row r="94" spans="1:9" ht="15.75" customHeight="1">
      <c r="A94" s="102"/>
      <c r="B94" s="186" t="s">
        <v>166</v>
      </c>
      <c r="C94" s="186"/>
      <c r="D94" s="186"/>
      <c r="E94" s="186"/>
      <c r="F94" s="186"/>
      <c r="G94" s="186"/>
      <c r="H94" s="123"/>
      <c r="I94" s="3"/>
    </row>
    <row r="95" spans="1:9" ht="15.75" customHeight="1">
      <c r="A95" s="98"/>
      <c r="B95" s="182" t="s">
        <v>6</v>
      </c>
      <c r="C95" s="182"/>
      <c r="D95" s="182"/>
      <c r="E95" s="182"/>
      <c r="F95" s="182"/>
      <c r="G95" s="182"/>
      <c r="H95" s="24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8" t="s">
        <v>66</v>
      </c>
      <c r="B99" s="188"/>
      <c r="C99" s="188"/>
      <c r="D99" s="188"/>
      <c r="E99" s="188"/>
      <c r="F99" s="188"/>
      <c r="G99" s="188"/>
      <c r="H99" s="188"/>
      <c r="I99" s="188"/>
    </row>
    <row r="100" spans="1:9" ht="15.75" customHeight="1">
      <c r="A100" s="10"/>
    </row>
    <row r="101" spans="1:9" ht="15.75" customHeight="1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 customHeight="1">
      <c r="A102" s="4"/>
    </row>
    <row r="103" spans="1:9" ht="15.75" customHeight="1">
      <c r="B103" s="99" t="s">
        <v>10</v>
      </c>
      <c r="C103" s="189" t="s">
        <v>146</v>
      </c>
      <c r="D103" s="189"/>
      <c r="E103" s="189"/>
      <c r="F103" s="117"/>
      <c r="I103" s="97"/>
    </row>
    <row r="104" spans="1:9" ht="15.75" customHeight="1">
      <c r="A104" s="98"/>
      <c r="C104" s="182" t="s">
        <v>11</v>
      </c>
      <c r="D104" s="182"/>
      <c r="E104" s="182"/>
      <c r="F104" s="24"/>
      <c r="I104" s="96" t="s">
        <v>12</v>
      </c>
    </row>
    <row r="105" spans="1:9" ht="15.75" customHeight="1">
      <c r="A105" s="25"/>
      <c r="C105" s="11"/>
      <c r="D105" s="11"/>
      <c r="G105" s="11"/>
      <c r="H105" s="11"/>
    </row>
    <row r="106" spans="1:9" ht="15.75" customHeight="1">
      <c r="B106" s="99" t="s">
        <v>13</v>
      </c>
      <c r="C106" s="183"/>
      <c r="D106" s="183"/>
      <c r="E106" s="183"/>
      <c r="F106" s="118"/>
      <c r="I106" s="97"/>
    </row>
    <row r="107" spans="1:9" ht="15.75" customHeight="1">
      <c r="A107" s="98"/>
      <c r="C107" s="184" t="s">
        <v>11</v>
      </c>
      <c r="D107" s="184"/>
      <c r="E107" s="184"/>
      <c r="F107" s="98"/>
      <c r="I107" s="96" t="s">
        <v>12</v>
      </c>
    </row>
    <row r="108" spans="1:9" ht="15.75" customHeight="1">
      <c r="A108" s="4" t="s">
        <v>14</v>
      </c>
    </row>
    <row r="109" spans="1:9">
      <c r="A109" s="185" t="s">
        <v>15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45" customHeight="1">
      <c r="A110" s="174" t="s">
        <v>16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30" customHeight="1">
      <c r="A111" s="174" t="s">
        <v>17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21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14.25" customHeight="1">
      <c r="A113" s="174" t="s">
        <v>20</v>
      </c>
      <c r="B113" s="174"/>
      <c r="C113" s="174"/>
      <c r="D113" s="174"/>
      <c r="E113" s="174"/>
      <c r="F113" s="174"/>
      <c r="G113" s="174"/>
      <c r="H113" s="174"/>
      <c r="I113" s="174"/>
    </row>
  </sheetData>
  <autoFilter ref="I12:I71"/>
  <mergeCells count="28">
    <mergeCell ref="R77:U77"/>
    <mergeCell ref="A93:I93"/>
    <mergeCell ref="A3:I3"/>
    <mergeCell ref="A4:I4"/>
    <mergeCell ref="A5:I5"/>
    <mergeCell ref="A8:I8"/>
    <mergeCell ref="A14:I14"/>
    <mergeCell ref="A101:I101"/>
    <mergeCell ref="A15:I15"/>
    <mergeCell ref="A29:I29"/>
    <mergeCell ref="A46:I46"/>
    <mergeCell ref="A56:I56"/>
    <mergeCell ref="A111:I111"/>
    <mergeCell ref="A112:I112"/>
    <mergeCell ref="A113:I113"/>
    <mergeCell ref="A10:I10"/>
    <mergeCell ref="A85:I85"/>
    <mergeCell ref="C103:E103"/>
    <mergeCell ref="C104:E104"/>
    <mergeCell ref="C106:E106"/>
    <mergeCell ref="C107:E107"/>
    <mergeCell ref="A109:I109"/>
    <mergeCell ref="A110:I110"/>
    <mergeCell ref="B94:G94"/>
    <mergeCell ref="B95:G95"/>
    <mergeCell ref="A97:I97"/>
    <mergeCell ref="A98:I98"/>
    <mergeCell ref="A99:I99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248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249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30"/>
      <c r="C6" s="130"/>
      <c r="D6" s="130"/>
      <c r="E6" s="130"/>
      <c r="F6" s="130"/>
      <c r="G6" s="130"/>
      <c r="H6" s="130"/>
      <c r="I6" s="30">
        <v>43069</v>
      </c>
      <c r="J6" s="2"/>
      <c r="K6" s="2"/>
      <c r="L6" s="2"/>
      <c r="M6" s="2"/>
    </row>
    <row r="7" spans="1:13" ht="15.75" customHeight="1">
      <c r="B7" s="128"/>
      <c r="C7" s="128"/>
      <c r="D7" s="12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241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1" t="s">
        <v>241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hidden="1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hidden="1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hidden="1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11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hidden="1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10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11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12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13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hidden="1" customHeight="1">
      <c r="A51" s="50">
        <v>14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10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11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12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13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189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15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12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13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29" t="s">
        <v>45</v>
      </c>
      <c r="C61" s="129"/>
      <c r="D61" s="129"/>
      <c r="E61" s="129"/>
      <c r="F61" s="129"/>
      <c r="G61" s="129"/>
      <c r="H61" s="129"/>
      <c r="I61" s="39"/>
      <c r="J61" s="87"/>
      <c r="L61" s="22"/>
      <c r="M61" s="23"/>
      <c r="N61" s="31"/>
    </row>
    <row r="62" spans="1:14" s="43" customFormat="1" ht="15.75" customHeight="1">
      <c r="A62" s="50">
        <v>14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29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15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G65*3</f>
        <v>667.2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17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f>F72*G72</f>
        <v>249.4</v>
      </c>
    </row>
    <row r="73" spans="1:22" s="43" customFormat="1" ht="15.75" hidden="1" customHeight="1">
      <c r="A73" s="153"/>
      <c r="B73" s="129" t="s">
        <v>142</v>
      </c>
      <c r="C73" s="129"/>
      <c r="D73" s="129"/>
      <c r="E73" s="129"/>
      <c r="F73" s="129"/>
      <c r="G73" s="129"/>
      <c r="H73" s="129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12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G76*0.1</f>
        <v>50.162000000000006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18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f>G78</f>
        <v>852.99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190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16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17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15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SUM(I16+I17+I18+I27+I28+I39+I40+I41+I42+I43+I45+I58+I59+I62+I65+I82+I83)</f>
        <v>83359.338625000004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18</v>
      </c>
      <c r="B86" s="94" t="s">
        <v>180</v>
      </c>
      <c r="C86" s="95" t="s">
        <v>100</v>
      </c>
      <c r="D86" s="44"/>
      <c r="E86" s="19"/>
      <c r="F86" s="40">
        <f>(3+3+3+15+10+10+10+15+10+3+10+10+15+5+10+10+10+15)/3</f>
        <v>55.666666666666664</v>
      </c>
      <c r="G86" s="13">
        <v>1120.8900000000001</v>
      </c>
      <c r="H86" s="155">
        <f t="shared" ref="H86:H87" si="14">G86*F86/1000</f>
        <v>62.396210000000004</v>
      </c>
      <c r="I86" s="13">
        <f>G86*((10+10+10)/3)</f>
        <v>11208.900000000001</v>
      </c>
    </row>
    <row r="87" spans="1:9" s="43" customFormat="1" ht="31.5" customHeight="1">
      <c r="A87" s="35">
        <v>19</v>
      </c>
      <c r="B87" s="69" t="s">
        <v>85</v>
      </c>
      <c r="C87" s="82" t="s">
        <v>137</v>
      </c>
      <c r="D87" s="80"/>
      <c r="E87" s="40"/>
      <c r="F87" s="40">
        <v>6</v>
      </c>
      <c r="G87" s="40">
        <v>83.36</v>
      </c>
      <c r="H87" s="155">
        <f t="shared" si="14"/>
        <v>0.50015999999999994</v>
      </c>
      <c r="I87" s="13">
        <f>G87</f>
        <v>83.36</v>
      </c>
    </row>
    <row r="88" spans="1:9" s="43" customFormat="1" ht="31.5" customHeight="1">
      <c r="A88" s="29">
        <v>20</v>
      </c>
      <c r="B88" s="69" t="s">
        <v>97</v>
      </c>
      <c r="C88" s="82" t="s">
        <v>101</v>
      </c>
      <c r="D88" s="80"/>
      <c r="E88" s="40"/>
      <c r="F88" s="40">
        <v>9</v>
      </c>
      <c r="G88" s="40">
        <v>589.84</v>
      </c>
      <c r="H88" s="155">
        <f t="shared" ref="H88" si="15">G88*F88/1000</f>
        <v>5.3085600000000008</v>
      </c>
      <c r="I88" s="13">
        <f>G88</f>
        <v>589.84</v>
      </c>
    </row>
    <row r="89" spans="1:9" s="43" customFormat="1" ht="31.5" customHeight="1">
      <c r="A89" s="35">
        <v>21</v>
      </c>
      <c r="B89" s="69" t="s">
        <v>213</v>
      </c>
      <c r="C89" s="82" t="s">
        <v>39</v>
      </c>
      <c r="D89" s="61"/>
      <c r="E89" s="40"/>
      <c r="F89" s="40">
        <v>0.09</v>
      </c>
      <c r="G89" s="40">
        <v>3581.13</v>
      </c>
      <c r="H89" s="155">
        <f>G89*F89/1000</f>
        <v>0.32230169999999997</v>
      </c>
      <c r="I89" s="13">
        <f>G89*0.02</f>
        <v>71.622600000000006</v>
      </c>
    </row>
    <row r="90" spans="1:9" s="43" customFormat="1" ht="31.5" customHeight="1">
      <c r="A90" s="29">
        <v>22</v>
      </c>
      <c r="B90" s="158" t="s">
        <v>250</v>
      </c>
      <c r="C90" s="29" t="s">
        <v>251</v>
      </c>
      <c r="D90" s="61"/>
      <c r="E90" s="40"/>
      <c r="F90" s="40">
        <v>1</v>
      </c>
      <c r="G90" s="40">
        <v>403.69</v>
      </c>
      <c r="H90" s="155">
        <f>G90*F90/1000</f>
        <v>0.40368999999999999</v>
      </c>
      <c r="I90" s="13">
        <f>G90</f>
        <v>403.69</v>
      </c>
    </row>
    <row r="91" spans="1:9" s="43" customFormat="1" ht="15.75" customHeight="1">
      <c r="A91" s="35">
        <v>23</v>
      </c>
      <c r="B91" s="69" t="s">
        <v>252</v>
      </c>
      <c r="C91" s="159" t="s">
        <v>87</v>
      </c>
      <c r="D91" s="61"/>
      <c r="E91" s="40"/>
      <c r="F91" s="40">
        <v>1</v>
      </c>
      <c r="G91" s="40">
        <v>18.97</v>
      </c>
      <c r="H91" s="155">
        <f>G91*F91/1000</f>
        <v>1.8969999999999997E-2</v>
      </c>
      <c r="I91" s="13">
        <f t="shared" ref="I91:I92" si="16">G91</f>
        <v>18.97</v>
      </c>
    </row>
    <row r="92" spans="1:9" s="43" customFormat="1" ht="15.75" customHeight="1">
      <c r="A92" s="29">
        <v>24</v>
      </c>
      <c r="B92" s="160" t="s">
        <v>253</v>
      </c>
      <c r="C92" s="82" t="s">
        <v>254</v>
      </c>
      <c r="D92" s="61"/>
      <c r="E92" s="40"/>
      <c r="F92" s="40">
        <v>1</v>
      </c>
      <c r="G92" s="40">
        <v>2362.29</v>
      </c>
      <c r="H92" s="155">
        <f>G92*F92/1000</f>
        <v>2.3622899999999998</v>
      </c>
      <c r="I92" s="13">
        <f t="shared" si="16"/>
        <v>2362.29</v>
      </c>
    </row>
    <row r="93" spans="1:9" s="43" customFormat="1" ht="15.75" customHeight="1">
      <c r="A93" s="29"/>
      <c r="B93" s="55" t="s">
        <v>53</v>
      </c>
      <c r="C93" s="51"/>
      <c r="D93" s="65"/>
      <c r="E93" s="51">
        <v>1</v>
      </c>
      <c r="F93" s="51"/>
      <c r="G93" s="51"/>
      <c r="H93" s="51"/>
      <c r="I93" s="32">
        <f>SUM(I86:I92)</f>
        <v>14738.672600000002</v>
      </c>
    </row>
    <row r="94" spans="1:9" s="43" customFormat="1" ht="15.75" customHeight="1">
      <c r="A94" s="29"/>
      <c r="B94" s="61" t="s">
        <v>84</v>
      </c>
      <c r="C94" s="16"/>
      <c r="D94" s="16"/>
      <c r="E94" s="52"/>
      <c r="F94" s="52"/>
      <c r="G94" s="53"/>
      <c r="H94" s="53"/>
      <c r="I94" s="19">
        <v>0</v>
      </c>
    </row>
    <row r="95" spans="1:9" s="43" customFormat="1" ht="15.75" customHeight="1">
      <c r="A95" s="66"/>
      <c r="B95" s="56" t="s">
        <v>179</v>
      </c>
      <c r="C95" s="38"/>
      <c r="D95" s="38"/>
      <c r="E95" s="38"/>
      <c r="F95" s="38"/>
      <c r="G95" s="38"/>
      <c r="H95" s="38"/>
      <c r="I95" s="54">
        <f>I84+I93</f>
        <v>98098.011225000009</v>
      </c>
    </row>
    <row r="96" spans="1:9" ht="15.75" customHeight="1">
      <c r="A96" s="162" t="s">
        <v>264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09"/>
      <c r="B97" s="186" t="s">
        <v>265</v>
      </c>
      <c r="C97" s="186"/>
      <c r="D97" s="186"/>
      <c r="E97" s="186"/>
      <c r="F97" s="186"/>
      <c r="G97" s="186"/>
      <c r="H97" s="123"/>
      <c r="I97" s="3"/>
    </row>
    <row r="98" spans="1:9" ht="15.75" customHeight="1">
      <c r="A98" s="127"/>
      <c r="B98" s="182" t="s">
        <v>6</v>
      </c>
      <c r="C98" s="182"/>
      <c r="D98" s="182"/>
      <c r="E98" s="182"/>
      <c r="F98" s="182"/>
      <c r="G98" s="182"/>
      <c r="H98" s="24"/>
      <c r="I98" s="5"/>
    </row>
    <row r="99" spans="1:9" ht="8.2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187" t="s">
        <v>7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 customHeight="1">
      <c r="A101" s="187" t="s">
        <v>8</v>
      </c>
      <c r="B101" s="187"/>
      <c r="C101" s="187"/>
      <c r="D101" s="187"/>
      <c r="E101" s="187"/>
      <c r="F101" s="187"/>
      <c r="G101" s="187"/>
      <c r="H101" s="187"/>
      <c r="I101" s="187"/>
    </row>
    <row r="102" spans="1:9" ht="15.75" customHeight="1">
      <c r="A102" s="188" t="s">
        <v>66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 customHeight="1">
      <c r="A103" s="10"/>
    </row>
    <row r="104" spans="1:9" ht="15.75" customHeight="1">
      <c r="A104" s="169" t="s">
        <v>9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4"/>
    </row>
    <row r="106" spans="1:9" ht="15.75" customHeight="1">
      <c r="B106" s="128" t="s">
        <v>10</v>
      </c>
      <c r="C106" s="181" t="s">
        <v>98</v>
      </c>
      <c r="D106" s="181"/>
      <c r="E106" s="181"/>
      <c r="F106" s="117"/>
      <c r="I106" s="126"/>
    </row>
    <row r="107" spans="1:9" ht="15.75" customHeight="1">
      <c r="A107" s="127"/>
      <c r="C107" s="182" t="s">
        <v>11</v>
      </c>
      <c r="D107" s="182"/>
      <c r="E107" s="182"/>
      <c r="F107" s="24"/>
      <c r="I107" s="125" t="s">
        <v>12</v>
      </c>
    </row>
    <row r="108" spans="1:9" ht="15.75" customHeight="1">
      <c r="A108" s="25"/>
      <c r="C108" s="11"/>
      <c r="D108" s="11"/>
      <c r="G108" s="11"/>
      <c r="H108" s="11"/>
    </row>
    <row r="109" spans="1:9" ht="15.75" customHeight="1">
      <c r="B109" s="128" t="s">
        <v>13</v>
      </c>
      <c r="C109" s="183"/>
      <c r="D109" s="183"/>
      <c r="E109" s="183"/>
      <c r="F109" s="118"/>
      <c r="I109" s="126"/>
    </row>
    <row r="110" spans="1:9" ht="15.75" customHeight="1">
      <c r="A110" s="127"/>
      <c r="C110" s="184" t="s">
        <v>11</v>
      </c>
      <c r="D110" s="184"/>
      <c r="E110" s="184"/>
      <c r="F110" s="127"/>
      <c r="I110" s="125" t="s">
        <v>12</v>
      </c>
    </row>
    <row r="111" spans="1:9" ht="15.75" customHeight="1">
      <c r="A111" s="4" t="s">
        <v>14</v>
      </c>
    </row>
    <row r="112" spans="1:9">
      <c r="A112" s="185" t="s">
        <v>15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45" customHeight="1">
      <c r="A113" s="174" t="s">
        <v>16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30" customHeight="1">
      <c r="A114" s="174" t="s">
        <v>17</v>
      </c>
      <c r="B114" s="174"/>
      <c r="C114" s="174"/>
      <c r="D114" s="174"/>
      <c r="E114" s="174"/>
      <c r="F114" s="174"/>
      <c r="G114" s="174"/>
      <c r="H114" s="174"/>
      <c r="I114" s="174"/>
    </row>
    <row r="115" spans="1:9" ht="30" customHeight="1">
      <c r="A115" s="174" t="s">
        <v>21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14.25" customHeight="1">
      <c r="A116" s="174" t="s">
        <v>20</v>
      </c>
      <c r="B116" s="174"/>
      <c r="C116" s="174"/>
      <c r="D116" s="174"/>
      <c r="E116" s="174"/>
      <c r="F116" s="174"/>
      <c r="G116" s="174"/>
      <c r="H116" s="174"/>
      <c r="I116" s="174"/>
    </row>
  </sheetData>
  <autoFilter ref="I12:I71"/>
  <mergeCells count="29"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  <mergeCell ref="R77:U77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112:I112"/>
    <mergeCell ref="A113:I113"/>
    <mergeCell ref="A114:I114"/>
    <mergeCell ref="A115:I115"/>
    <mergeCell ref="A116:I11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255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256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30"/>
      <c r="C6" s="130"/>
      <c r="D6" s="130"/>
      <c r="E6" s="130"/>
      <c r="F6" s="130"/>
      <c r="G6" s="130"/>
      <c r="H6" s="130"/>
      <c r="I6" s="30">
        <v>43100</v>
      </c>
      <c r="J6" s="2"/>
      <c r="K6" s="2"/>
      <c r="L6" s="2"/>
      <c r="M6" s="2"/>
    </row>
    <row r="7" spans="1:13" ht="15.75" customHeight="1">
      <c r="B7" s="128"/>
      <c r="C7" s="128"/>
      <c r="D7" s="12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241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1" t="s">
        <v>241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hidden="1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hidden="1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hidden="1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11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10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11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12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13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customHeight="1">
      <c r="A51" s="50">
        <v>12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10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11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12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13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15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13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14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29" t="s">
        <v>45</v>
      </c>
      <c r="C61" s="129"/>
      <c r="D61" s="129"/>
      <c r="E61" s="129"/>
      <c r="F61" s="129"/>
      <c r="G61" s="129"/>
      <c r="H61" s="129"/>
      <c r="I61" s="39"/>
      <c r="J61" s="87"/>
      <c r="L61" s="22"/>
      <c r="M61" s="23"/>
      <c r="N61" s="31"/>
    </row>
    <row r="62" spans="1:14" s="43" customFormat="1" ht="15.75" customHeight="1">
      <c r="A62" s="50">
        <v>15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29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16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</f>
        <v>222.4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17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f>F72*G72</f>
        <v>249.4</v>
      </c>
    </row>
    <row r="73" spans="1:22" s="43" customFormat="1" ht="15.75" hidden="1" customHeight="1">
      <c r="A73" s="153"/>
      <c r="B73" s="129" t="s">
        <v>142</v>
      </c>
      <c r="C73" s="129"/>
      <c r="D73" s="129"/>
      <c r="E73" s="129"/>
      <c r="F73" s="129"/>
      <c r="G73" s="129"/>
      <c r="H73" s="129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customHeight="1">
      <c r="A76" s="29">
        <v>17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G76*0.3</f>
        <v>150.48599999999999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18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f>G78</f>
        <v>852.99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18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19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15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SUM(I16+I17+I18+I27+I28+I39+I40+I41+I42+I43+I45+I51+I58+I59+I62+I65+I76+I82+I83)</f>
        <v>85070.415999999997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20</v>
      </c>
      <c r="B86" s="94" t="s">
        <v>180</v>
      </c>
      <c r="C86" s="95" t="s">
        <v>100</v>
      </c>
      <c r="D86" s="44"/>
      <c r="E86" s="19"/>
      <c r="F86" s="40">
        <f>(3+3+3+15+10+10+10+15+10+3+10+10+15+5+10+10+10+15)/3</f>
        <v>55.666666666666664</v>
      </c>
      <c r="G86" s="13">
        <v>1120.8900000000001</v>
      </c>
      <c r="H86" s="155">
        <f t="shared" ref="H86:H87" si="14">G86*F86/1000</f>
        <v>62.396210000000004</v>
      </c>
      <c r="I86" s="13">
        <f>G86*(15/3)</f>
        <v>5604.4500000000007</v>
      </c>
    </row>
    <row r="87" spans="1:9" s="43" customFormat="1" ht="31.5" customHeight="1">
      <c r="A87" s="35">
        <v>21</v>
      </c>
      <c r="B87" s="69" t="s">
        <v>85</v>
      </c>
      <c r="C87" s="82" t="s">
        <v>137</v>
      </c>
      <c r="D87" s="80"/>
      <c r="E87" s="40"/>
      <c r="F87" s="40">
        <v>6</v>
      </c>
      <c r="G87" s="40">
        <v>83.36</v>
      </c>
      <c r="H87" s="155">
        <f t="shared" si="14"/>
        <v>0.50015999999999994</v>
      </c>
      <c r="I87" s="13">
        <f>G87</f>
        <v>83.36</v>
      </c>
    </row>
    <row r="88" spans="1:9" s="43" customFormat="1" ht="31.5" customHeight="1">
      <c r="A88" s="35">
        <v>22</v>
      </c>
      <c r="B88" s="69" t="s">
        <v>213</v>
      </c>
      <c r="C88" s="82" t="s">
        <v>39</v>
      </c>
      <c r="D88" s="61"/>
      <c r="E88" s="40"/>
      <c r="F88" s="40">
        <v>0.09</v>
      </c>
      <c r="G88" s="40">
        <v>3581.13</v>
      </c>
      <c r="H88" s="155">
        <f>G88*F88/1000</f>
        <v>0.32230169999999997</v>
      </c>
      <c r="I88" s="13">
        <f>G88*0.01</f>
        <v>35.811300000000003</v>
      </c>
    </row>
    <row r="89" spans="1:9" s="43" customFormat="1" ht="15.75" customHeight="1">
      <c r="A89" s="35">
        <v>23</v>
      </c>
      <c r="B89" s="34" t="s">
        <v>113</v>
      </c>
      <c r="C89" s="49" t="s">
        <v>137</v>
      </c>
      <c r="D89" s="61"/>
      <c r="E89" s="40"/>
      <c r="F89" s="40">
        <v>3</v>
      </c>
      <c r="G89" s="40">
        <v>86.15</v>
      </c>
      <c r="H89" s="155">
        <f t="shared" ref="H89" si="15">G89*F89/1000</f>
        <v>0.25845000000000007</v>
      </c>
      <c r="I89" s="13">
        <f>G89*2</f>
        <v>172.3</v>
      </c>
    </row>
    <row r="90" spans="1:9" s="43" customFormat="1" ht="31.5" customHeight="1">
      <c r="A90" s="29">
        <v>24</v>
      </c>
      <c r="B90" s="83" t="s">
        <v>257</v>
      </c>
      <c r="C90" s="84" t="s">
        <v>137</v>
      </c>
      <c r="D90" s="61"/>
      <c r="E90" s="40"/>
      <c r="F90" s="40">
        <v>1</v>
      </c>
      <c r="G90" s="40">
        <v>193.62</v>
      </c>
      <c r="H90" s="155">
        <f>G90*F90/1000</f>
        <v>0.19362000000000001</v>
      </c>
      <c r="I90" s="13">
        <f t="shared" ref="I90" si="16">G90</f>
        <v>193.62</v>
      </c>
    </row>
    <row r="91" spans="1:9" s="43" customFormat="1" ht="15.75" customHeight="1">
      <c r="A91" s="29"/>
      <c r="B91" s="55" t="s">
        <v>53</v>
      </c>
      <c r="C91" s="51"/>
      <c r="D91" s="65"/>
      <c r="E91" s="51">
        <v>1</v>
      </c>
      <c r="F91" s="51"/>
      <c r="G91" s="51"/>
      <c r="H91" s="51"/>
      <c r="I91" s="32">
        <f>SUM(I86:I90)</f>
        <v>6089.5413000000008</v>
      </c>
    </row>
    <row r="92" spans="1:9" s="43" customFormat="1" ht="15.75" customHeight="1">
      <c r="A92" s="29"/>
      <c r="B92" s="61" t="s">
        <v>84</v>
      </c>
      <c r="C92" s="16"/>
      <c r="D92" s="16"/>
      <c r="E92" s="52"/>
      <c r="F92" s="52"/>
      <c r="G92" s="53"/>
      <c r="H92" s="53"/>
      <c r="I92" s="19">
        <v>0</v>
      </c>
    </row>
    <row r="93" spans="1:9" s="43" customFormat="1" ht="15.75" customHeight="1">
      <c r="A93" s="66"/>
      <c r="B93" s="56" t="s">
        <v>179</v>
      </c>
      <c r="C93" s="38"/>
      <c r="D93" s="38"/>
      <c r="E93" s="38"/>
      <c r="F93" s="38"/>
      <c r="G93" s="38"/>
      <c r="H93" s="38"/>
      <c r="I93" s="54">
        <f>I84+I91</f>
        <v>91159.957299999995</v>
      </c>
    </row>
    <row r="94" spans="1:9" ht="15.75" customHeight="1">
      <c r="A94" s="162" t="s">
        <v>266</v>
      </c>
      <c r="B94" s="162"/>
      <c r="C94" s="162"/>
      <c r="D94" s="162"/>
      <c r="E94" s="162"/>
      <c r="F94" s="162"/>
      <c r="G94" s="162"/>
      <c r="H94" s="162"/>
      <c r="I94" s="162"/>
    </row>
    <row r="95" spans="1:9" ht="15.75" customHeight="1">
      <c r="A95" s="109"/>
      <c r="B95" s="186" t="s">
        <v>267</v>
      </c>
      <c r="C95" s="186"/>
      <c r="D95" s="186"/>
      <c r="E95" s="186"/>
      <c r="F95" s="186"/>
      <c r="G95" s="186"/>
      <c r="H95" s="123"/>
      <c r="I95" s="3"/>
    </row>
    <row r="96" spans="1:9" ht="15.75" customHeight="1">
      <c r="A96" s="127"/>
      <c r="B96" s="182" t="s">
        <v>6</v>
      </c>
      <c r="C96" s="182"/>
      <c r="D96" s="182"/>
      <c r="E96" s="182"/>
      <c r="F96" s="182"/>
      <c r="G96" s="182"/>
      <c r="H96" s="24"/>
      <c r="I96" s="5"/>
    </row>
    <row r="97" spans="1:9" ht="8.2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87" t="s">
        <v>7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7" t="s">
        <v>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88" t="s">
        <v>66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10"/>
    </row>
    <row r="102" spans="1:9" ht="15.75" customHeight="1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 customHeight="1">
      <c r="A103" s="4"/>
    </row>
    <row r="104" spans="1:9" ht="15.75" customHeight="1">
      <c r="B104" s="128" t="s">
        <v>10</v>
      </c>
      <c r="C104" s="181" t="s">
        <v>98</v>
      </c>
      <c r="D104" s="181"/>
      <c r="E104" s="181"/>
      <c r="F104" s="117"/>
      <c r="I104" s="126"/>
    </row>
    <row r="105" spans="1:9" ht="15.75" customHeight="1">
      <c r="A105" s="127"/>
      <c r="C105" s="182" t="s">
        <v>11</v>
      </c>
      <c r="D105" s="182"/>
      <c r="E105" s="182"/>
      <c r="F105" s="24"/>
      <c r="I105" s="125" t="s">
        <v>12</v>
      </c>
    </row>
    <row r="106" spans="1:9" ht="15.75" customHeight="1">
      <c r="A106" s="25"/>
      <c r="C106" s="11"/>
      <c r="D106" s="11"/>
      <c r="G106" s="11"/>
      <c r="H106" s="11"/>
    </row>
    <row r="107" spans="1:9" ht="15.75" customHeight="1">
      <c r="B107" s="128" t="s">
        <v>13</v>
      </c>
      <c r="C107" s="183"/>
      <c r="D107" s="183"/>
      <c r="E107" s="183"/>
      <c r="F107" s="118"/>
      <c r="I107" s="126"/>
    </row>
    <row r="108" spans="1:9" ht="15.75" customHeight="1">
      <c r="A108" s="127"/>
      <c r="C108" s="184" t="s">
        <v>11</v>
      </c>
      <c r="D108" s="184"/>
      <c r="E108" s="184"/>
      <c r="F108" s="127"/>
      <c r="I108" s="125" t="s">
        <v>12</v>
      </c>
    </row>
    <row r="109" spans="1:9" ht="15.75" customHeight="1">
      <c r="A109" s="4" t="s">
        <v>14</v>
      </c>
    </row>
    <row r="110" spans="1:9">
      <c r="A110" s="185" t="s">
        <v>15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45" customHeight="1">
      <c r="A111" s="174" t="s">
        <v>16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17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30" customHeight="1">
      <c r="A113" s="174" t="s">
        <v>21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14.25" customHeight="1">
      <c r="A114" s="174" t="s">
        <v>20</v>
      </c>
      <c r="B114" s="174"/>
      <c r="C114" s="174"/>
      <c r="D114" s="174"/>
      <c r="E114" s="174"/>
      <c r="F114" s="174"/>
      <c r="G114" s="174"/>
      <c r="H114" s="174"/>
      <c r="I114" s="174"/>
    </row>
  </sheetData>
  <autoFilter ref="I12:I71"/>
  <mergeCells count="29"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  <mergeCell ref="R77:U77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110:I110"/>
    <mergeCell ref="A111:I111"/>
    <mergeCell ref="A112:I112"/>
    <mergeCell ref="A113:I113"/>
    <mergeCell ref="A114:I11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182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183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42794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/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v>0</v>
      </c>
      <c r="J19" s="86"/>
      <c r="K19" s="85"/>
      <c r="L19" s="85"/>
      <c r="M19" s="85"/>
    </row>
    <row r="20" spans="1:13" s="43" customFormat="1" ht="15.75" hidden="1" customHeight="1">
      <c r="A20" s="29">
        <v>4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v>0</v>
      </c>
      <c r="J20" s="86"/>
      <c r="K20" s="85"/>
      <c r="L20" s="85"/>
      <c r="M20" s="85"/>
    </row>
    <row r="21" spans="1:13" s="43" customFormat="1" ht="15.75" hidden="1" customHeight="1">
      <c r="A21" s="29">
        <v>5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v>0</v>
      </c>
      <c r="J21" s="86"/>
      <c r="K21" s="85"/>
      <c r="L21" s="85"/>
      <c r="M21" s="85"/>
    </row>
    <row r="22" spans="1:13" s="43" customFormat="1" ht="15.75" hidden="1" customHeight="1">
      <c r="A22" s="29"/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v>0</v>
      </c>
      <c r="J22" s="86"/>
      <c r="K22" s="85"/>
      <c r="L22" s="85"/>
      <c r="M22" s="85"/>
    </row>
    <row r="23" spans="1:13" s="43" customFormat="1" ht="15.75" hidden="1" customHeight="1">
      <c r="A23" s="29"/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v>0</v>
      </c>
      <c r="J23" s="86"/>
      <c r="K23" s="85"/>
      <c r="L23" s="85"/>
      <c r="M23" s="85"/>
    </row>
    <row r="24" spans="1:13" s="43" customFormat="1" ht="15.75" hidden="1" customHeight="1">
      <c r="A24" s="29"/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v>0</v>
      </c>
      <c r="J24" s="86"/>
      <c r="K24" s="85"/>
      <c r="L24" s="85"/>
      <c r="M24" s="85"/>
    </row>
    <row r="25" spans="1:13" s="43" customFormat="1" ht="31.5" hidden="1" customHeight="1">
      <c r="A25" s="50">
        <v>6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v>0</v>
      </c>
      <c r="J25" s="86"/>
      <c r="K25" s="85"/>
      <c r="L25" s="85"/>
      <c r="M25" s="85"/>
    </row>
    <row r="26" spans="1:13" s="43" customFormat="1" ht="15.75" hidden="1" customHeight="1">
      <c r="A26" s="50">
        <v>7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v>0</v>
      </c>
      <c r="J26" s="86"/>
      <c r="K26" s="85"/>
      <c r="L26" s="85"/>
      <c r="M26" s="85"/>
    </row>
    <row r="27" spans="1:13" s="43" customFormat="1" ht="15.75" customHeight="1">
      <c r="A27" s="50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1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50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1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2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2">SUM(F31*G31/1000)</f>
        <v>7.2964626280000004</v>
      </c>
      <c r="I31" s="13">
        <v>0</v>
      </c>
      <c r="J31" s="86"/>
      <c r="K31" s="85"/>
      <c r="L31" s="85"/>
      <c r="M31" s="85"/>
    </row>
    <row r="32" spans="1:13" s="43" customFormat="1" ht="31.5" hidden="1" customHeight="1">
      <c r="A32" s="50">
        <v>3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2"/>
        <v>5.8381067159999995</v>
      </c>
      <c r="I32" s="13">
        <v>0</v>
      </c>
      <c r="J32" s="86"/>
      <c r="K32" s="85"/>
      <c r="L32" s="85"/>
      <c r="M32" s="85"/>
    </row>
    <row r="33" spans="1:14" s="43" customFormat="1" ht="15.75" hidden="1" customHeight="1">
      <c r="A33" s="50">
        <v>4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2"/>
        <v>2.7185990329999998</v>
      </c>
      <c r="I33" s="13">
        <v>0</v>
      </c>
      <c r="J33" s="86"/>
      <c r="K33" s="85"/>
      <c r="L33" s="85"/>
      <c r="M33" s="85"/>
    </row>
    <row r="34" spans="1:14" s="43" customFormat="1" ht="15.75" hidden="1" customHeight="1">
      <c r="A34" s="50"/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v>0</v>
      </c>
      <c r="J34" s="86"/>
      <c r="K34" s="85"/>
      <c r="L34" s="85"/>
      <c r="M34" s="85"/>
    </row>
    <row r="35" spans="1:14" s="43" customFormat="1" ht="15.75" hidden="1" customHeight="1">
      <c r="A35" s="50">
        <v>5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v>0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3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3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4">SUM(F39*G39/1000)</f>
        <v>15.272200000000002</v>
      </c>
      <c r="I39" s="13">
        <f t="shared" ref="I39:I45" si="5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4"/>
        <v>15.997417679999998</v>
      </c>
      <c r="I40" s="13">
        <f t="shared" si="5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4"/>
        <v>18.255728220000002</v>
      </c>
      <c r="I41" s="13">
        <f t="shared" si="5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4"/>
        <v>15.73359275</v>
      </c>
      <c r="I42" s="13">
        <f t="shared" si="5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4"/>
        <v>15.04210176</v>
      </c>
      <c r="I43" s="13">
        <f t="shared" si="5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4"/>
        <v>2.5927775999999998</v>
      </c>
      <c r="I44" s="13">
        <f t="shared" si="5"/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11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4"/>
        <v>0.71820000000000006</v>
      </c>
      <c r="I45" s="13">
        <f t="shared" si="5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15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6">SUM(F47*G47/1000)</f>
        <v>2.8245542500000003</v>
      </c>
      <c r="I47" s="13">
        <v>0</v>
      </c>
      <c r="J47" s="87"/>
      <c r="L47" s="22"/>
      <c r="M47" s="23"/>
      <c r="N47" s="31"/>
    </row>
    <row r="48" spans="1:14" s="43" customFormat="1" ht="15.75" hidden="1" customHeight="1">
      <c r="A48" s="50"/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6"/>
        <v>0.10755148799999999</v>
      </c>
      <c r="I48" s="13">
        <v>0</v>
      </c>
      <c r="J48" s="87"/>
      <c r="L48" s="22"/>
      <c r="M48" s="23"/>
      <c r="N48" s="31"/>
    </row>
    <row r="49" spans="1:14" s="43" customFormat="1" ht="15.75" hidden="1" customHeight="1">
      <c r="A49" s="50">
        <v>16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6"/>
        <v>5.5058712720000003</v>
      </c>
      <c r="I49" s="13">
        <v>0</v>
      </c>
      <c r="J49" s="87"/>
      <c r="L49" s="22"/>
      <c r="M49" s="23"/>
      <c r="N49" s="31"/>
    </row>
    <row r="50" spans="1:14" s="43" customFormat="1" ht="15.75" hidden="1" customHeight="1">
      <c r="A50" s="50">
        <v>17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6"/>
        <v>3.4476550045999992</v>
      </c>
      <c r="I50" s="13">
        <v>0</v>
      </c>
      <c r="J50" s="87"/>
      <c r="L50" s="22"/>
      <c r="M50" s="23"/>
      <c r="N50" s="31"/>
    </row>
    <row r="51" spans="1:14" s="43" customFormat="1" ht="15.75" customHeight="1">
      <c r="A51" s="50">
        <v>12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6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6"/>
        <v>4.0107827499999997</v>
      </c>
      <c r="I52" s="13">
        <v>0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6"/>
        <v>2.1843919999999999</v>
      </c>
      <c r="I53" s="13">
        <v>0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6"/>
        <v>0.11304260000000001</v>
      </c>
      <c r="I54" s="13">
        <v>0</v>
      </c>
      <c r="J54" s="87"/>
      <c r="L54" s="22"/>
      <c r="M54" s="23"/>
      <c r="N54" s="31"/>
    </row>
    <row r="55" spans="1:14" s="43" customFormat="1" ht="15.75" hidden="1" customHeight="1">
      <c r="A55" s="50">
        <v>14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6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13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14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15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16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7">SUM(F65*G65/1000)</f>
        <v>2.2240000000000002</v>
      </c>
      <c r="I65" s="13">
        <f>G65*10</f>
        <v>2224</v>
      </c>
      <c r="J65" s="87"/>
      <c r="L65" s="22"/>
      <c r="M65" s="23"/>
      <c r="N65" s="31"/>
    </row>
    <row r="66" spans="1:22" s="43" customFormat="1" ht="15.75" hidden="1" customHeight="1">
      <c r="A66" s="29">
        <v>29</v>
      </c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7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8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7"/>
        <v>49.360940499999998</v>
      </c>
      <c r="I67" s="13">
        <v>0</v>
      </c>
      <c r="J67" s="87"/>
      <c r="L67" s="22"/>
      <c r="M67" s="23"/>
      <c r="N67" s="31"/>
    </row>
    <row r="68" spans="1:22" s="43" customFormat="1" ht="15.75" hidden="1" customHeight="1">
      <c r="A68" s="29">
        <v>9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7"/>
        <v>3.8439410700000005</v>
      </c>
      <c r="I68" s="13">
        <v>0</v>
      </c>
      <c r="J68" s="87"/>
      <c r="L68" s="22"/>
      <c r="M68" s="23"/>
      <c r="N68" s="31"/>
    </row>
    <row r="69" spans="1:22" s="43" customFormat="1" ht="15.75" hidden="1" customHeight="1">
      <c r="A69" s="29">
        <v>10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7"/>
        <v>65.247113499999998</v>
      </c>
      <c r="I69" s="13">
        <v>0</v>
      </c>
      <c r="J69" s="87"/>
      <c r="L69" s="22"/>
    </row>
    <row r="70" spans="1:22" s="43" customFormat="1" ht="15.75" hidden="1" customHeight="1">
      <c r="A70" s="29">
        <v>11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7"/>
        <v>0.88156220000000007</v>
      </c>
      <c r="I70" s="13">
        <v>0</v>
      </c>
    </row>
    <row r="71" spans="1:22" s="43" customFormat="1" ht="15.75" hidden="1" customHeight="1">
      <c r="A71" s="29">
        <v>12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7"/>
        <v>0.82247460000000006</v>
      </c>
      <c r="I71" s="13">
        <v>0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7"/>
        <v>0.24940000000000001</v>
      </c>
      <c r="I72" s="13">
        <v>0</v>
      </c>
    </row>
    <row r="73" spans="1:22" s="43" customFormat="1" ht="15.75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customHeight="1">
      <c r="A74" s="29">
        <v>17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customHeight="1">
      <c r="A76" s="29">
        <v>18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customHeight="1">
      <c r="A77" s="29">
        <v>19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8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20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21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SUM(I16+I17+I18+I27+I28+I39+I40+I41+I42+I43+I45+I51+I58+I59+I62+I65+I74+I76+I77+I82+I83)</f>
        <v>115130.36399999999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22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90" si="9">G86*F86/1000</f>
        <v>45.582860000000004</v>
      </c>
      <c r="I86" s="13">
        <f>G86</f>
        <v>1120.8900000000001</v>
      </c>
    </row>
    <row r="87" spans="1:9" s="43" customFormat="1" ht="31.5" customHeight="1">
      <c r="A87" s="29">
        <v>23</v>
      </c>
      <c r="B87" s="69" t="s">
        <v>184</v>
      </c>
      <c r="C87" s="82" t="s">
        <v>101</v>
      </c>
      <c r="D87" s="15"/>
      <c r="E87" s="20"/>
      <c r="F87" s="13">
        <v>1</v>
      </c>
      <c r="G87" s="13">
        <v>666.24</v>
      </c>
      <c r="H87" s="124">
        <f t="shared" si="9"/>
        <v>0.66624000000000005</v>
      </c>
      <c r="I87" s="13">
        <f>G87*2</f>
        <v>1332.48</v>
      </c>
    </row>
    <row r="88" spans="1:9" s="43" customFormat="1" ht="15.75" customHeight="1">
      <c r="A88" s="35">
        <v>24</v>
      </c>
      <c r="B88" s="69" t="s">
        <v>185</v>
      </c>
      <c r="C88" s="82" t="s">
        <v>101</v>
      </c>
      <c r="D88" s="15"/>
      <c r="E88" s="20"/>
      <c r="F88" s="13">
        <v>1</v>
      </c>
      <c r="G88" s="13">
        <v>5450.56</v>
      </c>
      <c r="H88" s="124">
        <f t="shared" si="9"/>
        <v>5.4505600000000003</v>
      </c>
      <c r="I88" s="13">
        <f>G88</f>
        <v>5450.56</v>
      </c>
    </row>
    <row r="89" spans="1:9" s="43" customFormat="1" ht="31.5" customHeight="1">
      <c r="A89" s="35">
        <v>25</v>
      </c>
      <c r="B89" s="69" t="s">
        <v>85</v>
      </c>
      <c r="C89" s="82" t="s">
        <v>137</v>
      </c>
      <c r="D89" s="61"/>
      <c r="E89" s="13"/>
      <c r="F89" s="13">
        <v>4</v>
      </c>
      <c r="G89" s="13">
        <v>83.36</v>
      </c>
      <c r="H89" s="124">
        <f t="shared" si="9"/>
        <v>0.33344000000000001</v>
      </c>
      <c r="I89" s="13">
        <f t="shared" ref="I89:I90" si="10">G89</f>
        <v>83.36</v>
      </c>
    </row>
    <row r="90" spans="1:9" s="43" customFormat="1" ht="15.75" customHeight="1">
      <c r="A90" s="35">
        <v>26</v>
      </c>
      <c r="B90" s="69" t="s">
        <v>95</v>
      </c>
      <c r="C90" s="82" t="s">
        <v>186</v>
      </c>
      <c r="D90" s="15"/>
      <c r="E90" s="20"/>
      <c r="F90" s="13">
        <v>1</v>
      </c>
      <c r="G90" s="13">
        <v>1582</v>
      </c>
      <c r="H90" s="124">
        <f t="shared" si="9"/>
        <v>1.5820000000000001</v>
      </c>
      <c r="I90" s="13">
        <f t="shared" si="10"/>
        <v>1582</v>
      </c>
    </row>
    <row r="91" spans="1:9" s="43" customFormat="1" ht="15.75" customHeight="1">
      <c r="A91" s="29"/>
      <c r="B91" s="55" t="s">
        <v>53</v>
      </c>
      <c r="C91" s="51"/>
      <c r="D91" s="65"/>
      <c r="E91" s="51">
        <v>1</v>
      </c>
      <c r="F91" s="51"/>
      <c r="G91" s="51"/>
      <c r="H91" s="51"/>
      <c r="I91" s="32">
        <f>SUM(I86:I90)</f>
        <v>9569.2900000000009</v>
      </c>
    </row>
    <row r="92" spans="1:9" s="43" customFormat="1" ht="15.75" customHeight="1">
      <c r="A92" s="29"/>
      <c r="B92" s="61" t="s">
        <v>84</v>
      </c>
      <c r="C92" s="16"/>
      <c r="D92" s="16"/>
      <c r="E92" s="52"/>
      <c r="F92" s="52"/>
      <c r="G92" s="53"/>
      <c r="H92" s="53"/>
      <c r="I92" s="19">
        <v>0</v>
      </c>
    </row>
    <row r="93" spans="1:9" s="43" customFormat="1" ht="15.75" customHeight="1">
      <c r="A93" s="66"/>
      <c r="B93" s="56" t="s">
        <v>179</v>
      </c>
      <c r="C93" s="38"/>
      <c r="D93" s="38"/>
      <c r="E93" s="38"/>
      <c r="F93" s="38"/>
      <c r="G93" s="38"/>
      <c r="H93" s="38"/>
      <c r="I93" s="54">
        <f>I84+I91</f>
        <v>124699.65399999998</v>
      </c>
    </row>
    <row r="94" spans="1:9" ht="15.75" customHeight="1">
      <c r="A94" s="162" t="s">
        <v>261</v>
      </c>
      <c r="B94" s="162"/>
      <c r="C94" s="162"/>
      <c r="D94" s="162"/>
      <c r="E94" s="162"/>
      <c r="F94" s="162"/>
      <c r="G94" s="162"/>
      <c r="H94" s="162"/>
      <c r="I94" s="162"/>
    </row>
    <row r="95" spans="1:9" ht="15.75" customHeight="1">
      <c r="A95" s="109"/>
      <c r="B95" s="186" t="s">
        <v>262</v>
      </c>
      <c r="C95" s="186"/>
      <c r="D95" s="186"/>
      <c r="E95" s="186"/>
      <c r="F95" s="186"/>
      <c r="G95" s="186"/>
      <c r="H95" s="123"/>
      <c r="I95" s="3"/>
    </row>
    <row r="96" spans="1:9" ht="15.75" customHeight="1">
      <c r="A96" s="103"/>
      <c r="B96" s="182" t="s">
        <v>6</v>
      </c>
      <c r="C96" s="182"/>
      <c r="D96" s="182"/>
      <c r="E96" s="182"/>
      <c r="F96" s="182"/>
      <c r="G96" s="182"/>
      <c r="H96" s="24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87" t="s">
        <v>7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7" t="s">
        <v>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88" t="s">
        <v>66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10"/>
    </row>
    <row r="102" spans="1:9" ht="15.75" customHeight="1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 customHeight="1">
      <c r="A103" s="4"/>
    </row>
    <row r="104" spans="1:9" ht="15.75" customHeight="1">
      <c r="B104" s="108" t="s">
        <v>10</v>
      </c>
      <c r="C104" s="181" t="s">
        <v>98</v>
      </c>
      <c r="D104" s="181"/>
      <c r="E104" s="181"/>
      <c r="F104" s="117"/>
      <c r="I104" s="105"/>
    </row>
    <row r="105" spans="1:9" ht="15.75" customHeight="1">
      <c r="A105" s="103"/>
      <c r="C105" s="182" t="s">
        <v>11</v>
      </c>
      <c r="D105" s="182"/>
      <c r="E105" s="182"/>
      <c r="F105" s="24"/>
      <c r="I105" s="104" t="s">
        <v>12</v>
      </c>
    </row>
    <row r="106" spans="1:9" ht="15.75" customHeight="1">
      <c r="A106" s="25"/>
      <c r="C106" s="11"/>
      <c r="D106" s="11"/>
      <c r="G106" s="11"/>
      <c r="H106" s="11"/>
    </row>
    <row r="107" spans="1:9" ht="15.75" customHeight="1">
      <c r="B107" s="108" t="s">
        <v>13</v>
      </c>
      <c r="C107" s="183"/>
      <c r="D107" s="183"/>
      <c r="E107" s="183"/>
      <c r="F107" s="118"/>
      <c r="I107" s="105"/>
    </row>
    <row r="108" spans="1:9" ht="15.75" customHeight="1">
      <c r="A108" s="103"/>
      <c r="C108" s="184" t="s">
        <v>11</v>
      </c>
      <c r="D108" s="184"/>
      <c r="E108" s="184"/>
      <c r="F108" s="103"/>
      <c r="I108" s="104" t="s">
        <v>12</v>
      </c>
    </row>
    <row r="109" spans="1:9" ht="15.75" customHeight="1">
      <c r="A109" s="4" t="s">
        <v>14</v>
      </c>
    </row>
    <row r="110" spans="1:9">
      <c r="A110" s="185" t="s">
        <v>15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45" customHeight="1">
      <c r="A111" s="174" t="s">
        <v>16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17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30" customHeight="1">
      <c r="A113" s="174" t="s">
        <v>21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14.25" customHeight="1">
      <c r="A114" s="174" t="s">
        <v>20</v>
      </c>
      <c r="B114" s="174"/>
      <c r="C114" s="174"/>
      <c r="D114" s="174"/>
      <c r="E114" s="174"/>
      <c r="F114" s="174"/>
      <c r="G114" s="174"/>
      <c r="H114" s="174"/>
      <c r="I114" s="174"/>
    </row>
  </sheetData>
  <autoFilter ref="I12:I71"/>
  <mergeCells count="29">
    <mergeCell ref="A110:I110"/>
    <mergeCell ref="A111:I111"/>
    <mergeCell ref="A112:I112"/>
    <mergeCell ref="A113:I113"/>
    <mergeCell ref="A114:I114"/>
    <mergeCell ref="R77:U77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187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188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42825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/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v>0</v>
      </c>
      <c r="J19" s="86"/>
      <c r="K19" s="85"/>
      <c r="L19" s="85"/>
      <c r="M19" s="85"/>
    </row>
    <row r="20" spans="1:13" s="43" customFormat="1" ht="15.75" hidden="1" customHeight="1">
      <c r="A20" s="29">
        <v>4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v>0</v>
      </c>
      <c r="J20" s="86"/>
      <c r="K20" s="85"/>
      <c r="L20" s="85"/>
      <c r="M20" s="85"/>
    </row>
    <row r="21" spans="1:13" s="43" customFormat="1" ht="15.75" hidden="1" customHeight="1">
      <c r="A21" s="29">
        <v>5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v>0</v>
      </c>
      <c r="J21" s="86"/>
      <c r="K21" s="85"/>
      <c r="L21" s="85"/>
      <c r="M21" s="85"/>
    </row>
    <row r="22" spans="1:13" s="43" customFormat="1" ht="15.75" hidden="1" customHeight="1">
      <c r="A22" s="29"/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v>0</v>
      </c>
      <c r="J22" s="86"/>
      <c r="K22" s="85"/>
      <c r="L22" s="85"/>
      <c r="M22" s="85"/>
    </row>
    <row r="23" spans="1:13" s="43" customFormat="1" ht="15.75" hidden="1" customHeight="1">
      <c r="A23" s="29"/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v>0</v>
      </c>
      <c r="J23" s="86"/>
      <c r="K23" s="85"/>
      <c r="L23" s="85"/>
      <c r="M23" s="85"/>
    </row>
    <row r="24" spans="1:13" s="43" customFormat="1" ht="15.75" hidden="1" customHeight="1">
      <c r="A24" s="29"/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v>0</v>
      </c>
      <c r="J24" s="86"/>
      <c r="K24" s="85"/>
      <c r="L24" s="85"/>
      <c r="M24" s="85"/>
    </row>
    <row r="25" spans="1:13" s="43" customFormat="1" ht="31.5" hidden="1" customHeight="1">
      <c r="A25" s="50">
        <v>6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v>0</v>
      </c>
      <c r="J25" s="86"/>
      <c r="K25" s="85"/>
      <c r="L25" s="85"/>
      <c r="M25" s="85"/>
    </row>
    <row r="26" spans="1:13" s="43" customFormat="1" ht="15.75" hidden="1" customHeight="1">
      <c r="A26" s="50">
        <v>7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v>0</v>
      </c>
      <c r="J26" s="86"/>
      <c r="K26" s="85"/>
      <c r="L26" s="85"/>
      <c r="M26" s="85"/>
    </row>
    <row r="27" spans="1:13" s="43" customFormat="1" ht="15.75" customHeight="1">
      <c r="A27" s="50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1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50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1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2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2">SUM(F31*G31/1000)</f>
        <v>7.2964626280000004</v>
      </c>
      <c r="I31" s="13">
        <v>0</v>
      </c>
      <c r="J31" s="86"/>
      <c r="K31" s="85"/>
      <c r="L31" s="85"/>
      <c r="M31" s="85"/>
    </row>
    <row r="32" spans="1:13" s="43" customFormat="1" ht="31.5" hidden="1" customHeight="1">
      <c r="A32" s="50">
        <v>3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2"/>
        <v>5.8381067159999995</v>
      </c>
      <c r="I32" s="13">
        <v>0</v>
      </c>
      <c r="J32" s="86"/>
      <c r="K32" s="85"/>
      <c r="L32" s="85"/>
      <c r="M32" s="85"/>
    </row>
    <row r="33" spans="1:14" s="43" customFormat="1" ht="15.75" hidden="1" customHeight="1">
      <c r="A33" s="50">
        <v>4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2"/>
        <v>2.7185990329999998</v>
      </c>
      <c r="I33" s="13">
        <v>0</v>
      </c>
      <c r="J33" s="86"/>
      <c r="K33" s="85"/>
      <c r="L33" s="85"/>
      <c r="M33" s="85"/>
    </row>
    <row r="34" spans="1:14" s="43" customFormat="1" ht="15.75" hidden="1" customHeight="1">
      <c r="A34" s="50"/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v>0</v>
      </c>
      <c r="J34" s="86"/>
      <c r="K34" s="85"/>
      <c r="L34" s="85"/>
      <c r="M34" s="85"/>
    </row>
    <row r="35" spans="1:14" s="43" customFormat="1" ht="15.75" hidden="1" customHeight="1">
      <c r="A35" s="50">
        <v>5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v>0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3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3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4">SUM(F39*G39/1000)</f>
        <v>15.272200000000002</v>
      </c>
      <c r="I39" s="13">
        <f t="shared" ref="I39:I45" si="5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4"/>
        <v>15.997417679999998</v>
      </c>
      <c r="I40" s="13">
        <f t="shared" si="5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4"/>
        <v>18.255728220000002</v>
      </c>
      <c r="I41" s="13">
        <f t="shared" si="5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4"/>
        <v>15.73359275</v>
      </c>
      <c r="I42" s="13">
        <f t="shared" si="5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4"/>
        <v>15.04210176</v>
      </c>
      <c r="I43" s="13">
        <f t="shared" si="5"/>
        <v>2507.0169599999999</v>
      </c>
      <c r="J43" s="87"/>
    </row>
    <row r="44" spans="1:14" s="43" customFormat="1" ht="15.75" customHeight="1">
      <c r="A44" s="35">
        <v>11</v>
      </c>
      <c r="B44" s="131" t="s">
        <v>132</v>
      </c>
      <c r="C44" s="132" t="s">
        <v>125</v>
      </c>
      <c r="D44" s="34" t="s">
        <v>263</v>
      </c>
      <c r="E44" s="33">
        <v>134.4</v>
      </c>
      <c r="F44" s="37">
        <f>SUM(E44*15/1000)</f>
        <v>2.016</v>
      </c>
      <c r="G44" s="33">
        <v>428.7</v>
      </c>
      <c r="H44" s="193">
        <f t="shared" ref="H44" si="6">SUM(F44*G44/1000)</f>
        <v>0.86425920000000001</v>
      </c>
      <c r="I44" s="13">
        <f>F44/2*G44</f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4"/>
        <v>0.71820000000000006</v>
      </c>
      <c r="I45" s="13">
        <f t="shared" si="5"/>
        <v>119.69999999999999</v>
      </c>
      <c r="J45" s="87"/>
      <c r="L45" s="22"/>
      <c r="M45" s="23"/>
      <c r="N45" s="31"/>
    </row>
    <row r="46" spans="1:14" s="43" customFormat="1" ht="15.75" hidden="1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15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7">SUM(F47*G47/1000)</f>
        <v>2.8245542500000003</v>
      </c>
      <c r="I47" s="13">
        <v>0</v>
      </c>
      <c r="J47" s="87"/>
      <c r="L47" s="22"/>
      <c r="M47" s="23"/>
      <c r="N47" s="31"/>
    </row>
    <row r="48" spans="1:14" s="43" customFormat="1" ht="15.75" hidden="1" customHeight="1">
      <c r="A48" s="50"/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7"/>
        <v>0.10755148799999999</v>
      </c>
      <c r="I48" s="13">
        <v>0</v>
      </c>
      <c r="J48" s="87"/>
      <c r="L48" s="22"/>
      <c r="M48" s="23"/>
      <c r="N48" s="31"/>
    </row>
    <row r="49" spans="1:14" s="43" customFormat="1" ht="15.75" hidden="1" customHeight="1">
      <c r="A49" s="50">
        <v>16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7"/>
        <v>5.5058712720000003</v>
      </c>
      <c r="I49" s="13">
        <v>0</v>
      </c>
      <c r="J49" s="87"/>
      <c r="L49" s="22"/>
      <c r="M49" s="23"/>
      <c r="N49" s="31"/>
    </row>
    <row r="50" spans="1:14" s="43" customFormat="1" ht="15.75" hidden="1" customHeight="1">
      <c r="A50" s="50">
        <v>17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7"/>
        <v>3.4476550045999992</v>
      </c>
      <c r="I50" s="13">
        <v>0</v>
      </c>
      <c r="J50" s="87"/>
      <c r="L50" s="22"/>
      <c r="M50" s="23"/>
      <c r="N50" s="31"/>
    </row>
    <row r="51" spans="1:14" s="43" customFormat="1" ht="15.75" hidden="1" customHeight="1">
      <c r="A51" s="50">
        <v>13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7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7"/>
        <v>4.0107827499999997</v>
      </c>
      <c r="I52" s="13">
        <v>0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7"/>
        <v>2.1843919999999999</v>
      </c>
      <c r="I53" s="13">
        <v>0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7"/>
        <v>0.11304260000000001</v>
      </c>
      <c r="I54" s="13">
        <v>0</v>
      </c>
      <c r="J54" s="87"/>
      <c r="L54" s="22"/>
      <c r="M54" s="23"/>
      <c r="N54" s="31"/>
    </row>
    <row r="55" spans="1:14" s="43" customFormat="1" ht="15.75" hidden="1" customHeight="1">
      <c r="A55" s="50">
        <v>14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7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189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13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14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15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16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8">SUM(F65*G65/1000)</f>
        <v>2.2240000000000002</v>
      </c>
      <c r="I65" s="13">
        <f>G65*4</f>
        <v>889.6</v>
      </c>
      <c r="J65" s="87"/>
      <c r="L65" s="22"/>
      <c r="M65" s="23"/>
      <c r="N65" s="31"/>
    </row>
    <row r="66" spans="1:22" s="43" customFormat="1" ht="15.75" hidden="1" customHeight="1">
      <c r="A66" s="29">
        <v>29</v>
      </c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8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8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8"/>
        <v>49.360940499999998</v>
      </c>
      <c r="I67" s="13">
        <v>0</v>
      </c>
      <c r="J67" s="87"/>
      <c r="L67" s="22"/>
      <c r="M67" s="23"/>
      <c r="N67" s="31"/>
    </row>
    <row r="68" spans="1:22" s="43" customFormat="1" ht="15.75" hidden="1" customHeight="1">
      <c r="A68" s="29">
        <v>9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8"/>
        <v>3.8439410700000005</v>
      </c>
      <c r="I68" s="13">
        <v>0</v>
      </c>
      <c r="J68" s="87"/>
      <c r="L68" s="22"/>
      <c r="M68" s="23"/>
      <c r="N68" s="31"/>
    </row>
    <row r="69" spans="1:22" s="43" customFormat="1" ht="15.75" hidden="1" customHeight="1">
      <c r="A69" s="29">
        <v>10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8"/>
        <v>65.247113499999998</v>
      </c>
      <c r="I69" s="13">
        <v>0</v>
      </c>
      <c r="J69" s="87"/>
      <c r="L69" s="22"/>
    </row>
    <row r="70" spans="1:22" s="43" customFormat="1" ht="15.75" hidden="1" customHeight="1">
      <c r="A70" s="29">
        <v>11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8"/>
        <v>0.88156220000000007</v>
      </c>
      <c r="I70" s="13">
        <v>0</v>
      </c>
    </row>
    <row r="71" spans="1:22" s="43" customFormat="1" ht="15.75" hidden="1" customHeight="1">
      <c r="A71" s="29">
        <v>12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8"/>
        <v>0.82247460000000006</v>
      </c>
      <c r="I71" s="13">
        <v>0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8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19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9">SUM(F80*G80/1000)</f>
        <v>3.725244</v>
      </c>
      <c r="I80" s="13">
        <v>0</v>
      </c>
    </row>
    <row r="81" spans="1:9" s="43" customFormat="1" ht="15.75" customHeight="1">
      <c r="A81" s="175" t="s">
        <v>190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17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18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SUM(I16+I17+I18+I27+I28+I39+I40+I41+I42+I43+I44+I45+I58+I59+I62+I65+I82+I83)</f>
        <v>84013.868224999998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19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92" si="10">G86*F86/1000</f>
        <v>45.582860000000004</v>
      </c>
      <c r="I86" s="13">
        <f>G86*((15+10)/3)</f>
        <v>9340.7500000000018</v>
      </c>
    </row>
    <row r="87" spans="1:9" s="43" customFormat="1" ht="15" customHeight="1">
      <c r="A87" s="29">
        <v>20</v>
      </c>
      <c r="B87" s="69" t="s">
        <v>88</v>
      </c>
      <c r="C87" s="82" t="s">
        <v>137</v>
      </c>
      <c r="D87" s="15"/>
      <c r="E87" s="20"/>
      <c r="F87" s="13">
        <v>8</v>
      </c>
      <c r="G87" s="13">
        <v>189.88</v>
      </c>
      <c r="H87" s="124">
        <f t="shared" si="10"/>
        <v>1.5190399999999999</v>
      </c>
      <c r="I87" s="13">
        <f>G87</f>
        <v>189.88</v>
      </c>
    </row>
    <row r="88" spans="1:9" s="43" customFormat="1" ht="31.5" customHeight="1">
      <c r="A88" s="35">
        <v>21</v>
      </c>
      <c r="B88" s="69" t="s">
        <v>184</v>
      </c>
      <c r="C88" s="82" t="s">
        <v>101</v>
      </c>
      <c r="D88" s="44"/>
      <c r="E88" s="19"/>
      <c r="F88" s="40">
        <v>1</v>
      </c>
      <c r="G88" s="13">
        <v>666.24</v>
      </c>
      <c r="H88" s="155">
        <f t="shared" si="10"/>
        <v>0.66624000000000005</v>
      </c>
      <c r="I88" s="13">
        <f>G88*2</f>
        <v>1332.48</v>
      </c>
    </row>
    <row r="89" spans="1:9" s="43" customFormat="1" ht="31.5" customHeight="1">
      <c r="A89" s="35">
        <v>22</v>
      </c>
      <c r="B89" s="69" t="s">
        <v>85</v>
      </c>
      <c r="C89" s="82" t="s">
        <v>137</v>
      </c>
      <c r="D89" s="61"/>
      <c r="E89" s="13"/>
      <c r="F89" s="13">
        <v>4</v>
      </c>
      <c r="G89" s="13">
        <v>83.36</v>
      </c>
      <c r="H89" s="124">
        <f t="shared" si="10"/>
        <v>0.33344000000000001</v>
      </c>
      <c r="I89" s="13">
        <f t="shared" ref="I89" si="11">G89</f>
        <v>83.36</v>
      </c>
    </row>
    <row r="90" spans="1:9" s="43" customFormat="1" ht="15.75" customHeight="1">
      <c r="A90" s="29">
        <v>23</v>
      </c>
      <c r="B90" s="69" t="s">
        <v>200</v>
      </c>
      <c r="C90" s="82" t="s">
        <v>101</v>
      </c>
      <c r="D90" s="61"/>
      <c r="E90" s="13"/>
      <c r="F90" s="13">
        <v>2</v>
      </c>
      <c r="G90" s="13">
        <v>275.63</v>
      </c>
      <c r="H90" s="124">
        <f t="shared" si="10"/>
        <v>0.55125999999999997</v>
      </c>
      <c r="I90" s="13">
        <f>G90*(1+1)</f>
        <v>551.26</v>
      </c>
    </row>
    <row r="91" spans="1:9" s="43" customFormat="1" ht="15.75" customHeight="1">
      <c r="A91" s="29">
        <v>24</v>
      </c>
      <c r="B91" s="69" t="s">
        <v>191</v>
      </c>
      <c r="C91" s="82" t="s">
        <v>101</v>
      </c>
      <c r="D91" s="61"/>
      <c r="E91" s="13"/>
      <c r="F91" s="13">
        <v>2</v>
      </c>
      <c r="G91" s="13">
        <v>760.76</v>
      </c>
      <c r="H91" s="124">
        <f t="shared" si="10"/>
        <v>1.52152</v>
      </c>
      <c r="I91" s="13">
        <f t="shared" ref="I91" si="12">G91*(1+1)</f>
        <v>1521.52</v>
      </c>
    </row>
    <row r="92" spans="1:9" s="43" customFormat="1" ht="31.5" customHeight="1">
      <c r="A92" s="35">
        <v>25</v>
      </c>
      <c r="B92" s="69" t="s">
        <v>192</v>
      </c>
      <c r="C92" s="82" t="s">
        <v>101</v>
      </c>
      <c r="D92" s="61"/>
      <c r="E92" s="13"/>
      <c r="F92" s="13">
        <v>6</v>
      </c>
      <c r="G92" s="13">
        <v>803.54</v>
      </c>
      <c r="H92" s="124">
        <f t="shared" si="10"/>
        <v>4.8212399999999995</v>
      </c>
      <c r="I92" s="13">
        <f>G92*(2+3)</f>
        <v>4017.7</v>
      </c>
    </row>
    <row r="93" spans="1:9" s="43" customFormat="1" ht="31.5" customHeight="1">
      <c r="A93" s="35">
        <v>26</v>
      </c>
      <c r="B93" s="69" t="s">
        <v>97</v>
      </c>
      <c r="C93" s="82" t="s">
        <v>101</v>
      </c>
      <c r="D93" s="61"/>
      <c r="E93" s="13"/>
      <c r="F93" s="13">
        <v>6</v>
      </c>
      <c r="G93" s="13">
        <v>589.84</v>
      </c>
      <c r="H93" s="124">
        <f>G93*F93/1000</f>
        <v>3.53904</v>
      </c>
      <c r="I93" s="13">
        <f>G93*2</f>
        <v>1179.68</v>
      </c>
    </row>
    <row r="94" spans="1:9" s="43" customFormat="1" ht="15.75" customHeight="1">
      <c r="A94" s="29">
        <v>27</v>
      </c>
      <c r="B94" s="69" t="s">
        <v>193</v>
      </c>
      <c r="C94" s="82" t="s">
        <v>87</v>
      </c>
      <c r="D94" s="61"/>
      <c r="E94" s="13"/>
      <c r="F94" s="13">
        <v>8</v>
      </c>
      <c r="G94" s="13">
        <v>1187</v>
      </c>
      <c r="H94" s="124">
        <v>11.45</v>
      </c>
      <c r="I94" s="13">
        <f>G94*8</f>
        <v>9496</v>
      </c>
    </row>
    <row r="95" spans="1:9" s="43" customFormat="1" ht="15.75" customHeight="1">
      <c r="A95" s="29">
        <v>28</v>
      </c>
      <c r="B95" s="69" t="s">
        <v>201</v>
      </c>
      <c r="C95" s="82" t="s">
        <v>101</v>
      </c>
      <c r="D95" s="61"/>
      <c r="E95" s="13"/>
      <c r="F95" s="13">
        <v>7</v>
      </c>
      <c r="G95" s="13">
        <v>694.06</v>
      </c>
      <c r="H95" s="124">
        <f t="shared" ref="H95:H97" si="13">G95*F95/1000</f>
        <v>4.8584199999999997</v>
      </c>
      <c r="I95" s="13">
        <f>G95*5</f>
        <v>3470.2999999999997</v>
      </c>
    </row>
    <row r="96" spans="1:9" s="43" customFormat="1" ht="15.75" customHeight="1">
      <c r="A96" s="35">
        <v>29</v>
      </c>
      <c r="B96" s="69" t="s">
        <v>199</v>
      </c>
      <c r="C96" s="82" t="s">
        <v>137</v>
      </c>
      <c r="D96" s="61"/>
      <c r="E96" s="13"/>
      <c r="F96" s="13">
        <v>1</v>
      </c>
      <c r="G96" s="13">
        <v>45</v>
      </c>
      <c r="H96" s="124">
        <f>G96*F96/1000</f>
        <v>4.4999999999999998E-2</v>
      </c>
      <c r="I96" s="13">
        <f>G96</f>
        <v>45</v>
      </c>
    </row>
    <row r="97" spans="1:9" s="43" customFormat="1" ht="15.75" customHeight="1">
      <c r="A97" s="35">
        <v>30</v>
      </c>
      <c r="B97" s="69" t="s">
        <v>202</v>
      </c>
      <c r="C97" s="82" t="s">
        <v>137</v>
      </c>
      <c r="D97" s="61"/>
      <c r="E97" s="13"/>
      <c r="F97" s="13">
        <v>5</v>
      </c>
      <c r="G97" s="13">
        <v>22</v>
      </c>
      <c r="H97" s="124">
        <f t="shared" si="13"/>
        <v>0.11</v>
      </c>
      <c r="I97" s="13">
        <f>G97*3</f>
        <v>66</v>
      </c>
    </row>
    <row r="98" spans="1:9" s="43" customFormat="1" ht="15.75" customHeight="1">
      <c r="A98" s="29">
        <v>31</v>
      </c>
      <c r="B98" s="69" t="s">
        <v>194</v>
      </c>
      <c r="C98" s="82" t="s">
        <v>137</v>
      </c>
      <c r="D98" s="61"/>
      <c r="E98" s="13"/>
      <c r="F98" s="13">
        <v>1</v>
      </c>
      <c r="G98" s="13">
        <v>46</v>
      </c>
      <c r="H98" s="124">
        <f>G98*F98/1000</f>
        <v>4.5999999999999999E-2</v>
      </c>
      <c r="I98" s="13">
        <f>G98</f>
        <v>46</v>
      </c>
    </row>
    <row r="99" spans="1:9" s="43" customFormat="1" ht="15.75" customHeight="1">
      <c r="A99" s="29">
        <v>32</v>
      </c>
      <c r="B99" s="69" t="s">
        <v>195</v>
      </c>
      <c r="C99" s="82" t="s">
        <v>137</v>
      </c>
      <c r="D99" s="61"/>
      <c r="E99" s="13"/>
      <c r="F99" s="13">
        <v>4</v>
      </c>
      <c r="G99" s="13">
        <v>62</v>
      </c>
      <c r="H99" s="124">
        <f t="shared" ref="H99" si="14">G99*F99/1000</f>
        <v>0.248</v>
      </c>
      <c r="I99" s="13">
        <f>G99*3</f>
        <v>186</v>
      </c>
    </row>
    <row r="100" spans="1:9" s="43" customFormat="1" ht="31.5" customHeight="1">
      <c r="A100" s="35">
        <v>33</v>
      </c>
      <c r="B100" s="69" t="s">
        <v>196</v>
      </c>
      <c r="C100" s="82" t="s">
        <v>87</v>
      </c>
      <c r="D100" s="61"/>
      <c r="E100" s="13"/>
      <c r="F100" s="13">
        <v>8</v>
      </c>
      <c r="G100" s="13">
        <v>1206</v>
      </c>
      <c r="H100" s="124">
        <v>11.45</v>
      </c>
      <c r="I100" s="13">
        <f>G100*8</f>
        <v>9648</v>
      </c>
    </row>
    <row r="101" spans="1:9" s="43" customFormat="1" ht="31.5" customHeight="1">
      <c r="A101" s="35">
        <v>34</v>
      </c>
      <c r="B101" s="69" t="s">
        <v>197</v>
      </c>
      <c r="C101" s="82" t="s">
        <v>87</v>
      </c>
      <c r="D101" s="61"/>
      <c r="E101" s="13"/>
      <c r="F101" s="13">
        <v>2.5</v>
      </c>
      <c r="G101" s="13">
        <v>1146</v>
      </c>
      <c r="H101" s="124">
        <v>11.45</v>
      </c>
      <c r="I101" s="13">
        <f>G101*2</f>
        <v>2292</v>
      </c>
    </row>
    <row r="102" spans="1:9" s="43" customFormat="1" ht="15.75" customHeight="1">
      <c r="A102" s="29">
        <v>35</v>
      </c>
      <c r="B102" s="69" t="s">
        <v>198</v>
      </c>
      <c r="C102" s="82" t="s">
        <v>137</v>
      </c>
      <c r="D102" s="61"/>
      <c r="E102" s="13"/>
      <c r="F102" s="13">
        <v>2</v>
      </c>
      <c r="G102" s="13">
        <v>1102.53</v>
      </c>
      <c r="H102" s="124">
        <f>G102*F102/1000</f>
        <v>2.20506</v>
      </c>
      <c r="I102" s="13">
        <f>G102</f>
        <v>1102.53</v>
      </c>
    </row>
    <row r="103" spans="1:9" s="43" customFormat="1" ht="15.75" customHeight="1">
      <c r="A103" s="29"/>
      <c r="B103" s="55" t="s">
        <v>53</v>
      </c>
      <c r="C103" s="51"/>
      <c r="D103" s="65"/>
      <c r="E103" s="51">
        <v>1</v>
      </c>
      <c r="F103" s="51"/>
      <c r="G103" s="51"/>
      <c r="H103" s="51"/>
      <c r="I103" s="32">
        <f>SUM(I86:I102)</f>
        <v>44568.46</v>
      </c>
    </row>
    <row r="104" spans="1:9" s="43" customFormat="1" ht="15.75" customHeight="1">
      <c r="A104" s="29"/>
      <c r="B104" s="61" t="s">
        <v>84</v>
      </c>
      <c r="C104" s="16"/>
      <c r="D104" s="16"/>
      <c r="E104" s="52"/>
      <c r="F104" s="52"/>
      <c r="G104" s="53"/>
      <c r="H104" s="53"/>
      <c r="I104" s="19">
        <v>0</v>
      </c>
    </row>
    <row r="105" spans="1:9" s="43" customFormat="1" ht="15.75" customHeight="1">
      <c r="A105" s="66"/>
      <c r="B105" s="56" t="s">
        <v>179</v>
      </c>
      <c r="C105" s="38"/>
      <c r="D105" s="38"/>
      <c r="E105" s="38"/>
      <c r="F105" s="38"/>
      <c r="G105" s="38"/>
      <c r="H105" s="38"/>
      <c r="I105" s="54">
        <f>I84+I103</f>
        <v>128582.328225</v>
      </c>
    </row>
    <row r="106" spans="1:9" ht="15.75" customHeight="1">
      <c r="A106" s="162" t="s">
        <v>203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15.75" customHeight="1">
      <c r="A107" s="109"/>
      <c r="B107" s="186" t="s">
        <v>204</v>
      </c>
      <c r="C107" s="186"/>
      <c r="D107" s="186"/>
      <c r="E107" s="186"/>
      <c r="F107" s="186"/>
      <c r="G107" s="186"/>
      <c r="H107" s="123"/>
      <c r="I107" s="3"/>
    </row>
    <row r="108" spans="1:9" ht="15.75" customHeight="1">
      <c r="A108" s="103"/>
      <c r="B108" s="182" t="s">
        <v>6</v>
      </c>
      <c r="C108" s="182"/>
      <c r="D108" s="182"/>
      <c r="E108" s="182"/>
      <c r="F108" s="182"/>
      <c r="G108" s="182"/>
      <c r="H108" s="24"/>
      <c r="I108" s="5"/>
    </row>
    <row r="109" spans="1:9" ht="15.7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87" t="s">
        <v>7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15.75" customHeight="1">
      <c r="A111" s="187" t="s">
        <v>8</v>
      </c>
      <c r="B111" s="187"/>
      <c r="C111" s="187"/>
      <c r="D111" s="187"/>
      <c r="E111" s="187"/>
      <c r="F111" s="187"/>
      <c r="G111" s="187"/>
      <c r="H111" s="187"/>
      <c r="I111" s="187"/>
    </row>
    <row r="112" spans="1:9" ht="15.75" customHeight="1">
      <c r="A112" s="188" t="s">
        <v>66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15.75" customHeight="1">
      <c r="A113" s="10"/>
    </row>
    <row r="114" spans="1:9" ht="15.75" customHeight="1">
      <c r="A114" s="169" t="s">
        <v>9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15.75" customHeight="1">
      <c r="A115" s="4"/>
    </row>
    <row r="116" spans="1:9" ht="15.75" customHeight="1">
      <c r="B116" s="108" t="s">
        <v>10</v>
      </c>
      <c r="C116" s="181" t="s">
        <v>98</v>
      </c>
      <c r="D116" s="181"/>
      <c r="E116" s="181"/>
      <c r="F116" s="117"/>
      <c r="I116" s="105"/>
    </row>
    <row r="117" spans="1:9" ht="15.75" customHeight="1">
      <c r="A117" s="103"/>
      <c r="C117" s="182" t="s">
        <v>11</v>
      </c>
      <c r="D117" s="182"/>
      <c r="E117" s="182"/>
      <c r="F117" s="24"/>
      <c r="I117" s="104" t="s">
        <v>12</v>
      </c>
    </row>
    <row r="118" spans="1:9" ht="15.75" customHeight="1">
      <c r="A118" s="25"/>
      <c r="C118" s="11"/>
      <c r="D118" s="11"/>
      <c r="G118" s="11"/>
      <c r="H118" s="11"/>
    </row>
    <row r="119" spans="1:9" ht="15.75" customHeight="1">
      <c r="B119" s="108" t="s">
        <v>13</v>
      </c>
      <c r="C119" s="183"/>
      <c r="D119" s="183"/>
      <c r="E119" s="183"/>
      <c r="F119" s="118"/>
      <c r="I119" s="105"/>
    </row>
    <row r="120" spans="1:9" ht="15.75" customHeight="1">
      <c r="A120" s="103"/>
      <c r="C120" s="184" t="s">
        <v>11</v>
      </c>
      <c r="D120" s="184"/>
      <c r="E120" s="184"/>
      <c r="F120" s="103"/>
      <c r="I120" s="104" t="s">
        <v>12</v>
      </c>
    </row>
    <row r="121" spans="1:9" ht="15.75" customHeight="1">
      <c r="A121" s="4" t="s">
        <v>14</v>
      </c>
    </row>
    <row r="122" spans="1:9">
      <c r="A122" s="185" t="s">
        <v>15</v>
      </c>
      <c r="B122" s="185"/>
      <c r="C122" s="185"/>
      <c r="D122" s="185"/>
      <c r="E122" s="185"/>
      <c r="F122" s="185"/>
      <c r="G122" s="185"/>
      <c r="H122" s="185"/>
      <c r="I122" s="185"/>
    </row>
    <row r="123" spans="1:9" ht="45" customHeight="1">
      <c r="A123" s="174" t="s">
        <v>16</v>
      </c>
      <c r="B123" s="174"/>
      <c r="C123" s="174"/>
      <c r="D123" s="174"/>
      <c r="E123" s="174"/>
      <c r="F123" s="174"/>
      <c r="G123" s="174"/>
      <c r="H123" s="174"/>
      <c r="I123" s="174"/>
    </row>
    <row r="124" spans="1:9" ht="30" customHeight="1">
      <c r="A124" s="174" t="s">
        <v>17</v>
      </c>
      <c r="B124" s="174"/>
      <c r="C124" s="174"/>
      <c r="D124" s="174"/>
      <c r="E124" s="174"/>
      <c r="F124" s="174"/>
      <c r="G124" s="174"/>
      <c r="H124" s="174"/>
      <c r="I124" s="174"/>
    </row>
    <row r="125" spans="1:9" ht="30" customHeight="1">
      <c r="A125" s="174" t="s">
        <v>21</v>
      </c>
      <c r="B125" s="174"/>
      <c r="C125" s="174"/>
      <c r="D125" s="174"/>
      <c r="E125" s="174"/>
      <c r="F125" s="174"/>
      <c r="G125" s="174"/>
      <c r="H125" s="174"/>
      <c r="I125" s="174"/>
    </row>
    <row r="126" spans="1:9" ht="14.25" customHeight="1">
      <c r="A126" s="174" t="s">
        <v>20</v>
      </c>
      <c r="B126" s="174"/>
      <c r="C126" s="174"/>
      <c r="D126" s="174"/>
      <c r="E126" s="174"/>
      <c r="F126" s="174"/>
      <c r="G126" s="174"/>
      <c r="H126" s="174"/>
      <c r="I126" s="174"/>
    </row>
  </sheetData>
  <autoFilter ref="I12:I71"/>
  <mergeCells count="29">
    <mergeCell ref="A122:I122"/>
    <mergeCell ref="A123:I123"/>
    <mergeCell ref="A124:I124"/>
    <mergeCell ref="A125:I125"/>
    <mergeCell ref="A126:I126"/>
    <mergeCell ref="R77:U77"/>
    <mergeCell ref="C120:E120"/>
    <mergeCell ref="A85:I85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205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206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42855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/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v>0</v>
      </c>
      <c r="J19" s="86"/>
      <c r="K19" s="85"/>
      <c r="L19" s="85"/>
      <c r="M19" s="85"/>
    </row>
    <row r="20" spans="1:13" s="43" customFormat="1" ht="15.75" hidden="1" customHeight="1">
      <c r="A20" s="29">
        <v>4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v>0</v>
      </c>
      <c r="J20" s="86"/>
      <c r="K20" s="85"/>
      <c r="L20" s="85"/>
      <c r="M20" s="85"/>
    </row>
    <row r="21" spans="1:13" s="43" customFormat="1" ht="15.75" hidden="1" customHeight="1">
      <c r="A21" s="29">
        <v>5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v>0</v>
      </c>
      <c r="J21" s="86"/>
      <c r="K21" s="85"/>
      <c r="L21" s="85"/>
      <c r="M21" s="85"/>
    </row>
    <row r="22" spans="1:13" s="43" customFormat="1" ht="15.75" hidden="1" customHeight="1">
      <c r="A22" s="29"/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v>0</v>
      </c>
      <c r="J22" s="86"/>
      <c r="K22" s="85"/>
      <c r="L22" s="85"/>
      <c r="M22" s="85"/>
    </row>
    <row r="23" spans="1:13" s="43" customFormat="1" ht="15.75" hidden="1" customHeight="1">
      <c r="A23" s="29"/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v>0</v>
      </c>
      <c r="J23" s="86"/>
      <c r="K23" s="85"/>
      <c r="L23" s="85"/>
      <c r="M23" s="85"/>
    </row>
    <row r="24" spans="1:13" s="43" customFormat="1" ht="15.75" hidden="1" customHeight="1">
      <c r="A24" s="29"/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v>0</v>
      </c>
      <c r="J24" s="86"/>
      <c r="K24" s="85"/>
      <c r="L24" s="85"/>
      <c r="M24" s="85"/>
    </row>
    <row r="25" spans="1:13" s="43" customFormat="1" ht="31.5" hidden="1" customHeight="1">
      <c r="A25" s="50">
        <v>6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v>0</v>
      </c>
      <c r="J25" s="86"/>
      <c r="K25" s="85"/>
      <c r="L25" s="85"/>
      <c r="M25" s="85"/>
    </row>
    <row r="26" spans="1:13" s="43" customFormat="1" ht="15.75" hidden="1" customHeight="1">
      <c r="A26" s="50">
        <v>7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v>0</v>
      </c>
      <c r="J26" s="86"/>
      <c r="K26" s="85"/>
      <c r="L26" s="85"/>
      <c r="M26" s="85"/>
    </row>
    <row r="27" spans="1:13" s="43" customFormat="1" ht="15.75" customHeight="1">
      <c r="A27" s="50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1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50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1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hidden="1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hidden="1" customHeight="1">
      <c r="A31" s="50">
        <v>2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2">SUM(F31*G31/1000)</f>
        <v>7.2964626280000004</v>
      </c>
      <c r="I31" s="13">
        <v>0</v>
      </c>
      <c r="J31" s="86"/>
      <c r="K31" s="85"/>
      <c r="L31" s="85"/>
      <c r="M31" s="85"/>
    </row>
    <row r="32" spans="1:13" s="43" customFormat="1" ht="31.5" hidden="1" customHeight="1">
      <c r="A32" s="50">
        <v>3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2"/>
        <v>5.8381067159999995</v>
      </c>
      <c r="I32" s="13">
        <v>0</v>
      </c>
      <c r="J32" s="86"/>
      <c r="K32" s="85"/>
      <c r="L32" s="85"/>
      <c r="M32" s="85"/>
    </row>
    <row r="33" spans="1:14" s="43" customFormat="1" ht="15.75" hidden="1" customHeight="1">
      <c r="A33" s="50">
        <v>4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2"/>
        <v>2.7185990329999998</v>
      </c>
      <c r="I33" s="13">
        <v>0</v>
      </c>
      <c r="J33" s="86"/>
      <c r="K33" s="85"/>
      <c r="L33" s="85"/>
      <c r="M33" s="85"/>
    </row>
    <row r="34" spans="1:14" s="43" customFormat="1" ht="15.75" hidden="1" customHeight="1">
      <c r="A34" s="50"/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v>0</v>
      </c>
      <c r="J34" s="86"/>
      <c r="K34" s="85"/>
      <c r="L34" s="85"/>
      <c r="M34" s="85"/>
    </row>
    <row r="35" spans="1:14" s="43" customFormat="1" ht="15.75" hidden="1" customHeight="1">
      <c r="A35" s="50">
        <v>5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v>0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3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3"/>
        <v>2.27264</v>
      </c>
      <c r="I37" s="13">
        <v>0</v>
      </c>
      <c r="J37" s="87"/>
    </row>
    <row r="38" spans="1:14" s="43" customFormat="1" ht="15.75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4">SUM(F39*G39/1000)</f>
        <v>15.272200000000002</v>
      </c>
      <c r="I39" s="13">
        <f t="shared" ref="I39:I45" si="5">F39/6*G39</f>
        <v>2545.3666666666668</v>
      </c>
      <c r="J39" s="87"/>
    </row>
    <row r="40" spans="1:14" s="43" customFormat="1" ht="15.75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4"/>
        <v>15.997417679999998</v>
      </c>
      <c r="I40" s="13">
        <f t="shared" si="5"/>
        <v>2666.2362800000001</v>
      </c>
      <c r="J40" s="87"/>
    </row>
    <row r="41" spans="1:14" s="43" customFormat="1" ht="15.75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4"/>
        <v>18.255728220000002</v>
      </c>
      <c r="I41" s="13">
        <f t="shared" si="5"/>
        <v>3042.6213700000003</v>
      </c>
      <c r="J41" s="87"/>
    </row>
    <row r="42" spans="1:14" s="43" customFormat="1" ht="15.75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4"/>
        <v>15.73359275</v>
      </c>
      <c r="I42" s="13">
        <f t="shared" si="5"/>
        <v>2622.2654583333333</v>
      </c>
      <c r="J42" s="87"/>
    </row>
    <row r="43" spans="1:14" s="43" customFormat="1" ht="47.25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4"/>
        <v>15.04210176</v>
      </c>
      <c r="I43" s="13">
        <f t="shared" si="5"/>
        <v>2507.0169599999999</v>
      </c>
      <c r="J43" s="87"/>
    </row>
    <row r="44" spans="1:14" s="43" customFormat="1" ht="15.75" customHeight="1">
      <c r="A44" s="35">
        <v>11</v>
      </c>
      <c r="B44" s="131" t="s">
        <v>132</v>
      </c>
      <c r="C44" s="132" t="s">
        <v>125</v>
      </c>
      <c r="D44" s="34" t="s">
        <v>263</v>
      </c>
      <c r="E44" s="33">
        <v>134.4</v>
      </c>
      <c r="F44" s="37">
        <f>SUM(E44*15/1000)</f>
        <v>2.016</v>
      </c>
      <c r="G44" s="33">
        <v>428.7</v>
      </c>
      <c r="H44" s="193">
        <f t="shared" ref="H44" si="6">SUM(F44*G44/1000)</f>
        <v>0.86425920000000001</v>
      </c>
      <c r="I44" s="13">
        <f>F44/2*G44</f>
        <v>432.12959999999998</v>
      </c>
      <c r="J44" s="87"/>
      <c r="L44" s="22"/>
      <c r="M44" s="23"/>
      <c r="N44" s="31"/>
    </row>
    <row r="45" spans="1:14" s="43" customFormat="1" ht="15.75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4"/>
        <v>0.71820000000000006</v>
      </c>
      <c r="I45" s="13">
        <f t="shared" si="5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15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7">SUM(F47*G47/1000)</f>
        <v>2.8245542500000003</v>
      </c>
      <c r="I47" s="13">
        <v>0</v>
      </c>
      <c r="J47" s="87"/>
      <c r="L47" s="22"/>
      <c r="M47" s="23"/>
      <c r="N47" s="31"/>
    </row>
    <row r="48" spans="1:14" s="43" customFormat="1" ht="15.75" hidden="1" customHeight="1">
      <c r="A48" s="50"/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7"/>
        <v>0.10755148799999999</v>
      </c>
      <c r="I48" s="13">
        <v>0</v>
      </c>
      <c r="J48" s="87"/>
      <c r="L48" s="22"/>
      <c r="M48" s="23"/>
      <c r="N48" s="31"/>
    </row>
    <row r="49" spans="1:14" s="43" customFormat="1" ht="15.75" hidden="1" customHeight="1">
      <c r="A49" s="50">
        <v>16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7"/>
        <v>5.5058712720000003</v>
      </c>
      <c r="I49" s="13">
        <v>0</v>
      </c>
      <c r="J49" s="87"/>
      <c r="L49" s="22"/>
      <c r="M49" s="23"/>
      <c r="N49" s="31"/>
    </row>
    <row r="50" spans="1:14" s="43" customFormat="1" ht="15.75" hidden="1" customHeight="1">
      <c r="A50" s="50">
        <v>17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7"/>
        <v>3.4476550045999992</v>
      </c>
      <c r="I50" s="13">
        <v>0</v>
      </c>
      <c r="J50" s="87"/>
      <c r="L50" s="22"/>
      <c r="M50" s="23"/>
      <c r="N50" s="31"/>
    </row>
    <row r="51" spans="1:14" s="43" customFormat="1" ht="15.75" hidden="1" customHeight="1">
      <c r="A51" s="50">
        <v>13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7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7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7"/>
        <v>2.1843919999999999</v>
      </c>
      <c r="I53" s="13">
        <f t="shared" ref="I53:I54" si="8">F53/2*G53</f>
        <v>1092.1959999999999</v>
      </c>
      <c r="J53" s="87"/>
      <c r="L53" s="22"/>
      <c r="M53" s="23"/>
      <c r="N53" s="31"/>
    </row>
    <row r="54" spans="1:14" s="43" customFormat="1" ht="15.75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7"/>
        <v>0.11304260000000001</v>
      </c>
      <c r="I54" s="13">
        <f t="shared" si="8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14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7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18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19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9">SUM(F65*G65/1000)</f>
        <v>2.2240000000000002</v>
      </c>
      <c r="I65" s="13">
        <f>G65</f>
        <v>222.4</v>
      </c>
      <c r="J65" s="87"/>
      <c r="L65" s="22"/>
      <c r="M65" s="23"/>
      <c r="N65" s="31"/>
    </row>
    <row r="66" spans="1:22" s="43" customFormat="1" ht="15.75" hidden="1" customHeight="1">
      <c r="A66" s="29">
        <v>29</v>
      </c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9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8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9"/>
        <v>49.360940499999998</v>
      </c>
      <c r="I67" s="13">
        <v>0</v>
      </c>
      <c r="J67" s="87"/>
      <c r="L67" s="22"/>
      <c r="M67" s="23"/>
      <c r="N67" s="31"/>
    </row>
    <row r="68" spans="1:22" s="43" customFormat="1" ht="15.75" hidden="1" customHeight="1">
      <c r="A68" s="29">
        <v>9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9"/>
        <v>3.8439410700000005</v>
      </c>
      <c r="I68" s="13">
        <v>0</v>
      </c>
      <c r="J68" s="87"/>
      <c r="L68" s="22"/>
      <c r="M68" s="23"/>
      <c r="N68" s="31"/>
    </row>
    <row r="69" spans="1:22" s="43" customFormat="1" ht="15.75" hidden="1" customHeight="1">
      <c r="A69" s="29">
        <v>10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9"/>
        <v>65.247113499999998</v>
      </c>
      <c r="I69" s="13">
        <v>0</v>
      </c>
      <c r="J69" s="87"/>
      <c r="L69" s="22"/>
    </row>
    <row r="70" spans="1:22" s="43" customFormat="1" ht="15.75" hidden="1" customHeight="1">
      <c r="A70" s="29">
        <v>11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9"/>
        <v>0.88156220000000007</v>
      </c>
      <c r="I70" s="13">
        <v>0</v>
      </c>
    </row>
    <row r="71" spans="1:22" s="43" customFormat="1" ht="15.75" hidden="1" customHeight="1">
      <c r="A71" s="29">
        <v>12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9"/>
        <v>0.82247460000000006</v>
      </c>
      <c r="I71" s="13">
        <v>0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9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19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0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20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21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SUM(I16+I17+I18+I27+I28+I39+I40+I41+I42+I43+I44+I45+I52+I53+I54+I58+I59+I62+I65+I82+I83)</f>
        <v>86500.776900000012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22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87" si="11">G86*F86/1000</f>
        <v>45.582860000000004</v>
      </c>
      <c r="I86" s="13">
        <f>G86*((10+10+15)/3)</f>
        <v>13077.050000000001</v>
      </c>
    </row>
    <row r="87" spans="1:9" s="43" customFormat="1" ht="31.5" customHeight="1">
      <c r="A87" s="29">
        <v>23</v>
      </c>
      <c r="B87" s="69" t="s">
        <v>184</v>
      </c>
      <c r="C87" s="82" t="s">
        <v>101</v>
      </c>
      <c r="D87" s="15"/>
      <c r="E87" s="20"/>
      <c r="F87" s="13">
        <v>1</v>
      </c>
      <c r="G87" s="13">
        <v>666.24</v>
      </c>
      <c r="H87" s="124">
        <f t="shared" si="11"/>
        <v>0.66624000000000005</v>
      </c>
      <c r="I87" s="13">
        <f>G87</f>
        <v>666.24</v>
      </c>
    </row>
    <row r="88" spans="1:9" s="43" customFormat="1" ht="15.75" customHeight="1">
      <c r="A88" s="35">
        <v>24</v>
      </c>
      <c r="B88" s="69" t="s">
        <v>198</v>
      </c>
      <c r="C88" s="82" t="s">
        <v>137</v>
      </c>
      <c r="D88" s="80"/>
      <c r="E88" s="40"/>
      <c r="F88" s="40">
        <v>2</v>
      </c>
      <c r="G88" s="40">
        <v>1102.53</v>
      </c>
      <c r="H88" s="155">
        <f>G88*F88/1000</f>
        <v>2.20506</v>
      </c>
      <c r="I88" s="13">
        <f>G88</f>
        <v>1102.53</v>
      </c>
    </row>
    <row r="89" spans="1:9" s="43" customFormat="1" ht="15.75" customHeight="1">
      <c r="A89" s="29"/>
      <c r="B89" s="55" t="s">
        <v>53</v>
      </c>
      <c r="C89" s="51"/>
      <c r="D89" s="65"/>
      <c r="E89" s="51">
        <v>1</v>
      </c>
      <c r="F89" s="51"/>
      <c r="G89" s="51"/>
      <c r="H89" s="51"/>
      <c r="I89" s="32">
        <f>SUM(I86:I88)</f>
        <v>14845.820000000002</v>
      </c>
    </row>
    <row r="90" spans="1:9" s="43" customFormat="1" ht="15.75" customHeight="1">
      <c r="A90" s="29"/>
      <c r="B90" s="61" t="s">
        <v>84</v>
      </c>
      <c r="C90" s="16"/>
      <c r="D90" s="16"/>
      <c r="E90" s="52"/>
      <c r="F90" s="52"/>
      <c r="G90" s="53"/>
      <c r="H90" s="53"/>
      <c r="I90" s="19">
        <v>0</v>
      </c>
    </row>
    <row r="91" spans="1:9" s="43" customFormat="1" ht="15.75" customHeight="1">
      <c r="A91" s="66"/>
      <c r="B91" s="56" t="s">
        <v>179</v>
      </c>
      <c r="C91" s="38"/>
      <c r="D91" s="38"/>
      <c r="E91" s="38"/>
      <c r="F91" s="38"/>
      <c r="G91" s="38"/>
      <c r="H91" s="38"/>
      <c r="I91" s="54">
        <f>I84+I89</f>
        <v>101346.59690000002</v>
      </c>
    </row>
    <row r="92" spans="1:9" ht="15.75" customHeight="1">
      <c r="A92" s="162" t="s">
        <v>207</v>
      </c>
      <c r="B92" s="162"/>
      <c r="C92" s="162"/>
      <c r="D92" s="162"/>
      <c r="E92" s="162"/>
      <c r="F92" s="162"/>
      <c r="G92" s="162"/>
      <c r="H92" s="162"/>
      <c r="I92" s="162"/>
    </row>
    <row r="93" spans="1:9" ht="15.75" customHeight="1">
      <c r="A93" s="109"/>
      <c r="B93" s="186" t="s">
        <v>208</v>
      </c>
      <c r="C93" s="186"/>
      <c r="D93" s="186"/>
      <c r="E93" s="186"/>
      <c r="F93" s="186"/>
      <c r="G93" s="186"/>
      <c r="H93" s="123"/>
      <c r="I93" s="3"/>
    </row>
    <row r="94" spans="1:9" ht="15.75" customHeight="1">
      <c r="A94" s="103"/>
      <c r="B94" s="182" t="s">
        <v>6</v>
      </c>
      <c r="C94" s="182"/>
      <c r="D94" s="182"/>
      <c r="E94" s="182"/>
      <c r="F94" s="182"/>
      <c r="G94" s="182"/>
      <c r="H94" s="24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 customHeight="1">
      <c r="A96" s="187" t="s">
        <v>7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187" t="s">
        <v>8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8" t="s">
        <v>66</v>
      </c>
      <c r="B98" s="188"/>
      <c r="C98" s="188"/>
      <c r="D98" s="188"/>
      <c r="E98" s="188"/>
      <c r="F98" s="188"/>
      <c r="G98" s="188"/>
      <c r="H98" s="188"/>
      <c r="I98" s="188"/>
    </row>
    <row r="99" spans="1:9" ht="15.75" customHeight="1">
      <c r="A99" s="10"/>
    </row>
    <row r="100" spans="1:9" ht="15.75" customHeight="1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 customHeight="1">
      <c r="A101" s="4"/>
    </row>
    <row r="102" spans="1:9" ht="15.75" customHeight="1">
      <c r="B102" s="108" t="s">
        <v>10</v>
      </c>
      <c r="C102" s="181" t="s">
        <v>98</v>
      </c>
      <c r="D102" s="181"/>
      <c r="E102" s="181"/>
      <c r="F102" s="117"/>
      <c r="I102" s="105"/>
    </row>
    <row r="103" spans="1:9" ht="15.75" customHeight="1">
      <c r="A103" s="103"/>
      <c r="C103" s="182" t="s">
        <v>11</v>
      </c>
      <c r="D103" s="182"/>
      <c r="E103" s="182"/>
      <c r="F103" s="24"/>
      <c r="I103" s="104" t="s">
        <v>12</v>
      </c>
    </row>
    <row r="104" spans="1:9" ht="15.75" customHeight="1">
      <c r="A104" s="25"/>
      <c r="C104" s="11"/>
      <c r="D104" s="11"/>
      <c r="G104" s="11"/>
      <c r="H104" s="11"/>
    </row>
    <row r="105" spans="1:9" ht="15.75" customHeight="1">
      <c r="B105" s="108" t="s">
        <v>13</v>
      </c>
      <c r="C105" s="183"/>
      <c r="D105" s="183"/>
      <c r="E105" s="183"/>
      <c r="F105" s="118"/>
      <c r="I105" s="105"/>
    </row>
    <row r="106" spans="1:9" ht="15.75" customHeight="1">
      <c r="A106" s="103"/>
      <c r="C106" s="184" t="s">
        <v>11</v>
      </c>
      <c r="D106" s="184"/>
      <c r="E106" s="184"/>
      <c r="F106" s="103"/>
      <c r="I106" s="104" t="s">
        <v>12</v>
      </c>
    </row>
    <row r="107" spans="1:9" ht="15.75" customHeight="1">
      <c r="A107" s="4" t="s">
        <v>14</v>
      </c>
    </row>
    <row r="108" spans="1:9">
      <c r="A108" s="185" t="s">
        <v>15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45" customHeight="1">
      <c r="A109" s="174" t="s">
        <v>16</v>
      </c>
      <c r="B109" s="174"/>
      <c r="C109" s="174"/>
      <c r="D109" s="174"/>
      <c r="E109" s="174"/>
      <c r="F109" s="174"/>
      <c r="G109" s="174"/>
      <c r="H109" s="174"/>
      <c r="I109" s="174"/>
    </row>
    <row r="110" spans="1:9" ht="30" customHeight="1">
      <c r="A110" s="174" t="s">
        <v>17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30" customHeight="1">
      <c r="A111" s="174" t="s">
        <v>21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14.25" customHeight="1">
      <c r="A112" s="174" t="s">
        <v>20</v>
      </c>
      <c r="B112" s="174"/>
      <c r="C112" s="174"/>
      <c r="D112" s="174"/>
      <c r="E112" s="174"/>
      <c r="F112" s="174"/>
      <c r="G112" s="174"/>
      <c r="H112" s="174"/>
      <c r="I112" s="174"/>
    </row>
  </sheetData>
  <autoFilter ref="I12:I71"/>
  <mergeCells count="29">
    <mergeCell ref="A108:I108"/>
    <mergeCell ref="A109:I109"/>
    <mergeCell ref="A110:I110"/>
    <mergeCell ref="A111:I111"/>
    <mergeCell ref="A112:I112"/>
    <mergeCell ref="R77:U77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209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210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42886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12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13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14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15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17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18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customHeight="1">
      <c r="A47" s="50">
        <v>19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customHeight="1">
      <c r="A48" s="50">
        <v>20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customHeight="1">
      <c r="A49" s="50">
        <v>21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customHeight="1">
      <c r="A50" s="50">
        <v>22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customHeight="1">
      <c r="A51" s="50">
        <v>23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14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24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hidden="1" customHeight="1">
      <c r="A65" s="50">
        <v>19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</f>
        <v>222.4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19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30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31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SUM(I16+I17+I18+I19+I20+I21+I22+I23+I24+I25+I26+I27+I28+I31+I32+I33+I34+I35+I47+I48+I49+I50+I51+I62+I67+I68+I69+I70+I71+I82+I83)</f>
        <v>205657.19052018886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32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" si="14">G86*F86/1000</f>
        <v>45.582860000000004</v>
      </c>
      <c r="I86" s="13">
        <f>G86*((10+3)/3)</f>
        <v>4857.1900000000005</v>
      </c>
    </row>
    <row r="87" spans="1:9" s="43" customFormat="1" ht="15.75" customHeight="1">
      <c r="A87" s="29">
        <v>33</v>
      </c>
      <c r="B87" s="69" t="s">
        <v>158</v>
      </c>
      <c r="C87" s="82" t="s">
        <v>90</v>
      </c>
      <c r="D87" s="15"/>
      <c r="E87" s="20"/>
      <c r="F87" s="13">
        <v>2</v>
      </c>
      <c r="G87" s="13">
        <v>195.85</v>
      </c>
      <c r="H87" s="124">
        <f>G87*F87/1000</f>
        <v>0.39169999999999999</v>
      </c>
      <c r="I87" s="13">
        <f>G87</f>
        <v>195.85</v>
      </c>
    </row>
    <row r="88" spans="1:9" s="43" customFormat="1" ht="15.75" customHeight="1">
      <c r="A88" s="35">
        <v>34</v>
      </c>
      <c r="B88" s="69" t="s">
        <v>88</v>
      </c>
      <c r="C88" s="82" t="s">
        <v>137</v>
      </c>
      <c r="D88" s="15"/>
      <c r="E88" s="20"/>
      <c r="F88" s="13">
        <v>8</v>
      </c>
      <c r="G88" s="13">
        <v>189.88</v>
      </c>
      <c r="H88" s="124">
        <f t="shared" ref="H88" si="15">G88*F88/1000</f>
        <v>1.5190399999999999</v>
      </c>
      <c r="I88" s="13">
        <f>G88</f>
        <v>189.88</v>
      </c>
    </row>
    <row r="89" spans="1:9" s="43" customFormat="1" ht="15.75" customHeight="1">
      <c r="A89" s="29">
        <v>35</v>
      </c>
      <c r="B89" s="83" t="s">
        <v>211</v>
      </c>
      <c r="C89" s="84" t="s">
        <v>101</v>
      </c>
      <c r="D89" s="44"/>
      <c r="E89" s="19"/>
      <c r="F89" s="40">
        <v>1</v>
      </c>
      <c r="G89" s="40">
        <v>350.84</v>
      </c>
      <c r="H89" s="155">
        <f>G89*F89/1000</f>
        <v>0.35083999999999999</v>
      </c>
      <c r="I89" s="13">
        <f t="shared" ref="I89:I92" si="16">G89</f>
        <v>350.84</v>
      </c>
    </row>
    <row r="90" spans="1:9" s="43" customFormat="1" ht="15.75" customHeight="1">
      <c r="A90" s="29">
        <v>36</v>
      </c>
      <c r="B90" s="83" t="s">
        <v>212</v>
      </c>
      <c r="C90" s="84" t="s">
        <v>137</v>
      </c>
      <c r="D90" s="44"/>
      <c r="E90" s="19"/>
      <c r="F90" s="40">
        <v>1</v>
      </c>
      <c r="G90" s="40">
        <v>190.86</v>
      </c>
      <c r="H90" s="155">
        <f>G90*F90/1000</f>
        <v>0.19086</v>
      </c>
      <c r="I90" s="13">
        <f t="shared" si="16"/>
        <v>190.86</v>
      </c>
    </row>
    <row r="91" spans="1:9" s="43" customFormat="1" ht="31.5" customHeight="1">
      <c r="A91" s="35">
        <v>37</v>
      </c>
      <c r="B91" s="69" t="s">
        <v>213</v>
      </c>
      <c r="C91" s="82" t="s">
        <v>39</v>
      </c>
      <c r="D91" s="61"/>
      <c r="E91" s="40"/>
      <c r="F91" s="40">
        <v>0.06</v>
      </c>
      <c r="G91" s="40">
        <v>3581.13</v>
      </c>
      <c r="H91" s="155">
        <f>G91*F91/1000</f>
        <v>0.2148678</v>
      </c>
      <c r="I91" s="13">
        <f>G91*0.01</f>
        <v>35.811300000000003</v>
      </c>
    </row>
    <row r="92" spans="1:9" s="43" customFormat="1" ht="15.75" customHeight="1">
      <c r="A92" s="29">
        <v>38</v>
      </c>
      <c r="B92" s="69" t="s">
        <v>214</v>
      </c>
      <c r="C92" s="82" t="s">
        <v>215</v>
      </c>
      <c r="D92" s="61"/>
      <c r="E92" s="40"/>
      <c r="F92" s="40">
        <v>1</v>
      </c>
      <c r="G92" s="40">
        <v>32844</v>
      </c>
      <c r="H92" s="155">
        <f t="shared" ref="H92" si="17">G92*F92/1000</f>
        <v>32.844000000000001</v>
      </c>
      <c r="I92" s="13">
        <f t="shared" si="16"/>
        <v>32844</v>
      </c>
    </row>
    <row r="93" spans="1:9" s="43" customFormat="1" ht="15.75" customHeight="1">
      <c r="A93" s="29"/>
      <c r="B93" s="55" t="s">
        <v>53</v>
      </c>
      <c r="C93" s="51"/>
      <c r="D93" s="65"/>
      <c r="E93" s="51">
        <v>1</v>
      </c>
      <c r="F93" s="51"/>
      <c r="G93" s="51"/>
      <c r="H93" s="51"/>
      <c r="I93" s="32">
        <f>SUM(I86:I92)</f>
        <v>38664.431300000004</v>
      </c>
    </row>
    <row r="94" spans="1:9" s="43" customFormat="1" ht="15.75" customHeight="1">
      <c r="A94" s="29"/>
      <c r="B94" s="61" t="s">
        <v>84</v>
      </c>
      <c r="C94" s="16"/>
      <c r="D94" s="16"/>
      <c r="E94" s="52"/>
      <c r="F94" s="52"/>
      <c r="G94" s="53"/>
      <c r="H94" s="53"/>
      <c r="I94" s="19">
        <v>0</v>
      </c>
    </row>
    <row r="95" spans="1:9" s="43" customFormat="1" ht="15.75" customHeight="1">
      <c r="A95" s="66"/>
      <c r="B95" s="56" t="s">
        <v>179</v>
      </c>
      <c r="C95" s="38"/>
      <c r="D95" s="38"/>
      <c r="E95" s="38"/>
      <c r="F95" s="38"/>
      <c r="G95" s="38"/>
      <c r="H95" s="38"/>
      <c r="I95" s="54">
        <f>I84+I93</f>
        <v>244321.62182018886</v>
      </c>
    </row>
    <row r="96" spans="1:9" ht="15.75" customHeight="1">
      <c r="A96" s="162" t="s">
        <v>216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09"/>
      <c r="B97" s="186" t="s">
        <v>217</v>
      </c>
      <c r="C97" s="186"/>
      <c r="D97" s="186"/>
      <c r="E97" s="186"/>
      <c r="F97" s="186"/>
      <c r="G97" s="186"/>
      <c r="H97" s="123"/>
      <c r="I97" s="3"/>
    </row>
    <row r="98" spans="1:9" ht="15.75" customHeight="1">
      <c r="A98" s="103"/>
      <c r="B98" s="182" t="s">
        <v>6</v>
      </c>
      <c r="C98" s="182"/>
      <c r="D98" s="182"/>
      <c r="E98" s="182"/>
      <c r="F98" s="182"/>
      <c r="G98" s="182"/>
      <c r="H98" s="24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187" t="s">
        <v>7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 customHeight="1">
      <c r="A101" s="187" t="s">
        <v>8</v>
      </c>
      <c r="B101" s="187"/>
      <c r="C101" s="187"/>
      <c r="D101" s="187"/>
      <c r="E101" s="187"/>
      <c r="F101" s="187"/>
      <c r="G101" s="187"/>
      <c r="H101" s="187"/>
      <c r="I101" s="187"/>
    </row>
    <row r="102" spans="1:9" ht="15.75" customHeight="1">
      <c r="A102" s="188" t="s">
        <v>66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 customHeight="1">
      <c r="A103" s="10"/>
    </row>
    <row r="104" spans="1:9" ht="15.75" customHeight="1">
      <c r="A104" s="169" t="s">
        <v>9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4"/>
    </row>
    <row r="106" spans="1:9" ht="15.75" customHeight="1">
      <c r="B106" s="108" t="s">
        <v>10</v>
      </c>
      <c r="C106" s="181" t="s">
        <v>98</v>
      </c>
      <c r="D106" s="181"/>
      <c r="E106" s="181"/>
      <c r="F106" s="117"/>
      <c r="I106" s="105"/>
    </row>
    <row r="107" spans="1:9" ht="15.75" customHeight="1">
      <c r="A107" s="103"/>
      <c r="C107" s="182" t="s">
        <v>11</v>
      </c>
      <c r="D107" s="182"/>
      <c r="E107" s="182"/>
      <c r="F107" s="24"/>
      <c r="I107" s="104" t="s">
        <v>12</v>
      </c>
    </row>
    <row r="108" spans="1:9" ht="15.75" customHeight="1">
      <c r="A108" s="25"/>
      <c r="C108" s="11"/>
      <c r="D108" s="11"/>
      <c r="G108" s="11"/>
      <c r="H108" s="11"/>
    </row>
    <row r="109" spans="1:9" ht="15.75" customHeight="1">
      <c r="B109" s="108" t="s">
        <v>13</v>
      </c>
      <c r="C109" s="183"/>
      <c r="D109" s="183"/>
      <c r="E109" s="183"/>
      <c r="F109" s="118"/>
      <c r="I109" s="105"/>
    </row>
    <row r="110" spans="1:9" ht="15.75" customHeight="1">
      <c r="A110" s="103"/>
      <c r="C110" s="184" t="s">
        <v>11</v>
      </c>
      <c r="D110" s="184"/>
      <c r="E110" s="184"/>
      <c r="F110" s="103"/>
      <c r="I110" s="104" t="s">
        <v>12</v>
      </c>
    </row>
    <row r="111" spans="1:9" ht="15.75" customHeight="1">
      <c r="A111" s="4" t="s">
        <v>14</v>
      </c>
    </row>
    <row r="112" spans="1:9">
      <c r="A112" s="185" t="s">
        <v>15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45" customHeight="1">
      <c r="A113" s="174" t="s">
        <v>16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30" customHeight="1">
      <c r="A114" s="174" t="s">
        <v>17</v>
      </c>
      <c r="B114" s="174"/>
      <c r="C114" s="174"/>
      <c r="D114" s="174"/>
      <c r="E114" s="174"/>
      <c r="F114" s="174"/>
      <c r="G114" s="174"/>
      <c r="H114" s="174"/>
      <c r="I114" s="174"/>
    </row>
    <row r="115" spans="1:9" ht="30" customHeight="1">
      <c r="A115" s="174" t="s">
        <v>21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14.25" customHeight="1">
      <c r="A116" s="174" t="s">
        <v>20</v>
      </c>
      <c r="B116" s="174"/>
      <c r="C116" s="174"/>
      <c r="D116" s="174"/>
      <c r="E116" s="174"/>
      <c r="F116" s="174"/>
      <c r="G116" s="174"/>
      <c r="H116" s="174"/>
      <c r="I116" s="174"/>
    </row>
  </sheetData>
  <autoFilter ref="I12:I71"/>
  <mergeCells count="29">
    <mergeCell ref="A112:I112"/>
    <mergeCell ref="A113:I113"/>
    <mergeCell ref="A114:I114"/>
    <mergeCell ref="A115:I115"/>
    <mergeCell ref="A116:I116"/>
    <mergeCell ref="R77:U77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218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219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42916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19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20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21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22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hidden="1" customHeight="1">
      <c r="A51" s="50">
        <v>23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customHeight="1">
      <c r="A55" s="50">
        <v>10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11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12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G65*2</f>
        <v>444.8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19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13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14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SUM(I16+I17+I18+I27+I28+I31+I32+I34+I35+I55+I62+I65+I82+I83)</f>
        <v>87061.122202888888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15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87" si="14">G86*F86/1000</f>
        <v>45.582860000000004</v>
      </c>
      <c r="I86" s="13">
        <f>G86*((10+10)/3)</f>
        <v>7472.6000000000013</v>
      </c>
    </row>
    <row r="87" spans="1:9" s="43" customFormat="1" ht="15.75" customHeight="1">
      <c r="A87" s="29">
        <v>16</v>
      </c>
      <c r="B87" s="69" t="s">
        <v>88</v>
      </c>
      <c r="C87" s="82" t="s">
        <v>137</v>
      </c>
      <c r="D87" s="15"/>
      <c r="E87" s="20"/>
      <c r="F87" s="13">
        <v>8</v>
      </c>
      <c r="G87" s="13">
        <v>189.88</v>
      </c>
      <c r="H87" s="124">
        <f t="shared" si="14"/>
        <v>1.5190399999999999</v>
      </c>
      <c r="I87" s="13">
        <f>G87</f>
        <v>189.88</v>
      </c>
    </row>
    <row r="88" spans="1:9" s="43" customFormat="1" ht="31.5" customHeight="1">
      <c r="A88" s="35">
        <v>17</v>
      </c>
      <c r="B88" s="69" t="s">
        <v>97</v>
      </c>
      <c r="C88" s="82" t="s">
        <v>101</v>
      </c>
      <c r="D88" s="61"/>
      <c r="E88" s="13"/>
      <c r="F88" s="13">
        <v>6</v>
      </c>
      <c r="G88" s="13">
        <v>589.84</v>
      </c>
      <c r="H88" s="124">
        <f>G88*F88/1000</f>
        <v>3.53904</v>
      </c>
      <c r="I88" s="13">
        <f>G88*2</f>
        <v>1179.68</v>
      </c>
    </row>
    <row r="89" spans="1:9" s="43" customFormat="1" ht="31.5" customHeight="1">
      <c r="A89" s="29">
        <v>18</v>
      </c>
      <c r="B89" s="69" t="s">
        <v>213</v>
      </c>
      <c r="C89" s="82" t="s">
        <v>39</v>
      </c>
      <c r="D89" s="61"/>
      <c r="E89" s="40"/>
      <c r="F89" s="40">
        <v>0.06</v>
      </c>
      <c r="G89" s="40">
        <v>3581.13</v>
      </c>
      <c r="H89" s="155">
        <f>G89*F89/1000</f>
        <v>0.2148678</v>
      </c>
      <c r="I89" s="13">
        <f>G89*0.01</f>
        <v>35.811300000000003</v>
      </c>
    </row>
    <row r="90" spans="1:9" s="43" customFormat="1" ht="15.75" customHeight="1">
      <c r="A90" s="29"/>
      <c r="B90" s="55" t="s">
        <v>53</v>
      </c>
      <c r="C90" s="51"/>
      <c r="D90" s="65"/>
      <c r="E90" s="51">
        <v>1</v>
      </c>
      <c r="F90" s="51"/>
      <c r="G90" s="51"/>
      <c r="H90" s="51"/>
      <c r="I90" s="32">
        <f>SUM(I86:I89)</f>
        <v>8877.9713000000011</v>
      </c>
    </row>
    <row r="91" spans="1:9" s="43" customFormat="1" ht="15.75" customHeight="1">
      <c r="A91" s="29"/>
      <c r="B91" s="61" t="s">
        <v>84</v>
      </c>
      <c r="C91" s="16"/>
      <c r="D91" s="16"/>
      <c r="E91" s="52"/>
      <c r="F91" s="52"/>
      <c r="G91" s="53"/>
      <c r="H91" s="53"/>
      <c r="I91" s="19">
        <v>0</v>
      </c>
    </row>
    <row r="92" spans="1:9" s="43" customFormat="1" ht="15.75" customHeight="1">
      <c r="A92" s="66"/>
      <c r="B92" s="56" t="s">
        <v>179</v>
      </c>
      <c r="C92" s="38"/>
      <c r="D92" s="38"/>
      <c r="E92" s="38"/>
      <c r="F92" s="38"/>
      <c r="G92" s="38"/>
      <c r="H92" s="38"/>
      <c r="I92" s="54">
        <f>I84+I90</f>
        <v>95939.093502888893</v>
      </c>
    </row>
    <row r="93" spans="1:9" ht="15.75" customHeight="1">
      <c r="A93" s="162" t="s">
        <v>220</v>
      </c>
      <c r="B93" s="162"/>
      <c r="C93" s="162"/>
      <c r="D93" s="162"/>
      <c r="E93" s="162"/>
      <c r="F93" s="162"/>
      <c r="G93" s="162"/>
      <c r="H93" s="162"/>
      <c r="I93" s="162"/>
    </row>
    <row r="94" spans="1:9" ht="15.75" customHeight="1">
      <c r="A94" s="109"/>
      <c r="B94" s="186" t="s">
        <v>221</v>
      </c>
      <c r="C94" s="186"/>
      <c r="D94" s="186"/>
      <c r="E94" s="186"/>
      <c r="F94" s="186"/>
      <c r="G94" s="186"/>
      <c r="H94" s="123"/>
      <c r="I94" s="3"/>
    </row>
    <row r="95" spans="1:9" ht="15.75" customHeight="1">
      <c r="A95" s="103"/>
      <c r="B95" s="182" t="s">
        <v>6</v>
      </c>
      <c r="C95" s="182"/>
      <c r="D95" s="182"/>
      <c r="E95" s="182"/>
      <c r="F95" s="182"/>
      <c r="G95" s="182"/>
      <c r="H95" s="24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 customHeight="1">
      <c r="A97" s="187" t="s">
        <v>7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7" t="s">
        <v>8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8" t="s">
        <v>66</v>
      </c>
      <c r="B99" s="188"/>
      <c r="C99" s="188"/>
      <c r="D99" s="188"/>
      <c r="E99" s="188"/>
      <c r="F99" s="188"/>
      <c r="G99" s="188"/>
      <c r="H99" s="188"/>
      <c r="I99" s="188"/>
    </row>
    <row r="100" spans="1:9" ht="15.75" customHeight="1">
      <c r="A100" s="10"/>
    </row>
    <row r="101" spans="1:9" ht="15.75" customHeight="1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 customHeight="1">
      <c r="A102" s="4"/>
    </row>
    <row r="103" spans="1:9" ht="15.75" customHeight="1">
      <c r="B103" s="108" t="s">
        <v>10</v>
      </c>
      <c r="C103" s="181" t="s">
        <v>98</v>
      </c>
      <c r="D103" s="181"/>
      <c r="E103" s="181"/>
      <c r="F103" s="117"/>
      <c r="I103" s="105"/>
    </row>
    <row r="104" spans="1:9" ht="15.75" customHeight="1">
      <c r="A104" s="103"/>
      <c r="C104" s="182" t="s">
        <v>11</v>
      </c>
      <c r="D104" s="182"/>
      <c r="E104" s="182"/>
      <c r="F104" s="24"/>
      <c r="I104" s="104" t="s">
        <v>12</v>
      </c>
    </row>
    <row r="105" spans="1:9" ht="15.75" customHeight="1">
      <c r="A105" s="25"/>
      <c r="C105" s="11"/>
      <c r="D105" s="11"/>
      <c r="G105" s="11"/>
      <c r="H105" s="11"/>
    </row>
    <row r="106" spans="1:9" ht="15.75" customHeight="1">
      <c r="B106" s="108" t="s">
        <v>13</v>
      </c>
      <c r="C106" s="183"/>
      <c r="D106" s="183"/>
      <c r="E106" s="183"/>
      <c r="F106" s="118"/>
      <c r="I106" s="105"/>
    </row>
    <row r="107" spans="1:9" ht="15.75" customHeight="1">
      <c r="A107" s="103"/>
      <c r="C107" s="184" t="s">
        <v>11</v>
      </c>
      <c r="D107" s="184"/>
      <c r="E107" s="184"/>
      <c r="F107" s="103"/>
      <c r="I107" s="104" t="s">
        <v>12</v>
      </c>
    </row>
    <row r="108" spans="1:9" ht="15.75" customHeight="1">
      <c r="A108" s="4" t="s">
        <v>14</v>
      </c>
    </row>
    <row r="109" spans="1:9">
      <c r="A109" s="185" t="s">
        <v>15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45" customHeight="1">
      <c r="A110" s="174" t="s">
        <v>16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30" customHeight="1">
      <c r="A111" s="174" t="s">
        <v>17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21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14.25" customHeight="1">
      <c r="A113" s="174" t="s">
        <v>20</v>
      </c>
      <c r="B113" s="174"/>
      <c r="C113" s="174"/>
      <c r="D113" s="174"/>
      <c r="E113" s="174"/>
      <c r="F113" s="174"/>
      <c r="G113" s="174"/>
      <c r="H113" s="174"/>
      <c r="I113" s="174"/>
    </row>
  </sheetData>
  <autoFilter ref="I12:I71"/>
  <mergeCells count="29">
    <mergeCell ref="A109:I109"/>
    <mergeCell ref="A110:I110"/>
    <mergeCell ref="A111:I111"/>
    <mergeCell ref="A112:I112"/>
    <mergeCell ref="A113:I113"/>
    <mergeCell ref="R77:U77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222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223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42947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hidden="1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19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20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21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22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hidden="1" customHeight="1">
      <c r="A51" s="50">
        <v>23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10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189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10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11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G65*7</f>
        <v>1556.8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hidden="1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19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G76*0.2</f>
        <v>100.32400000000001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190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12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13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SUM(I16+I17+I18+I27+I28+I31+I32+I34+I35+I62+I65+I82+I83)</f>
        <v>72675.002202888892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14</v>
      </c>
      <c r="B86" s="94" t="s">
        <v>180</v>
      </c>
      <c r="C86" s="95" t="s">
        <v>100</v>
      </c>
      <c r="D86" s="15"/>
      <c r="E86" s="20"/>
      <c r="F86" s="13">
        <f>(3+3+3+15+10+10+10+15+10+3+10+10+15+5)/3</f>
        <v>40.666666666666664</v>
      </c>
      <c r="G86" s="13">
        <v>1120.8900000000001</v>
      </c>
      <c r="H86" s="124">
        <f t="shared" ref="H86:H87" si="14">G86*F86/1000</f>
        <v>45.582860000000004</v>
      </c>
      <c r="I86" s="13">
        <f>G86*((15+5)/3)</f>
        <v>7472.6000000000013</v>
      </c>
    </row>
    <row r="87" spans="1:9" s="43" customFormat="1" ht="15.75" customHeight="1">
      <c r="A87" s="29">
        <v>15</v>
      </c>
      <c r="B87" s="69" t="s">
        <v>88</v>
      </c>
      <c r="C87" s="82" t="s">
        <v>137</v>
      </c>
      <c r="D87" s="15"/>
      <c r="E87" s="20"/>
      <c r="F87" s="13">
        <v>8</v>
      </c>
      <c r="G87" s="13">
        <v>189.88</v>
      </c>
      <c r="H87" s="124">
        <f t="shared" si="14"/>
        <v>1.5190399999999999</v>
      </c>
      <c r="I87" s="13">
        <f>G87</f>
        <v>189.88</v>
      </c>
    </row>
    <row r="88" spans="1:9" s="43" customFormat="1" ht="31.5" customHeight="1">
      <c r="A88" s="35">
        <v>16</v>
      </c>
      <c r="B88" s="69" t="s">
        <v>197</v>
      </c>
      <c r="C88" s="82" t="s">
        <v>87</v>
      </c>
      <c r="D88" s="61"/>
      <c r="E88" s="40"/>
      <c r="F88" s="40">
        <v>2.5</v>
      </c>
      <c r="G88" s="40">
        <v>1146</v>
      </c>
      <c r="H88" s="155">
        <v>11.45</v>
      </c>
      <c r="I88" s="13">
        <f>G88*0.5</f>
        <v>573</v>
      </c>
    </row>
    <row r="89" spans="1:9" s="43" customFormat="1" ht="15.75" customHeight="1">
      <c r="A89" s="29"/>
      <c r="B89" s="55" t="s">
        <v>53</v>
      </c>
      <c r="C89" s="51"/>
      <c r="D89" s="65"/>
      <c r="E89" s="51">
        <v>1</v>
      </c>
      <c r="F89" s="51"/>
      <c r="G89" s="51"/>
      <c r="H89" s="51"/>
      <c r="I89" s="32">
        <f>SUM(I86:I88)</f>
        <v>8235.4800000000014</v>
      </c>
    </row>
    <row r="90" spans="1:9" s="43" customFormat="1" ht="15.75" customHeight="1">
      <c r="A90" s="29"/>
      <c r="B90" s="61" t="s">
        <v>84</v>
      </c>
      <c r="C90" s="16"/>
      <c r="D90" s="16"/>
      <c r="E90" s="52"/>
      <c r="F90" s="52"/>
      <c r="G90" s="53"/>
      <c r="H90" s="53"/>
      <c r="I90" s="19">
        <v>0</v>
      </c>
    </row>
    <row r="91" spans="1:9" s="43" customFormat="1" ht="15.75" customHeight="1">
      <c r="A91" s="66"/>
      <c r="B91" s="56" t="s">
        <v>179</v>
      </c>
      <c r="C91" s="38"/>
      <c r="D91" s="38"/>
      <c r="E91" s="38"/>
      <c r="F91" s="38"/>
      <c r="G91" s="38"/>
      <c r="H91" s="38"/>
      <c r="I91" s="54">
        <f>I84+I89</f>
        <v>80910.482202888888</v>
      </c>
    </row>
    <row r="92" spans="1:9" ht="15.75" customHeight="1">
      <c r="A92" s="162" t="s">
        <v>224</v>
      </c>
      <c r="B92" s="162"/>
      <c r="C92" s="162"/>
      <c r="D92" s="162"/>
      <c r="E92" s="162"/>
      <c r="F92" s="162"/>
      <c r="G92" s="162"/>
      <c r="H92" s="162"/>
      <c r="I92" s="162"/>
    </row>
    <row r="93" spans="1:9" ht="15.75" customHeight="1">
      <c r="A93" s="109"/>
      <c r="B93" s="186" t="s">
        <v>225</v>
      </c>
      <c r="C93" s="186"/>
      <c r="D93" s="186"/>
      <c r="E93" s="186"/>
      <c r="F93" s="186"/>
      <c r="G93" s="186"/>
      <c r="H93" s="123"/>
      <c r="I93" s="3"/>
    </row>
    <row r="94" spans="1:9" ht="15.75" customHeight="1">
      <c r="A94" s="103"/>
      <c r="B94" s="182" t="s">
        <v>6</v>
      </c>
      <c r="C94" s="182"/>
      <c r="D94" s="182"/>
      <c r="E94" s="182"/>
      <c r="F94" s="182"/>
      <c r="G94" s="182"/>
      <c r="H94" s="24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 customHeight="1">
      <c r="A96" s="187" t="s">
        <v>7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187" t="s">
        <v>8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188" t="s">
        <v>66</v>
      </c>
      <c r="B98" s="188"/>
      <c r="C98" s="188"/>
      <c r="D98" s="188"/>
      <c r="E98" s="188"/>
      <c r="F98" s="188"/>
      <c r="G98" s="188"/>
      <c r="H98" s="188"/>
      <c r="I98" s="188"/>
    </row>
    <row r="99" spans="1:9" ht="15.75" customHeight="1">
      <c r="A99" s="10"/>
    </row>
    <row r="100" spans="1:9" ht="15.75" customHeight="1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 customHeight="1">
      <c r="A101" s="4"/>
    </row>
    <row r="102" spans="1:9" ht="15.75" customHeight="1">
      <c r="B102" s="108" t="s">
        <v>10</v>
      </c>
      <c r="C102" s="181" t="s">
        <v>98</v>
      </c>
      <c r="D102" s="181"/>
      <c r="E102" s="181"/>
      <c r="F102" s="117"/>
      <c r="I102" s="105"/>
    </row>
    <row r="103" spans="1:9" ht="15.75" customHeight="1">
      <c r="A103" s="103"/>
      <c r="C103" s="182" t="s">
        <v>11</v>
      </c>
      <c r="D103" s="182"/>
      <c r="E103" s="182"/>
      <c r="F103" s="24"/>
      <c r="I103" s="104" t="s">
        <v>12</v>
      </c>
    </row>
    <row r="104" spans="1:9" ht="15.75" customHeight="1">
      <c r="A104" s="25"/>
      <c r="C104" s="11"/>
      <c r="D104" s="11"/>
      <c r="G104" s="11"/>
      <c r="H104" s="11"/>
    </row>
    <row r="105" spans="1:9" ht="15.75" customHeight="1">
      <c r="B105" s="108" t="s">
        <v>13</v>
      </c>
      <c r="C105" s="183"/>
      <c r="D105" s="183"/>
      <c r="E105" s="183"/>
      <c r="F105" s="118"/>
      <c r="I105" s="105"/>
    </row>
    <row r="106" spans="1:9" ht="15.75" customHeight="1">
      <c r="A106" s="103"/>
      <c r="C106" s="184" t="s">
        <v>11</v>
      </c>
      <c r="D106" s="184"/>
      <c r="E106" s="184"/>
      <c r="F106" s="103"/>
      <c r="I106" s="104" t="s">
        <v>12</v>
      </c>
    </row>
    <row r="107" spans="1:9" ht="15.75" customHeight="1">
      <c r="A107" s="4" t="s">
        <v>14</v>
      </c>
    </row>
    <row r="108" spans="1:9">
      <c r="A108" s="185" t="s">
        <v>15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45" customHeight="1">
      <c r="A109" s="174" t="s">
        <v>16</v>
      </c>
      <c r="B109" s="174"/>
      <c r="C109" s="174"/>
      <c r="D109" s="174"/>
      <c r="E109" s="174"/>
      <c r="F109" s="174"/>
      <c r="G109" s="174"/>
      <c r="H109" s="174"/>
      <c r="I109" s="174"/>
    </row>
    <row r="110" spans="1:9" ht="30" customHeight="1">
      <c r="A110" s="174" t="s">
        <v>17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30" customHeight="1">
      <c r="A111" s="174" t="s">
        <v>21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14.25" customHeight="1">
      <c r="A112" s="174" t="s">
        <v>20</v>
      </c>
      <c r="B112" s="174"/>
      <c r="C112" s="174"/>
      <c r="D112" s="174"/>
      <c r="E112" s="174"/>
      <c r="F112" s="174"/>
      <c r="G112" s="174"/>
      <c r="H112" s="174"/>
      <c r="I112" s="174"/>
    </row>
  </sheetData>
  <autoFilter ref="I12:I71"/>
  <mergeCells count="29">
    <mergeCell ref="A108:I108"/>
    <mergeCell ref="A109:I109"/>
    <mergeCell ref="A110:I110"/>
    <mergeCell ref="A111:I111"/>
    <mergeCell ref="A112:I112"/>
    <mergeCell ref="R77:U77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233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226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42978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hidden="1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hidden="1" customHeight="1">
      <c r="A47" s="50">
        <v>19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hidden="1" customHeight="1">
      <c r="A48" s="50">
        <v>20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hidden="1" customHeight="1">
      <c r="A49" s="50">
        <v>21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hidden="1" customHeight="1">
      <c r="A50" s="50">
        <v>22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hidden="1" customHeight="1">
      <c r="A51" s="50">
        <v>23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10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189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10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11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G65*4</f>
        <v>889.6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hidden="1" customHeight="1">
      <c r="A72" s="29">
        <v>13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v>0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customHeight="1">
      <c r="A76" s="29">
        <v>12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G76*0.1</f>
        <v>50.162000000000006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hidden="1" customHeight="1">
      <c r="A78" s="29">
        <v>20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v>0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190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13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14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SUM(I16+I17+I18+I27+I28+I31+I32+I34+I35+I62+I65+I76+I82+I83)</f>
        <v>72057.964202888877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15.75" customHeight="1">
      <c r="A86" s="29">
        <v>15</v>
      </c>
      <c r="B86" s="69" t="s">
        <v>88</v>
      </c>
      <c r="C86" s="82" t="s">
        <v>137</v>
      </c>
      <c r="D86" s="15"/>
      <c r="E86" s="20"/>
      <c r="F86" s="13">
        <v>8</v>
      </c>
      <c r="G86" s="13">
        <v>189.88</v>
      </c>
      <c r="H86" s="124">
        <f t="shared" ref="H86:H96" si="14">G86*F86/1000</f>
        <v>1.5190399999999999</v>
      </c>
      <c r="I86" s="13">
        <f>G86*2</f>
        <v>379.76</v>
      </c>
    </row>
    <row r="87" spans="1:9" s="43" customFormat="1" ht="31.5" customHeight="1">
      <c r="A87" s="35">
        <v>16</v>
      </c>
      <c r="B87" s="69" t="s">
        <v>192</v>
      </c>
      <c r="C87" s="82" t="s">
        <v>101</v>
      </c>
      <c r="D87" s="61"/>
      <c r="E87" s="13"/>
      <c r="F87" s="13">
        <v>6</v>
      </c>
      <c r="G87" s="13">
        <v>803.54</v>
      </c>
      <c r="H87" s="124">
        <f t="shared" si="14"/>
        <v>4.8212399999999995</v>
      </c>
      <c r="I87" s="13">
        <f>G87</f>
        <v>803.54</v>
      </c>
    </row>
    <row r="88" spans="1:9" s="43" customFormat="1" ht="15.75" customHeight="1">
      <c r="A88" s="35">
        <v>17</v>
      </c>
      <c r="B88" s="69" t="s">
        <v>201</v>
      </c>
      <c r="C88" s="82" t="s">
        <v>101</v>
      </c>
      <c r="D88" s="61"/>
      <c r="E88" s="13"/>
      <c r="F88" s="13">
        <v>7</v>
      </c>
      <c r="G88" s="13">
        <v>694.06</v>
      </c>
      <c r="H88" s="124">
        <f t="shared" si="14"/>
        <v>4.8584199999999997</v>
      </c>
      <c r="I88" s="13">
        <f>G88*2</f>
        <v>1388.12</v>
      </c>
    </row>
    <row r="89" spans="1:9" s="43" customFormat="1" ht="15.75" customHeight="1">
      <c r="A89" s="35">
        <v>18</v>
      </c>
      <c r="B89" s="69" t="s">
        <v>202</v>
      </c>
      <c r="C89" s="82" t="s">
        <v>137</v>
      </c>
      <c r="D89" s="61"/>
      <c r="E89" s="13"/>
      <c r="F89" s="13">
        <v>5</v>
      </c>
      <c r="G89" s="13">
        <v>22</v>
      </c>
      <c r="H89" s="124">
        <f t="shared" si="14"/>
        <v>0.11</v>
      </c>
      <c r="I89" s="13">
        <f>G89*2</f>
        <v>44</v>
      </c>
    </row>
    <row r="90" spans="1:9" s="43" customFormat="1" ht="15.75" customHeight="1">
      <c r="A90" s="35">
        <v>19</v>
      </c>
      <c r="B90" s="69" t="s">
        <v>195</v>
      </c>
      <c r="C90" s="82" t="s">
        <v>137</v>
      </c>
      <c r="D90" s="80"/>
      <c r="E90" s="40"/>
      <c r="F90" s="40">
        <v>4</v>
      </c>
      <c r="G90" s="40">
        <v>62</v>
      </c>
      <c r="H90" s="150">
        <f t="shared" si="14"/>
        <v>0.248</v>
      </c>
      <c r="I90" s="13">
        <f>G90</f>
        <v>62</v>
      </c>
    </row>
    <row r="91" spans="1:9" s="43" customFormat="1" ht="15.75" customHeight="1">
      <c r="A91" s="29">
        <v>20</v>
      </c>
      <c r="B91" s="69" t="s">
        <v>230</v>
      </c>
      <c r="C91" s="82" t="s">
        <v>137</v>
      </c>
      <c r="D91" s="80"/>
      <c r="E91" s="40"/>
      <c r="F91" s="40">
        <v>2</v>
      </c>
      <c r="G91" s="40">
        <v>22</v>
      </c>
      <c r="H91" s="155">
        <f t="shared" si="14"/>
        <v>4.3999999999999997E-2</v>
      </c>
      <c r="I91" s="13">
        <f>G91*2</f>
        <v>44</v>
      </c>
    </row>
    <row r="92" spans="1:9" s="43" customFormat="1" ht="15.75" customHeight="1">
      <c r="A92" s="35">
        <v>21</v>
      </c>
      <c r="B92" s="69" t="s">
        <v>227</v>
      </c>
      <c r="C92" s="82" t="s">
        <v>137</v>
      </c>
      <c r="D92" s="80"/>
      <c r="E92" s="40"/>
      <c r="F92" s="40">
        <v>2</v>
      </c>
      <c r="G92" s="40">
        <v>42</v>
      </c>
      <c r="H92" s="155">
        <f t="shared" si="14"/>
        <v>8.4000000000000005E-2</v>
      </c>
      <c r="I92" s="13">
        <f t="shared" ref="I92" si="15">G92*2</f>
        <v>84</v>
      </c>
    </row>
    <row r="93" spans="1:9" s="43" customFormat="1" ht="31.5" customHeight="1">
      <c r="A93" s="35">
        <v>22</v>
      </c>
      <c r="B93" s="83" t="s">
        <v>181</v>
      </c>
      <c r="C93" s="84" t="s">
        <v>30</v>
      </c>
      <c r="D93" s="61"/>
      <c r="E93" s="40"/>
      <c r="F93" s="156">
        <v>2E-3</v>
      </c>
      <c r="G93" s="40">
        <v>1591.6</v>
      </c>
      <c r="H93" s="157">
        <f t="shared" si="14"/>
        <v>3.1831999999999997E-3</v>
      </c>
      <c r="I93" s="13">
        <f>G93*0.002</f>
        <v>3.1831999999999998</v>
      </c>
    </row>
    <row r="94" spans="1:9" s="43" customFormat="1" ht="31.5" customHeight="1">
      <c r="A94" s="35">
        <v>23</v>
      </c>
      <c r="B94" s="69" t="s">
        <v>228</v>
      </c>
      <c r="C94" s="82" t="s">
        <v>106</v>
      </c>
      <c r="D94" s="80"/>
      <c r="E94" s="40"/>
      <c r="F94" s="40">
        <f>32/10</f>
        <v>3.2</v>
      </c>
      <c r="G94" s="40">
        <v>2064.25</v>
      </c>
      <c r="H94" s="124">
        <f t="shared" si="14"/>
        <v>6.6056000000000008</v>
      </c>
      <c r="I94" s="13">
        <f>G94*3.2</f>
        <v>6605.6</v>
      </c>
    </row>
    <row r="95" spans="1:9" s="43" customFormat="1" ht="15.75" customHeight="1">
      <c r="A95" s="35">
        <v>24</v>
      </c>
      <c r="B95" s="83" t="s">
        <v>229</v>
      </c>
      <c r="C95" s="84" t="s">
        <v>57</v>
      </c>
      <c r="D95" s="61"/>
      <c r="E95" s="40"/>
      <c r="F95" s="40">
        <v>1.6</v>
      </c>
      <c r="G95" s="40">
        <v>645.96</v>
      </c>
      <c r="H95" s="155">
        <f t="shared" si="14"/>
        <v>1.033536</v>
      </c>
      <c r="I95" s="13">
        <f>G95*1.6</f>
        <v>1033.5360000000001</v>
      </c>
    </row>
    <row r="96" spans="1:9" s="43" customFormat="1" ht="15.75" customHeight="1">
      <c r="A96" s="29">
        <v>25</v>
      </c>
      <c r="B96" s="34" t="s">
        <v>113</v>
      </c>
      <c r="C96" s="49" t="s">
        <v>137</v>
      </c>
      <c r="D96" s="61"/>
      <c r="E96" s="40"/>
      <c r="F96" s="40">
        <v>1</v>
      </c>
      <c r="G96" s="40">
        <v>86.15</v>
      </c>
      <c r="H96" s="155">
        <f t="shared" si="14"/>
        <v>8.6150000000000004E-2</v>
      </c>
      <c r="I96" s="13">
        <f>G96</f>
        <v>86.15</v>
      </c>
    </row>
    <row r="97" spans="1:9" s="43" customFormat="1" ht="15.75" customHeight="1">
      <c r="A97" s="29"/>
      <c r="B97" s="55" t="s">
        <v>53</v>
      </c>
      <c r="C97" s="51"/>
      <c r="D97" s="65"/>
      <c r="E97" s="51">
        <v>1</v>
      </c>
      <c r="F97" s="51"/>
      <c r="G97" s="51"/>
      <c r="H97" s="51"/>
      <c r="I97" s="32">
        <f>SUM(I86:I96)</f>
        <v>10533.8892</v>
      </c>
    </row>
    <row r="98" spans="1:9" s="43" customFormat="1" ht="15.75" customHeight="1">
      <c r="A98" s="29"/>
      <c r="B98" s="61" t="s">
        <v>84</v>
      </c>
      <c r="C98" s="16"/>
      <c r="D98" s="16"/>
      <c r="E98" s="52"/>
      <c r="F98" s="52"/>
      <c r="G98" s="53"/>
      <c r="H98" s="53"/>
      <c r="I98" s="19">
        <v>0</v>
      </c>
    </row>
    <row r="99" spans="1:9" s="43" customFormat="1" ht="15.75" customHeight="1">
      <c r="A99" s="66"/>
      <c r="B99" s="56" t="s">
        <v>179</v>
      </c>
      <c r="C99" s="38"/>
      <c r="D99" s="38"/>
      <c r="E99" s="38"/>
      <c r="F99" s="38"/>
      <c r="G99" s="38"/>
      <c r="H99" s="38"/>
      <c r="I99" s="54">
        <f>I84+I97</f>
        <v>82591.853402888883</v>
      </c>
    </row>
    <row r="100" spans="1:9" ht="15.75" customHeight="1">
      <c r="A100" s="162" t="s">
        <v>231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 customHeight="1">
      <c r="A101" s="109"/>
      <c r="B101" s="186" t="s">
        <v>232</v>
      </c>
      <c r="C101" s="186"/>
      <c r="D101" s="186"/>
      <c r="E101" s="186"/>
      <c r="F101" s="186"/>
      <c r="G101" s="186"/>
      <c r="H101" s="123"/>
      <c r="I101" s="3"/>
    </row>
    <row r="102" spans="1:9" ht="15.75" customHeight="1">
      <c r="A102" s="103"/>
      <c r="B102" s="182" t="s">
        <v>6</v>
      </c>
      <c r="C102" s="182"/>
      <c r="D102" s="182"/>
      <c r="E102" s="182"/>
      <c r="F102" s="182"/>
      <c r="G102" s="182"/>
      <c r="H102" s="24"/>
      <c r="I102" s="5"/>
    </row>
    <row r="103" spans="1:9" ht="8.2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187" t="s">
        <v>7</v>
      </c>
      <c r="B104" s="187"/>
      <c r="C104" s="187"/>
      <c r="D104" s="187"/>
      <c r="E104" s="187"/>
      <c r="F104" s="187"/>
      <c r="G104" s="187"/>
      <c r="H104" s="187"/>
      <c r="I104" s="187"/>
    </row>
    <row r="105" spans="1:9" ht="15.75" customHeight="1">
      <c r="A105" s="187" t="s">
        <v>8</v>
      </c>
      <c r="B105" s="187"/>
      <c r="C105" s="187"/>
      <c r="D105" s="187"/>
      <c r="E105" s="187"/>
      <c r="F105" s="187"/>
      <c r="G105" s="187"/>
      <c r="H105" s="187"/>
      <c r="I105" s="187"/>
    </row>
    <row r="106" spans="1:9" ht="15.75" customHeight="1">
      <c r="A106" s="188" t="s">
        <v>66</v>
      </c>
      <c r="B106" s="188"/>
      <c r="C106" s="188"/>
      <c r="D106" s="188"/>
      <c r="E106" s="188"/>
      <c r="F106" s="188"/>
      <c r="G106" s="188"/>
      <c r="H106" s="188"/>
      <c r="I106" s="188"/>
    </row>
    <row r="107" spans="1:9" ht="15.75" customHeight="1">
      <c r="A107" s="10"/>
    </row>
    <row r="108" spans="1:9" ht="15.75" customHeight="1">
      <c r="A108" s="169" t="s">
        <v>9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15.75" customHeight="1">
      <c r="A109" s="4"/>
    </row>
    <row r="110" spans="1:9" ht="15.75" customHeight="1">
      <c r="B110" s="108" t="s">
        <v>10</v>
      </c>
      <c r="C110" s="181" t="s">
        <v>98</v>
      </c>
      <c r="D110" s="181"/>
      <c r="E110" s="181"/>
      <c r="F110" s="117"/>
      <c r="I110" s="105"/>
    </row>
    <row r="111" spans="1:9" ht="15.75" customHeight="1">
      <c r="A111" s="103"/>
      <c r="C111" s="182" t="s">
        <v>11</v>
      </c>
      <c r="D111" s="182"/>
      <c r="E111" s="182"/>
      <c r="F111" s="24"/>
      <c r="I111" s="104" t="s">
        <v>12</v>
      </c>
    </row>
    <row r="112" spans="1:9" ht="15.75" customHeight="1">
      <c r="A112" s="25"/>
      <c r="C112" s="11"/>
      <c r="D112" s="11"/>
      <c r="G112" s="11"/>
      <c r="H112" s="11"/>
    </row>
    <row r="113" spans="1:9" ht="15.75" customHeight="1">
      <c r="B113" s="108" t="s">
        <v>13</v>
      </c>
      <c r="C113" s="183"/>
      <c r="D113" s="183"/>
      <c r="E113" s="183"/>
      <c r="F113" s="118"/>
      <c r="I113" s="105"/>
    </row>
    <row r="114" spans="1:9" ht="15.75" customHeight="1">
      <c r="A114" s="103"/>
      <c r="C114" s="184" t="s">
        <v>11</v>
      </c>
      <c r="D114" s="184"/>
      <c r="E114" s="184"/>
      <c r="F114" s="103"/>
      <c r="I114" s="104" t="s">
        <v>12</v>
      </c>
    </row>
    <row r="115" spans="1:9" ht="15.75" customHeight="1">
      <c r="A115" s="4" t="s">
        <v>14</v>
      </c>
    </row>
    <row r="116" spans="1:9">
      <c r="A116" s="185" t="s">
        <v>15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45" customHeight="1">
      <c r="A117" s="174" t="s">
        <v>16</v>
      </c>
      <c r="B117" s="174"/>
      <c r="C117" s="174"/>
      <c r="D117" s="174"/>
      <c r="E117" s="174"/>
      <c r="F117" s="174"/>
      <c r="G117" s="174"/>
      <c r="H117" s="174"/>
      <c r="I117" s="174"/>
    </row>
    <row r="118" spans="1:9" ht="30" customHeight="1">
      <c r="A118" s="174" t="s">
        <v>17</v>
      </c>
      <c r="B118" s="174"/>
      <c r="C118" s="174"/>
      <c r="D118" s="174"/>
      <c r="E118" s="174"/>
      <c r="F118" s="174"/>
      <c r="G118" s="174"/>
      <c r="H118" s="174"/>
      <c r="I118" s="174"/>
    </row>
    <row r="119" spans="1:9" ht="30" customHeight="1">
      <c r="A119" s="174" t="s">
        <v>21</v>
      </c>
      <c r="B119" s="174"/>
      <c r="C119" s="174"/>
      <c r="D119" s="174"/>
      <c r="E119" s="174"/>
      <c r="F119" s="174"/>
      <c r="G119" s="174"/>
      <c r="H119" s="174"/>
      <c r="I119" s="174"/>
    </row>
    <row r="120" spans="1:9" ht="14.25" customHeight="1">
      <c r="A120" s="174" t="s">
        <v>20</v>
      </c>
      <c r="B120" s="174"/>
      <c r="C120" s="174"/>
      <c r="D120" s="174"/>
      <c r="E120" s="174"/>
      <c r="F120" s="174"/>
      <c r="G120" s="174"/>
      <c r="H120" s="174"/>
      <c r="I120" s="174"/>
    </row>
  </sheetData>
  <autoFilter ref="I12:I71"/>
  <mergeCells count="29">
    <mergeCell ref="A116:I116"/>
    <mergeCell ref="A117:I117"/>
    <mergeCell ref="A118:I118"/>
    <mergeCell ref="A119:I119"/>
    <mergeCell ref="A120:I120"/>
    <mergeCell ref="R77:U77"/>
    <mergeCell ref="C114:E114"/>
    <mergeCell ref="A85:I85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68</v>
      </c>
      <c r="J2" s="2"/>
      <c r="K2" s="2"/>
      <c r="L2" s="2"/>
      <c r="M2" s="2"/>
    </row>
    <row r="3" spans="1:13" ht="15.75" customHeight="1">
      <c r="A3" s="163" t="s">
        <v>234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147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235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43008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148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67" t="s">
        <v>258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43" customFormat="1" ht="15.75" customHeight="1">
      <c r="A14" s="168" t="s">
        <v>62</v>
      </c>
      <c r="B14" s="168"/>
      <c r="C14" s="168"/>
      <c r="D14" s="168"/>
      <c r="E14" s="168"/>
      <c r="F14" s="168"/>
      <c r="G14" s="168"/>
      <c r="H14" s="168"/>
      <c r="I14" s="168"/>
      <c r="J14" s="85"/>
      <c r="K14" s="85"/>
      <c r="L14" s="85"/>
      <c r="M14" s="85"/>
    </row>
    <row r="15" spans="1:13" s="43" customFormat="1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5"/>
      <c r="K15" s="85"/>
      <c r="L15" s="85"/>
      <c r="M15" s="85"/>
    </row>
    <row r="16" spans="1:13" s="43" customFormat="1" ht="15.75" customHeight="1">
      <c r="A16" s="29">
        <v>1</v>
      </c>
      <c r="B16" s="131" t="s">
        <v>94</v>
      </c>
      <c r="C16" s="132" t="s">
        <v>115</v>
      </c>
      <c r="D16" s="131" t="s">
        <v>116</v>
      </c>
      <c r="E16" s="133">
        <v>169.2</v>
      </c>
      <c r="F16" s="134">
        <f>SUM(E16*156/100)</f>
        <v>263.952</v>
      </c>
      <c r="G16" s="134">
        <v>175.38</v>
      </c>
      <c r="H16" s="135">
        <f t="shared" ref="H16:H26" si="0">SUM(F16*G16/1000)</f>
        <v>46.291901760000002</v>
      </c>
      <c r="I16" s="13">
        <f>F16/12*G16</f>
        <v>3857.6584799999996</v>
      </c>
      <c r="J16" s="85"/>
      <c r="K16" s="85"/>
      <c r="L16" s="85"/>
      <c r="M16" s="85"/>
    </row>
    <row r="17" spans="1:13" s="43" customFormat="1" ht="15.75" customHeight="1">
      <c r="A17" s="29">
        <v>2</v>
      </c>
      <c r="B17" s="131" t="s">
        <v>102</v>
      </c>
      <c r="C17" s="132" t="s">
        <v>115</v>
      </c>
      <c r="D17" s="131" t="s">
        <v>117</v>
      </c>
      <c r="E17" s="133">
        <v>676.6</v>
      </c>
      <c r="F17" s="134">
        <f>SUM(E17*104/100)</f>
        <v>703.6640000000001</v>
      </c>
      <c r="G17" s="134">
        <v>175.38</v>
      </c>
      <c r="H17" s="135">
        <f t="shared" si="0"/>
        <v>123.40859232000001</v>
      </c>
      <c r="I17" s="13">
        <f>F17/12*G17</f>
        <v>10284.049360000001</v>
      </c>
      <c r="J17" s="86"/>
      <c r="K17" s="85"/>
      <c r="L17" s="85"/>
      <c r="M17" s="85"/>
    </row>
    <row r="18" spans="1:13" s="43" customFormat="1" ht="15.75" customHeight="1">
      <c r="A18" s="29">
        <v>3</v>
      </c>
      <c r="B18" s="131" t="s">
        <v>103</v>
      </c>
      <c r="C18" s="132" t="s">
        <v>115</v>
      </c>
      <c r="D18" s="131" t="s">
        <v>118</v>
      </c>
      <c r="E18" s="133">
        <f>SUM(E16+E17)</f>
        <v>845.8</v>
      </c>
      <c r="F18" s="134">
        <f>SUM(E18*24/100)</f>
        <v>202.99199999999996</v>
      </c>
      <c r="G18" s="134">
        <v>504.5</v>
      </c>
      <c r="H18" s="135">
        <f t="shared" si="0"/>
        <v>102.40946399999997</v>
      </c>
      <c r="I18" s="13">
        <f>F18/12*G18</f>
        <v>8534.1219999999976</v>
      </c>
      <c r="J18" s="86"/>
      <c r="K18" s="85"/>
      <c r="L18" s="85"/>
      <c r="M18" s="85"/>
    </row>
    <row r="19" spans="1:13" s="43" customFormat="1" ht="15.75" hidden="1" customHeight="1">
      <c r="A19" s="29">
        <v>4</v>
      </c>
      <c r="B19" s="131" t="s">
        <v>119</v>
      </c>
      <c r="C19" s="132" t="s">
        <v>120</v>
      </c>
      <c r="D19" s="131" t="s">
        <v>121</v>
      </c>
      <c r="E19" s="133">
        <v>51.2</v>
      </c>
      <c r="F19" s="134">
        <f>SUM(E19/10)</f>
        <v>5.12</v>
      </c>
      <c r="G19" s="134">
        <v>170.16</v>
      </c>
      <c r="H19" s="135">
        <f t="shared" si="0"/>
        <v>0.87121919999999997</v>
      </c>
      <c r="I19" s="13">
        <f>F19/2*G19</f>
        <v>435.6096</v>
      </c>
      <c r="J19" s="86"/>
      <c r="K19" s="85"/>
      <c r="L19" s="85"/>
      <c r="M19" s="85"/>
    </row>
    <row r="20" spans="1:13" s="43" customFormat="1" ht="15.75" hidden="1" customHeight="1">
      <c r="A20" s="29">
        <v>5</v>
      </c>
      <c r="B20" s="131" t="s">
        <v>107</v>
      </c>
      <c r="C20" s="132" t="s">
        <v>115</v>
      </c>
      <c r="D20" s="131" t="s">
        <v>56</v>
      </c>
      <c r="E20" s="133">
        <v>57.5</v>
      </c>
      <c r="F20" s="134">
        <f>SUM(E20/100)</f>
        <v>0.57499999999999996</v>
      </c>
      <c r="G20" s="134">
        <v>217.88</v>
      </c>
      <c r="H20" s="135">
        <f t="shared" si="0"/>
        <v>0.125281</v>
      </c>
      <c r="I20" s="13">
        <f>F20*G20</f>
        <v>125.28099999999999</v>
      </c>
      <c r="J20" s="86"/>
      <c r="K20" s="85"/>
      <c r="L20" s="85"/>
      <c r="M20" s="85"/>
    </row>
    <row r="21" spans="1:13" s="43" customFormat="1" ht="15.75" hidden="1" customHeight="1">
      <c r="A21" s="29">
        <v>6</v>
      </c>
      <c r="B21" s="131" t="s">
        <v>108</v>
      </c>
      <c r="C21" s="132" t="s">
        <v>115</v>
      </c>
      <c r="D21" s="131" t="s">
        <v>56</v>
      </c>
      <c r="E21" s="133">
        <v>13.41</v>
      </c>
      <c r="F21" s="134">
        <f>SUM(E21/100)</f>
        <v>0.1341</v>
      </c>
      <c r="G21" s="134">
        <v>216.12</v>
      </c>
      <c r="H21" s="135">
        <f t="shared" si="0"/>
        <v>2.8981692E-2</v>
      </c>
      <c r="I21" s="13">
        <f t="shared" ref="I21:I26" si="1">F21*G21</f>
        <v>28.981691999999999</v>
      </c>
      <c r="J21" s="86"/>
      <c r="K21" s="85"/>
      <c r="L21" s="85"/>
      <c r="M21" s="85"/>
    </row>
    <row r="22" spans="1:13" s="43" customFormat="1" ht="15.75" hidden="1" customHeight="1">
      <c r="A22" s="29">
        <v>7</v>
      </c>
      <c r="B22" s="131" t="s">
        <v>122</v>
      </c>
      <c r="C22" s="132" t="s">
        <v>55</v>
      </c>
      <c r="D22" s="131" t="s">
        <v>121</v>
      </c>
      <c r="E22" s="133">
        <v>1025.5999999999999</v>
      </c>
      <c r="F22" s="134">
        <f>SUM(E22/100)</f>
        <v>10.255999999999998</v>
      </c>
      <c r="G22" s="134">
        <v>269.26</v>
      </c>
      <c r="H22" s="135">
        <f t="shared" si="0"/>
        <v>2.7615305599999997</v>
      </c>
      <c r="I22" s="13">
        <f t="shared" si="1"/>
        <v>2761.5305599999997</v>
      </c>
      <c r="J22" s="86"/>
      <c r="K22" s="85"/>
      <c r="L22" s="85"/>
      <c r="M22" s="85"/>
    </row>
    <row r="23" spans="1:13" s="43" customFormat="1" ht="15.75" hidden="1" customHeight="1">
      <c r="A23" s="29">
        <v>8</v>
      </c>
      <c r="B23" s="131" t="s">
        <v>123</v>
      </c>
      <c r="C23" s="132" t="s">
        <v>55</v>
      </c>
      <c r="D23" s="131" t="s">
        <v>121</v>
      </c>
      <c r="E23" s="136">
        <v>60.5</v>
      </c>
      <c r="F23" s="134">
        <f>SUM(E23/100)</f>
        <v>0.60499999999999998</v>
      </c>
      <c r="G23" s="134">
        <v>44.29</v>
      </c>
      <c r="H23" s="135">
        <f t="shared" si="0"/>
        <v>2.6795449999999998E-2</v>
      </c>
      <c r="I23" s="13">
        <f t="shared" si="1"/>
        <v>26.795449999999999</v>
      </c>
      <c r="J23" s="86"/>
      <c r="K23" s="85"/>
      <c r="L23" s="85"/>
      <c r="M23" s="85"/>
    </row>
    <row r="24" spans="1:13" s="43" customFormat="1" ht="15.75" hidden="1" customHeight="1">
      <c r="A24" s="29">
        <v>9</v>
      </c>
      <c r="B24" s="131" t="s">
        <v>111</v>
      </c>
      <c r="C24" s="132" t="s">
        <v>55</v>
      </c>
      <c r="D24" s="131" t="s">
        <v>56</v>
      </c>
      <c r="E24" s="137">
        <v>19.149999999999999</v>
      </c>
      <c r="F24" s="134">
        <f>E24/100</f>
        <v>0.19149999999999998</v>
      </c>
      <c r="G24" s="134">
        <v>389.42</v>
      </c>
      <c r="H24" s="135">
        <f>G24*F24/100</f>
        <v>0.74573929999999988</v>
      </c>
      <c r="I24" s="13">
        <f t="shared" si="1"/>
        <v>74.57392999999999</v>
      </c>
      <c r="J24" s="86"/>
      <c r="K24" s="85"/>
      <c r="L24" s="85"/>
      <c r="M24" s="85"/>
    </row>
    <row r="25" spans="1:13" s="43" customFormat="1" ht="31.5" hidden="1" customHeight="1">
      <c r="A25" s="29">
        <v>10</v>
      </c>
      <c r="B25" s="131" t="s">
        <v>149</v>
      </c>
      <c r="C25" s="132" t="s">
        <v>55</v>
      </c>
      <c r="D25" s="131" t="s">
        <v>56</v>
      </c>
      <c r="E25" s="138">
        <v>31.5</v>
      </c>
      <c r="F25" s="134">
        <f>E25/100</f>
        <v>0.315</v>
      </c>
      <c r="G25" s="134">
        <v>216.12</v>
      </c>
      <c r="H25" s="135">
        <f>G25*F25/1000</f>
        <v>6.8077799999999994E-2</v>
      </c>
      <c r="I25" s="13">
        <f t="shared" si="1"/>
        <v>68.077799999999996</v>
      </c>
      <c r="J25" s="86"/>
      <c r="K25" s="85"/>
      <c r="L25" s="85"/>
      <c r="M25" s="85"/>
    </row>
    <row r="26" spans="1:13" s="43" customFormat="1" ht="15.75" hidden="1" customHeight="1">
      <c r="A26" s="29">
        <v>11</v>
      </c>
      <c r="B26" s="131" t="s">
        <v>112</v>
      </c>
      <c r="C26" s="132" t="s">
        <v>55</v>
      </c>
      <c r="D26" s="131" t="s">
        <v>56</v>
      </c>
      <c r="E26" s="133">
        <v>37.5</v>
      </c>
      <c r="F26" s="134">
        <f>SUM(E26/100)</f>
        <v>0.375</v>
      </c>
      <c r="G26" s="134">
        <v>520.79999999999995</v>
      </c>
      <c r="H26" s="135">
        <f t="shared" si="0"/>
        <v>0.19529999999999997</v>
      </c>
      <c r="I26" s="13">
        <f t="shared" si="1"/>
        <v>195.29999999999998</v>
      </c>
      <c r="J26" s="86"/>
      <c r="K26" s="85"/>
      <c r="L26" s="85"/>
      <c r="M26" s="85"/>
    </row>
    <row r="27" spans="1:13" s="43" customFormat="1" ht="15.75" customHeight="1">
      <c r="A27" s="29">
        <v>4</v>
      </c>
      <c r="B27" s="131" t="s">
        <v>70</v>
      </c>
      <c r="C27" s="132" t="s">
        <v>35</v>
      </c>
      <c r="D27" s="131" t="s">
        <v>169</v>
      </c>
      <c r="E27" s="133">
        <v>0.1</v>
      </c>
      <c r="F27" s="134">
        <f>SUM(E27*365)</f>
        <v>36.5</v>
      </c>
      <c r="G27" s="134">
        <v>147.03</v>
      </c>
      <c r="H27" s="135">
        <f t="shared" ref="H27:H28" si="2">SUM(F27*G27/1000)</f>
        <v>5.3665950000000002</v>
      </c>
      <c r="I27" s="13">
        <f>F27/12*G27</f>
        <v>447.21625</v>
      </c>
      <c r="J27" s="86"/>
      <c r="K27" s="85"/>
      <c r="L27" s="85"/>
      <c r="M27" s="85"/>
    </row>
    <row r="28" spans="1:13" s="43" customFormat="1" ht="15.75" customHeight="1">
      <c r="A28" s="29">
        <v>5</v>
      </c>
      <c r="B28" s="139" t="s">
        <v>23</v>
      </c>
      <c r="C28" s="132" t="s">
        <v>24</v>
      </c>
      <c r="D28" s="139" t="s">
        <v>169</v>
      </c>
      <c r="E28" s="133">
        <v>5916.3</v>
      </c>
      <c r="F28" s="134">
        <f>SUM(E28*12)</f>
        <v>70995.600000000006</v>
      </c>
      <c r="G28" s="134">
        <v>3.33</v>
      </c>
      <c r="H28" s="135">
        <f t="shared" si="2"/>
        <v>236.41534800000002</v>
      </c>
      <c r="I28" s="13">
        <f>F28/12*G28</f>
        <v>19701.279000000002</v>
      </c>
      <c r="J28" s="86"/>
      <c r="K28" s="85"/>
      <c r="L28" s="85"/>
      <c r="M28" s="85"/>
    </row>
    <row r="29" spans="1:13" s="43" customFormat="1" ht="15.75" customHeight="1">
      <c r="A29" s="170" t="s">
        <v>91</v>
      </c>
      <c r="B29" s="170"/>
      <c r="C29" s="170"/>
      <c r="D29" s="170"/>
      <c r="E29" s="170"/>
      <c r="F29" s="170"/>
      <c r="G29" s="170"/>
      <c r="H29" s="170"/>
      <c r="I29" s="170"/>
      <c r="J29" s="86"/>
      <c r="K29" s="85"/>
      <c r="L29" s="85"/>
      <c r="M29" s="85"/>
    </row>
    <row r="30" spans="1:13" s="43" customFormat="1" ht="15.75" customHeight="1">
      <c r="A30" s="50"/>
      <c r="B30" s="60" t="s">
        <v>29</v>
      </c>
      <c r="C30" s="60"/>
      <c r="D30" s="60"/>
      <c r="E30" s="60"/>
      <c r="F30" s="60"/>
      <c r="G30" s="60"/>
      <c r="H30" s="60"/>
      <c r="I30" s="20"/>
      <c r="J30" s="86"/>
      <c r="K30" s="85"/>
      <c r="L30" s="85"/>
      <c r="M30" s="85"/>
    </row>
    <row r="31" spans="1:13" s="43" customFormat="1" ht="15.75" customHeight="1">
      <c r="A31" s="50">
        <v>6</v>
      </c>
      <c r="B31" s="131" t="s">
        <v>124</v>
      </c>
      <c r="C31" s="132" t="s">
        <v>125</v>
      </c>
      <c r="D31" s="131" t="s">
        <v>126</v>
      </c>
      <c r="E31" s="134">
        <v>900.1</v>
      </c>
      <c r="F31" s="134">
        <f>SUM(E31*52/1000)</f>
        <v>46.805200000000006</v>
      </c>
      <c r="G31" s="134">
        <v>155.88999999999999</v>
      </c>
      <c r="H31" s="135">
        <f t="shared" ref="H31:H33" si="3">SUM(F31*G31/1000)</f>
        <v>7.2964626280000004</v>
      </c>
      <c r="I31" s="13">
        <f>F31/6*G31</f>
        <v>1216.0771046666666</v>
      </c>
      <c r="J31" s="86"/>
      <c r="K31" s="85"/>
      <c r="L31" s="85"/>
      <c r="M31" s="85"/>
    </row>
    <row r="32" spans="1:13" s="43" customFormat="1" ht="31.5" customHeight="1">
      <c r="A32" s="50">
        <v>7</v>
      </c>
      <c r="B32" s="131" t="s">
        <v>172</v>
      </c>
      <c r="C32" s="132" t="s">
        <v>125</v>
      </c>
      <c r="D32" s="131" t="s">
        <v>128</v>
      </c>
      <c r="E32" s="134">
        <v>289.39999999999998</v>
      </c>
      <c r="F32" s="134">
        <f>SUM(E32*78/1000)</f>
        <v>22.573199999999996</v>
      </c>
      <c r="G32" s="134">
        <v>258.63</v>
      </c>
      <c r="H32" s="135">
        <f t="shared" si="3"/>
        <v>5.8381067159999995</v>
      </c>
      <c r="I32" s="13">
        <f t="shared" ref="I32:I35" si="4">F32/6*G32</f>
        <v>973.01778599999989</v>
      </c>
      <c r="J32" s="86"/>
      <c r="K32" s="85"/>
      <c r="L32" s="85"/>
      <c r="M32" s="85"/>
    </row>
    <row r="33" spans="1:14" s="43" customFormat="1" ht="15.75" hidden="1" customHeight="1">
      <c r="A33" s="50">
        <v>16</v>
      </c>
      <c r="B33" s="131" t="s">
        <v>28</v>
      </c>
      <c r="C33" s="132" t="s">
        <v>125</v>
      </c>
      <c r="D33" s="131" t="s">
        <v>56</v>
      </c>
      <c r="E33" s="134">
        <v>900.1</v>
      </c>
      <c r="F33" s="134">
        <f>SUM(E33/1000)</f>
        <v>0.90010000000000001</v>
      </c>
      <c r="G33" s="134">
        <v>3020.33</v>
      </c>
      <c r="H33" s="135">
        <f t="shared" si="3"/>
        <v>2.7185990329999998</v>
      </c>
      <c r="I33" s="13">
        <f>F33*G33</f>
        <v>2718.599033</v>
      </c>
      <c r="J33" s="86"/>
      <c r="K33" s="85"/>
      <c r="L33" s="85"/>
      <c r="M33" s="85"/>
    </row>
    <row r="34" spans="1:14" s="43" customFormat="1" ht="15.75" customHeight="1">
      <c r="A34" s="50">
        <v>8</v>
      </c>
      <c r="B34" s="131" t="s">
        <v>170</v>
      </c>
      <c r="C34" s="132" t="s">
        <v>41</v>
      </c>
      <c r="D34" s="131" t="s">
        <v>171</v>
      </c>
      <c r="E34" s="134">
        <v>8</v>
      </c>
      <c r="F34" s="134">
        <v>12.4</v>
      </c>
      <c r="G34" s="134">
        <v>1302.02</v>
      </c>
      <c r="H34" s="135">
        <v>16.145</v>
      </c>
      <c r="I34" s="13">
        <f t="shared" si="4"/>
        <v>2690.8413333333338</v>
      </c>
      <c r="J34" s="86"/>
      <c r="K34" s="85"/>
      <c r="L34" s="85"/>
      <c r="M34" s="85"/>
    </row>
    <row r="35" spans="1:14" s="43" customFormat="1" ht="15.75" customHeight="1">
      <c r="A35" s="50">
        <v>9</v>
      </c>
      <c r="B35" s="131" t="s">
        <v>130</v>
      </c>
      <c r="C35" s="132" t="s">
        <v>32</v>
      </c>
      <c r="D35" s="131" t="s">
        <v>69</v>
      </c>
      <c r="E35" s="140">
        <v>0.33</v>
      </c>
      <c r="F35" s="134">
        <v>51.666666666666664</v>
      </c>
      <c r="G35" s="134">
        <v>56.69</v>
      </c>
      <c r="H35" s="135">
        <f>SUM(G35*155/3/1000)</f>
        <v>2.9289833333333331</v>
      </c>
      <c r="I35" s="13">
        <f t="shared" si="4"/>
        <v>488.16388888888883</v>
      </c>
      <c r="J35" s="86"/>
      <c r="K35" s="85"/>
      <c r="L35" s="85"/>
      <c r="M35" s="85"/>
    </row>
    <row r="36" spans="1:14" s="43" customFormat="1" ht="15.75" hidden="1" customHeight="1">
      <c r="A36" s="50">
        <v>4</v>
      </c>
      <c r="B36" s="131" t="s">
        <v>71</v>
      </c>
      <c r="C36" s="132" t="s">
        <v>35</v>
      </c>
      <c r="D36" s="131" t="s">
        <v>73</v>
      </c>
      <c r="E36" s="133"/>
      <c r="F36" s="134">
        <v>3</v>
      </c>
      <c r="G36" s="134">
        <v>191.32</v>
      </c>
      <c r="H36" s="135">
        <f t="shared" ref="H36:H37" si="5">SUM(F36*G36/1000)</f>
        <v>0.57396000000000003</v>
      </c>
      <c r="I36" s="13">
        <v>0</v>
      </c>
      <c r="J36" s="86"/>
      <c r="K36" s="85"/>
    </row>
    <row r="37" spans="1:14" s="43" customFormat="1" ht="15.75" hidden="1" customHeight="1">
      <c r="A37" s="29">
        <v>8</v>
      </c>
      <c r="B37" s="131" t="s">
        <v>72</v>
      </c>
      <c r="C37" s="132" t="s">
        <v>34</v>
      </c>
      <c r="D37" s="131" t="s">
        <v>73</v>
      </c>
      <c r="E37" s="133"/>
      <c r="F37" s="134">
        <v>2</v>
      </c>
      <c r="G37" s="134">
        <v>1136.32</v>
      </c>
      <c r="H37" s="135">
        <f t="shared" si="5"/>
        <v>2.27264</v>
      </c>
      <c r="I37" s="13">
        <v>0</v>
      </c>
      <c r="J37" s="87"/>
    </row>
    <row r="38" spans="1:14" s="43" customFormat="1" ht="15.75" hidden="1" customHeight="1">
      <c r="A38" s="50"/>
      <c r="B38" s="58" t="s">
        <v>5</v>
      </c>
      <c r="C38" s="58"/>
      <c r="D38" s="58"/>
      <c r="E38" s="13"/>
      <c r="F38" s="13"/>
      <c r="G38" s="14"/>
      <c r="H38" s="14"/>
      <c r="I38" s="20"/>
      <c r="J38" s="87"/>
    </row>
    <row r="39" spans="1:14" s="43" customFormat="1" ht="15.75" hidden="1" customHeight="1">
      <c r="A39" s="35">
        <v>6</v>
      </c>
      <c r="B39" s="131" t="s">
        <v>27</v>
      </c>
      <c r="C39" s="132" t="s">
        <v>34</v>
      </c>
      <c r="D39" s="131"/>
      <c r="E39" s="133"/>
      <c r="F39" s="134">
        <v>10</v>
      </c>
      <c r="G39" s="134">
        <v>1527.22</v>
      </c>
      <c r="H39" s="135">
        <f t="shared" ref="H39:H45" si="6">SUM(F39*G39/1000)</f>
        <v>15.272200000000002</v>
      </c>
      <c r="I39" s="13">
        <f t="shared" ref="I39:I45" si="7">F39/6*G39</f>
        <v>2545.3666666666668</v>
      </c>
      <c r="J39" s="87"/>
    </row>
    <row r="40" spans="1:14" s="43" customFormat="1" ht="15.75" hidden="1" customHeight="1">
      <c r="A40" s="35">
        <v>7</v>
      </c>
      <c r="B40" s="131" t="s">
        <v>114</v>
      </c>
      <c r="C40" s="132" t="s">
        <v>30</v>
      </c>
      <c r="D40" s="131" t="s">
        <v>150</v>
      </c>
      <c r="E40" s="134">
        <v>634</v>
      </c>
      <c r="F40" s="134">
        <f>SUM(E40*12/1000)</f>
        <v>7.6079999999999997</v>
      </c>
      <c r="G40" s="134">
        <v>2102.71</v>
      </c>
      <c r="H40" s="135">
        <f t="shared" si="6"/>
        <v>15.997417679999998</v>
      </c>
      <c r="I40" s="13">
        <f t="shared" si="7"/>
        <v>2666.2362800000001</v>
      </c>
      <c r="J40" s="87"/>
    </row>
    <row r="41" spans="1:14" s="43" customFormat="1" ht="15.75" hidden="1" customHeight="1">
      <c r="A41" s="35">
        <v>8</v>
      </c>
      <c r="B41" s="131" t="s">
        <v>151</v>
      </c>
      <c r="C41" s="132" t="s">
        <v>30</v>
      </c>
      <c r="D41" s="131" t="s">
        <v>152</v>
      </c>
      <c r="E41" s="134">
        <v>289.39999999999998</v>
      </c>
      <c r="F41" s="134">
        <f>SUM(E41*30/1000)</f>
        <v>8.6820000000000004</v>
      </c>
      <c r="G41" s="134">
        <v>2102.71</v>
      </c>
      <c r="H41" s="135">
        <f t="shared" si="6"/>
        <v>18.255728220000002</v>
      </c>
      <c r="I41" s="13">
        <f t="shared" si="7"/>
        <v>3042.6213700000003</v>
      </c>
      <c r="J41" s="87"/>
    </row>
    <row r="42" spans="1:14" s="43" customFormat="1" ht="15.75" hidden="1" customHeight="1">
      <c r="A42" s="35">
        <v>9</v>
      </c>
      <c r="B42" s="131" t="s">
        <v>74</v>
      </c>
      <c r="C42" s="132" t="s">
        <v>30</v>
      </c>
      <c r="D42" s="131" t="s">
        <v>131</v>
      </c>
      <c r="E42" s="134">
        <v>289.39999999999998</v>
      </c>
      <c r="F42" s="134">
        <f>SUM(E42*155/1000)</f>
        <v>44.856999999999999</v>
      </c>
      <c r="G42" s="134">
        <v>350.75</v>
      </c>
      <c r="H42" s="135">
        <f t="shared" si="6"/>
        <v>15.73359275</v>
      </c>
      <c r="I42" s="13">
        <f t="shared" si="7"/>
        <v>2622.2654583333333</v>
      </c>
      <c r="J42" s="87"/>
    </row>
    <row r="43" spans="1:14" s="43" customFormat="1" ht="47.25" hidden="1" customHeight="1">
      <c r="A43" s="35">
        <v>10</v>
      </c>
      <c r="B43" s="131" t="s">
        <v>89</v>
      </c>
      <c r="C43" s="132" t="s">
        <v>125</v>
      </c>
      <c r="D43" s="131" t="s">
        <v>153</v>
      </c>
      <c r="E43" s="134">
        <v>108</v>
      </c>
      <c r="F43" s="134">
        <f>SUM(E43*24/1000)</f>
        <v>2.5920000000000001</v>
      </c>
      <c r="G43" s="134">
        <v>5803.28</v>
      </c>
      <c r="H43" s="135">
        <f t="shared" si="6"/>
        <v>15.04210176</v>
      </c>
      <c r="I43" s="13">
        <f t="shared" si="7"/>
        <v>2507.0169599999999</v>
      </c>
      <c r="J43" s="87"/>
    </row>
    <row r="44" spans="1:14" s="43" customFormat="1" ht="15.75" hidden="1" customHeight="1">
      <c r="A44" s="35">
        <v>11</v>
      </c>
      <c r="B44" s="131" t="s">
        <v>132</v>
      </c>
      <c r="C44" s="132" t="s">
        <v>125</v>
      </c>
      <c r="D44" s="131" t="s">
        <v>75</v>
      </c>
      <c r="E44" s="134">
        <v>134.4</v>
      </c>
      <c r="F44" s="134">
        <f>SUM(E44*45/1000)</f>
        <v>6.048</v>
      </c>
      <c r="G44" s="134">
        <v>428.7</v>
      </c>
      <c r="H44" s="135">
        <f t="shared" si="6"/>
        <v>2.5927775999999998</v>
      </c>
      <c r="I44" s="13">
        <f t="shared" si="7"/>
        <v>432.12959999999998</v>
      </c>
      <c r="J44" s="87"/>
      <c r="L44" s="22"/>
      <c r="M44" s="23"/>
      <c r="N44" s="31"/>
    </row>
    <row r="45" spans="1:14" s="43" customFormat="1" ht="15.75" hidden="1" customHeight="1">
      <c r="A45" s="35">
        <v>12</v>
      </c>
      <c r="B45" s="131" t="s">
        <v>76</v>
      </c>
      <c r="C45" s="132" t="s">
        <v>35</v>
      </c>
      <c r="D45" s="131"/>
      <c r="E45" s="133"/>
      <c r="F45" s="134">
        <v>0.9</v>
      </c>
      <c r="G45" s="134">
        <v>798</v>
      </c>
      <c r="H45" s="135">
        <f t="shared" si="6"/>
        <v>0.71820000000000006</v>
      </c>
      <c r="I45" s="13">
        <f t="shared" si="7"/>
        <v>119.69999999999999</v>
      </c>
      <c r="J45" s="87"/>
      <c r="L45" s="22"/>
      <c r="M45" s="23"/>
      <c r="N45" s="31"/>
    </row>
    <row r="46" spans="1:14" s="43" customFormat="1" ht="15.75" customHeight="1">
      <c r="A46" s="171" t="s">
        <v>176</v>
      </c>
      <c r="B46" s="172"/>
      <c r="C46" s="172"/>
      <c r="D46" s="172"/>
      <c r="E46" s="172"/>
      <c r="F46" s="172"/>
      <c r="G46" s="172"/>
      <c r="H46" s="172"/>
      <c r="I46" s="173"/>
      <c r="J46" s="87"/>
      <c r="L46" s="22"/>
      <c r="M46" s="23"/>
      <c r="N46" s="31"/>
    </row>
    <row r="47" spans="1:14" s="43" customFormat="1" ht="15.75" customHeight="1">
      <c r="A47" s="50">
        <v>10</v>
      </c>
      <c r="B47" s="131" t="s">
        <v>133</v>
      </c>
      <c r="C47" s="132" t="s">
        <v>125</v>
      </c>
      <c r="D47" s="131" t="s">
        <v>43</v>
      </c>
      <c r="E47" s="133">
        <v>1662.5</v>
      </c>
      <c r="F47" s="134">
        <f>SUM(E47*2/1000)</f>
        <v>3.3250000000000002</v>
      </c>
      <c r="G47" s="13">
        <v>849.49</v>
      </c>
      <c r="H47" s="135">
        <f t="shared" ref="H47:H55" si="8">SUM(F47*G47/1000)</f>
        <v>2.8245542500000003</v>
      </c>
      <c r="I47" s="13">
        <f t="shared" ref="I47:I49" si="9">F47/2*G47</f>
        <v>1412.2771250000001</v>
      </c>
      <c r="J47" s="87"/>
      <c r="L47" s="22"/>
      <c r="M47" s="23"/>
      <c r="N47" s="31"/>
    </row>
    <row r="48" spans="1:14" s="43" customFormat="1" ht="15.75" customHeight="1">
      <c r="A48" s="50">
        <v>11</v>
      </c>
      <c r="B48" s="131" t="s">
        <v>36</v>
      </c>
      <c r="C48" s="132" t="s">
        <v>125</v>
      </c>
      <c r="D48" s="131" t="s">
        <v>43</v>
      </c>
      <c r="E48" s="133">
        <v>92.8</v>
      </c>
      <c r="F48" s="134">
        <f>SUM(E48*2/1000)</f>
        <v>0.18559999999999999</v>
      </c>
      <c r="G48" s="13">
        <v>579.48</v>
      </c>
      <c r="H48" s="135">
        <f t="shared" si="8"/>
        <v>0.10755148799999999</v>
      </c>
      <c r="I48" s="13">
        <f t="shared" si="9"/>
        <v>53.775743999999996</v>
      </c>
      <c r="J48" s="87"/>
      <c r="L48" s="22"/>
      <c r="M48" s="23"/>
      <c r="N48" s="31"/>
    </row>
    <row r="49" spans="1:14" s="43" customFormat="1" ht="15.75" customHeight="1">
      <c r="A49" s="50">
        <v>12</v>
      </c>
      <c r="B49" s="131" t="s">
        <v>37</v>
      </c>
      <c r="C49" s="132" t="s">
        <v>125</v>
      </c>
      <c r="D49" s="131" t="s">
        <v>43</v>
      </c>
      <c r="E49" s="133">
        <v>4750.7</v>
      </c>
      <c r="F49" s="134">
        <f>SUM(E49*2/1000)</f>
        <v>9.5014000000000003</v>
      </c>
      <c r="G49" s="13">
        <v>579.48</v>
      </c>
      <c r="H49" s="135">
        <f t="shared" si="8"/>
        <v>5.5058712720000003</v>
      </c>
      <c r="I49" s="13">
        <f t="shared" si="9"/>
        <v>2752.9356360000002</v>
      </c>
      <c r="J49" s="87"/>
      <c r="L49" s="22"/>
      <c r="M49" s="23"/>
      <c r="N49" s="31"/>
    </row>
    <row r="50" spans="1:14" s="43" customFormat="1" ht="15.75" customHeight="1">
      <c r="A50" s="50">
        <v>13</v>
      </c>
      <c r="B50" s="131" t="s">
        <v>38</v>
      </c>
      <c r="C50" s="132" t="s">
        <v>125</v>
      </c>
      <c r="D50" s="131" t="s">
        <v>43</v>
      </c>
      <c r="E50" s="133">
        <v>2840.99</v>
      </c>
      <c r="F50" s="134">
        <f>SUM(E50*2/1000)</f>
        <v>5.6819799999999994</v>
      </c>
      <c r="G50" s="13">
        <v>606.77</v>
      </c>
      <c r="H50" s="135">
        <f t="shared" si="8"/>
        <v>3.4476550045999992</v>
      </c>
      <c r="I50" s="13">
        <f>F50/2*G50</f>
        <v>1723.8275022999997</v>
      </c>
      <c r="J50" s="87"/>
      <c r="L50" s="22"/>
      <c r="M50" s="23"/>
      <c r="N50" s="31"/>
    </row>
    <row r="51" spans="1:14" s="43" customFormat="1" ht="15.75" customHeight="1">
      <c r="A51" s="50">
        <v>14</v>
      </c>
      <c r="B51" s="131" t="s">
        <v>59</v>
      </c>
      <c r="C51" s="132" t="s">
        <v>125</v>
      </c>
      <c r="D51" s="131" t="s">
        <v>173</v>
      </c>
      <c r="E51" s="133">
        <v>1652.5</v>
      </c>
      <c r="F51" s="134">
        <f>SUM(E51*5/1000)</f>
        <v>8.2624999999999993</v>
      </c>
      <c r="G51" s="13">
        <v>1213.55</v>
      </c>
      <c r="H51" s="135">
        <f t="shared" si="8"/>
        <v>10.026956874999998</v>
      </c>
      <c r="I51" s="13">
        <f>F51/5*G51</f>
        <v>2005.3913749999997</v>
      </c>
      <c r="J51" s="87"/>
      <c r="L51" s="22"/>
      <c r="M51" s="23"/>
      <c r="N51" s="31"/>
    </row>
    <row r="52" spans="1:14" s="43" customFormat="1" ht="31.5" hidden="1" customHeight="1">
      <c r="A52" s="50">
        <v>13</v>
      </c>
      <c r="B52" s="131" t="s">
        <v>135</v>
      </c>
      <c r="C52" s="132" t="s">
        <v>125</v>
      </c>
      <c r="D52" s="131" t="s">
        <v>43</v>
      </c>
      <c r="E52" s="133">
        <v>1652.5</v>
      </c>
      <c r="F52" s="134">
        <f>SUM(E52*2/1000)</f>
        <v>3.3050000000000002</v>
      </c>
      <c r="G52" s="13">
        <v>1213.55</v>
      </c>
      <c r="H52" s="135">
        <f t="shared" si="8"/>
        <v>4.0107827499999997</v>
      </c>
      <c r="I52" s="13">
        <f>F52/2*G52</f>
        <v>2005.3913749999999</v>
      </c>
      <c r="J52" s="87"/>
      <c r="L52" s="22"/>
      <c r="M52" s="23"/>
      <c r="N52" s="31"/>
    </row>
    <row r="53" spans="1:14" s="43" customFormat="1" ht="31.5" hidden="1" customHeight="1">
      <c r="A53" s="50">
        <v>14</v>
      </c>
      <c r="B53" s="131" t="s">
        <v>136</v>
      </c>
      <c r="C53" s="132" t="s">
        <v>39</v>
      </c>
      <c r="D53" s="131" t="s">
        <v>43</v>
      </c>
      <c r="E53" s="133">
        <v>40</v>
      </c>
      <c r="F53" s="134">
        <f>SUM(E53*2/100)</f>
        <v>0.8</v>
      </c>
      <c r="G53" s="13">
        <v>2730.49</v>
      </c>
      <c r="H53" s="135">
        <f t="shared" si="8"/>
        <v>2.1843919999999999</v>
      </c>
      <c r="I53" s="13">
        <f t="shared" ref="I53:I54" si="10">F53/2*G53</f>
        <v>1092.1959999999999</v>
      </c>
      <c r="J53" s="87"/>
      <c r="L53" s="22"/>
      <c r="M53" s="23"/>
      <c r="N53" s="31"/>
    </row>
    <row r="54" spans="1:14" s="43" customFormat="1" ht="15.75" hidden="1" customHeight="1">
      <c r="A54" s="50">
        <v>15</v>
      </c>
      <c r="B54" s="131" t="s">
        <v>40</v>
      </c>
      <c r="C54" s="132" t="s">
        <v>41</v>
      </c>
      <c r="D54" s="131" t="s">
        <v>43</v>
      </c>
      <c r="E54" s="133">
        <v>1</v>
      </c>
      <c r="F54" s="134">
        <v>0.02</v>
      </c>
      <c r="G54" s="13">
        <v>5652.13</v>
      </c>
      <c r="H54" s="135">
        <f t="shared" si="8"/>
        <v>0.11304260000000001</v>
      </c>
      <c r="I54" s="13">
        <f t="shared" si="10"/>
        <v>56.521300000000004</v>
      </c>
      <c r="J54" s="87"/>
      <c r="L54" s="22"/>
      <c r="M54" s="23"/>
      <c r="N54" s="31"/>
    </row>
    <row r="55" spans="1:14" s="43" customFormat="1" ht="15.75" hidden="1" customHeight="1">
      <c r="A55" s="50">
        <v>10</v>
      </c>
      <c r="B55" s="131" t="s">
        <v>42</v>
      </c>
      <c r="C55" s="132" t="s">
        <v>137</v>
      </c>
      <c r="D55" s="131" t="s">
        <v>77</v>
      </c>
      <c r="E55" s="133">
        <v>236</v>
      </c>
      <c r="F55" s="134">
        <f>SUM(E55)*3</f>
        <v>708</v>
      </c>
      <c r="G55" s="13">
        <v>65.67</v>
      </c>
      <c r="H55" s="135">
        <f t="shared" si="8"/>
        <v>46.49436</v>
      </c>
      <c r="I55" s="13">
        <f>E55*G55</f>
        <v>15498.12</v>
      </c>
      <c r="J55" s="87"/>
      <c r="L55" s="22"/>
      <c r="M55" s="23"/>
      <c r="N55" s="31"/>
    </row>
    <row r="56" spans="1:14" s="43" customFormat="1" ht="15.75" customHeight="1">
      <c r="A56" s="171" t="s">
        <v>177</v>
      </c>
      <c r="B56" s="172"/>
      <c r="C56" s="172"/>
      <c r="D56" s="172"/>
      <c r="E56" s="172"/>
      <c r="F56" s="172"/>
      <c r="G56" s="172"/>
      <c r="H56" s="172"/>
      <c r="I56" s="173"/>
      <c r="J56" s="87"/>
      <c r="L56" s="22"/>
      <c r="M56" s="23"/>
      <c r="N56" s="31"/>
    </row>
    <row r="57" spans="1:14" s="43" customFormat="1" ht="15.75" hidden="1" customHeight="1">
      <c r="A57" s="63"/>
      <c r="B57" s="57" t="s">
        <v>44</v>
      </c>
      <c r="C57" s="17"/>
      <c r="D57" s="16"/>
      <c r="E57" s="16"/>
      <c r="F57" s="16"/>
      <c r="G57" s="29"/>
      <c r="H57" s="29"/>
      <c r="I57" s="20"/>
      <c r="J57" s="87"/>
      <c r="L57" s="22"/>
      <c r="M57" s="23"/>
      <c r="N57" s="31"/>
    </row>
    <row r="58" spans="1:14" s="43" customFormat="1" ht="31.5" hidden="1" customHeight="1">
      <c r="A58" s="50">
        <v>16</v>
      </c>
      <c r="B58" s="131" t="s">
        <v>154</v>
      </c>
      <c r="C58" s="132" t="s">
        <v>115</v>
      </c>
      <c r="D58" s="131" t="s">
        <v>155</v>
      </c>
      <c r="E58" s="133">
        <v>166.25</v>
      </c>
      <c r="F58" s="134">
        <f>E58*6/100</f>
        <v>9.9749999999999996</v>
      </c>
      <c r="G58" s="141">
        <v>1547.28</v>
      </c>
      <c r="H58" s="135">
        <f>F58*G58/1000</f>
        <v>15.434117999999998</v>
      </c>
      <c r="I58" s="13">
        <f>F58/6*G58</f>
        <v>2572.3529999999996</v>
      </c>
      <c r="J58" s="87"/>
      <c r="L58" s="22"/>
      <c r="M58" s="23"/>
      <c r="N58" s="31"/>
    </row>
    <row r="59" spans="1:14" s="43" customFormat="1" ht="15.75" hidden="1" customHeight="1">
      <c r="A59" s="50">
        <v>17</v>
      </c>
      <c r="B59" s="142" t="s">
        <v>104</v>
      </c>
      <c r="C59" s="143" t="s">
        <v>115</v>
      </c>
      <c r="D59" s="142" t="s">
        <v>155</v>
      </c>
      <c r="E59" s="144">
        <v>56</v>
      </c>
      <c r="F59" s="145">
        <f>E59*6/100</f>
        <v>3.36</v>
      </c>
      <c r="G59" s="141">
        <v>1547.28</v>
      </c>
      <c r="H59" s="146">
        <f>F59*G59/1000</f>
        <v>5.1988607999999994</v>
      </c>
      <c r="I59" s="13">
        <f>F59/6*G59</f>
        <v>866.47679999999991</v>
      </c>
      <c r="J59" s="87"/>
      <c r="L59" s="22"/>
      <c r="M59" s="23"/>
      <c r="N59" s="31"/>
    </row>
    <row r="60" spans="1:14" s="43" customFormat="1" ht="15.75" hidden="1" customHeight="1">
      <c r="A60" s="50"/>
      <c r="B60" s="142" t="s">
        <v>109</v>
      </c>
      <c r="C60" s="143" t="s">
        <v>110</v>
      </c>
      <c r="D60" s="142" t="s">
        <v>43</v>
      </c>
      <c r="E60" s="144">
        <v>8</v>
      </c>
      <c r="F60" s="145">
        <v>16</v>
      </c>
      <c r="G60" s="147">
        <v>180.78</v>
      </c>
      <c r="H60" s="146">
        <f>F60*G60/1000</f>
        <v>2.8924799999999999</v>
      </c>
      <c r="I60" s="13">
        <v>0</v>
      </c>
      <c r="J60" s="87"/>
      <c r="L60" s="22"/>
      <c r="M60" s="23"/>
      <c r="N60" s="31"/>
    </row>
    <row r="61" spans="1:14" s="43" customFormat="1" ht="15.75" customHeight="1">
      <c r="A61" s="50"/>
      <c r="B61" s="107" t="s">
        <v>45</v>
      </c>
      <c r="C61" s="107"/>
      <c r="D61" s="107"/>
      <c r="E61" s="107"/>
      <c r="F61" s="107"/>
      <c r="G61" s="107"/>
      <c r="H61" s="107"/>
      <c r="I61" s="39"/>
      <c r="J61" s="87"/>
      <c r="L61" s="22"/>
      <c r="M61" s="23"/>
      <c r="N61" s="31"/>
    </row>
    <row r="62" spans="1:14" s="43" customFormat="1" ht="15.75" customHeight="1">
      <c r="A62" s="50">
        <v>15</v>
      </c>
      <c r="B62" s="142" t="s">
        <v>105</v>
      </c>
      <c r="C62" s="143" t="s">
        <v>26</v>
      </c>
      <c r="D62" s="142" t="s">
        <v>174</v>
      </c>
      <c r="E62" s="144">
        <v>330.5</v>
      </c>
      <c r="F62" s="145">
        <f>E62*12</f>
        <v>3966</v>
      </c>
      <c r="G62" s="148">
        <v>2.5960000000000001</v>
      </c>
      <c r="H62" s="146">
        <f>G62*F62/1000</f>
        <v>10.295736000000002</v>
      </c>
      <c r="I62" s="13">
        <f>F62/12*G62</f>
        <v>857.97800000000007</v>
      </c>
      <c r="J62" s="87"/>
      <c r="L62" s="22"/>
      <c r="M62" s="23"/>
      <c r="N62" s="31"/>
    </row>
    <row r="63" spans="1:14" s="43" customFormat="1" ht="15.75" hidden="1" customHeight="1">
      <c r="A63" s="50"/>
      <c r="B63" s="142" t="s">
        <v>46</v>
      </c>
      <c r="C63" s="143" t="s">
        <v>26</v>
      </c>
      <c r="D63" s="142" t="s">
        <v>56</v>
      </c>
      <c r="E63" s="144">
        <v>1652.5</v>
      </c>
      <c r="F63" s="145">
        <f>E63/100</f>
        <v>16.524999999999999</v>
      </c>
      <c r="G63" s="149">
        <v>793.61</v>
      </c>
      <c r="H63" s="146">
        <f>G63*F63/1000</f>
        <v>13.114405249999999</v>
      </c>
      <c r="I63" s="13">
        <v>0</v>
      </c>
      <c r="J63" s="87"/>
      <c r="L63" s="22"/>
      <c r="M63" s="23"/>
      <c r="N63" s="31"/>
    </row>
    <row r="64" spans="1:14" s="43" customFormat="1" ht="15.75" customHeight="1">
      <c r="A64" s="50"/>
      <c r="B64" s="107" t="s">
        <v>47</v>
      </c>
      <c r="C64" s="17"/>
      <c r="D64" s="44"/>
      <c r="E64" s="16"/>
      <c r="F64" s="16"/>
      <c r="G64" s="29"/>
      <c r="H64" s="29"/>
      <c r="I64" s="20"/>
      <c r="J64" s="87"/>
      <c r="L64" s="22"/>
      <c r="M64" s="23"/>
      <c r="N64" s="31"/>
    </row>
    <row r="65" spans="1:22" s="43" customFormat="1" ht="15.75" customHeight="1">
      <c r="A65" s="50">
        <v>16</v>
      </c>
      <c r="B65" s="15" t="s">
        <v>48</v>
      </c>
      <c r="C65" s="17" t="s">
        <v>137</v>
      </c>
      <c r="D65" s="15" t="s">
        <v>73</v>
      </c>
      <c r="E65" s="20">
        <v>10</v>
      </c>
      <c r="F65" s="134">
        <v>10</v>
      </c>
      <c r="G65" s="13">
        <v>222.4</v>
      </c>
      <c r="H65" s="124">
        <f t="shared" ref="H65:H72" si="11">SUM(F65*G65/1000)</f>
        <v>2.2240000000000002</v>
      </c>
      <c r="I65" s="13">
        <f>G65*8</f>
        <v>1779.2</v>
      </c>
      <c r="J65" s="87"/>
      <c r="L65" s="22"/>
      <c r="M65" s="23"/>
      <c r="N65" s="31"/>
    </row>
    <row r="66" spans="1:22" s="43" customFormat="1" ht="15.75" hidden="1" customHeight="1">
      <c r="B66" s="15" t="s">
        <v>49</v>
      </c>
      <c r="C66" s="17" t="s">
        <v>137</v>
      </c>
      <c r="D66" s="15" t="s">
        <v>73</v>
      </c>
      <c r="E66" s="20">
        <v>8</v>
      </c>
      <c r="F66" s="134">
        <v>8</v>
      </c>
      <c r="G66" s="13">
        <v>76.25</v>
      </c>
      <c r="H66" s="124">
        <f t="shared" si="11"/>
        <v>0.61</v>
      </c>
      <c r="I66" s="13">
        <v>0</v>
      </c>
      <c r="J66" s="87"/>
      <c r="L66" s="22"/>
      <c r="M66" s="23"/>
      <c r="N66" s="31"/>
    </row>
    <row r="67" spans="1:22" s="43" customFormat="1" ht="15.75" hidden="1" customHeight="1">
      <c r="A67" s="29">
        <v>25</v>
      </c>
      <c r="B67" s="15" t="s">
        <v>50</v>
      </c>
      <c r="C67" s="17" t="s">
        <v>138</v>
      </c>
      <c r="D67" s="15" t="s">
        <v>56</v>
      </c>
      <c r="E67" s="133">
        <v>23267</v>
      </c>
      <c r="F67" s="13">
        <f>SUM(E67/100)</f>
        <v>232.67</v>
      </c>
      <c r="G67" s="13">
        <v>212.15</v>
      </c>
      <c r="H67" s="124">
        <f t="shared" si="11"/>
        <v>49.360940499999998</v>
      </c>
      <c r="I67" s="13">
        <f>F67*G67</f>
        <v>49360.940499999997</v>
      </c>
      <c r="J67" s="87"/>
      <c r="L67" s="22"/>
      <c r="M67" s="23"/>
      <c r="N67" s="31"/>
    </row>
    <row r="68" spans="1:22" s="43" customFormat="1" ht="15.75" hidden="1" customHeight="1">
      <c r="A68" s="29">
        <v>26</v>
      </c>
      <c r="B68" s="15" t="s">
        <v>51</v>
      </c>
      <c r="C68" s="17" t="s">
        <v>139</v>
      </c>
      <c r="D68" s="15"/>
      <c r="E68" s="133">
        <v>23267</v>
      </c>
      <c r="F68" s="13">
        <f>SUM(E68/1000)</f>
        <v>23.266999999999999</v>
      </c>
      <c r="G68" s="13">
        <v>165.21</v>
      </c>
      <c r="H68" s="124">
        <f t="shared" si="11"/>
        <v>3.8439410700000005</v>
      </c>
      <c r="I68" s="13">
        <f t="shared" ref="I68:I71" si="12">F68*G68</f>
        <v>3843.9410700000003</v>
      </c>
      <c r="J68" s="87"/>
      <c r="L68" s="22"/>
      <c r="M68" s="23"/>
      <c r="N68" s="31"/>
    </row>
    <row r="69" spans="1:22" s="43" customFormat="1" ht="15.75" hidden="1" customHeight="1">
      <c r="A69" s="29">
        <v>27</v>
      </c>
      <c r="B69" s="15" t="s">
        <v>52</v>
      </c>
      <c r="C69" s="17" t="s">
        <v>82</v>
      </c>
      <c r="D69" s="15" t="s">
        <v>56</v>
      </c>
      <c r="E69" s="133">
        <v>3145</v>
      </c>
      <c r="F69" s="13">
        <f>SUM(E69/100)</f>
        <v>31.45</v>
      </c>
      <c r="G69" s="13">
        <v>2074.63</v>
      </c>
      <c r="H69" s="124">
        <f t="shared" si="11"/>
        <v>65.247113499999998</v>
      </c>
      <c r="I69" s="13">
        <f t="shared" si="12"/>
        <v>65247.113499999999</v>
      </c>
      <c r="J69" s="87"/>
      <c r="L69" s="22"/>
    </row>
    <row r="70" spans="1:22" s="43" customFormat="1" ht="15.75" hidden="1" customHeight="1">
      <c r="A70" s="29">
        <v>28</v>
      </c>
      <c r="B70" s="151" t="s">
        <v>140</v>
      </c>
      <c r="C70" s="17" t="s">
        <v>35</v>
      </c>
      <c r="D70" s="15"/>
      <c r="E70" s="133">
        <v>20.66</v>
      </c>
      <c r="F70" s="13">
        <f>SUM(E70)</f>
        <v>20.66</v>
      </c>
      <c r="G70" s="13">
        <v>42.67</v>
      </c>
      <c r="H70" s="124">
        <f t="shared" si="11"/>
        <v>0.88156220000000007</v>
      </c>
      <c r="I70" s="13">
        <f t="shared" si="12"/>
        <v>881.56220000000008</v>
      </c>
    </row>
    <row r="71" spans="1:22" s="43" customFormat="1" ht="15.75" hidden="1" customHeight="1">
      <c r="A71" s="29">
        <v>29</v>
      </c>
      <c r="B71" s="151" t="s">
        <v>175</v>
      </c>
      <c r="C71" s="17" t="s">
        <v>35</v>
      </c>
      <c r="D71" s="15"/>
      <c r="E71" s="133">
        <v>20.66</v>
      </c>
      <c r="F71" s="13">
        <f>SUM(E71)</f>
        <v>20.66</v>
      </c>
      <c r="G71" s="13">
        <v>39.81</v>
      </c>
      <c r="H71" s="124">
        <f t="shared" si="11"/>
        <v>0.82247460000000006</v>
      </c>
      <c r="I71" s="13">
        <f t="shared" si="12"/>
        <v>822.47460000000001</v>
      </c>
    </row>
    <row r="72" spans="1:22" s="43" customFormat="1" ht="15.75" customHeight="1">
      <c r="A72" s="29">
        <v>17</v>
      </c>
      <c r="B72" s="15" t="s">
        <v>60</v>
      </c>
      <c r="C72" s="17" t="s">
        <v>61</v>
      </c>
      <c r="D72" s="15" t="s">
        <v>56</v>
      </c>
      <c r="E72" s="20">
        <v>5</v>
      </c>
      <c r="F72" s="134">
        <f>SUM(E72)</f>
        <v>5</v>
      </c>
      <c r="G72" s="13">
        <v>49.88</v>
      </c>
      <c r="H72" s="124">
        <f t="shared" si="11"/>
        <v>0.24940000000000001</v>
      </c>
      <c r="I72" s="13">
        <f>F72*G72</f>
        <v>249.4</v>
      </c>
    </row>
    <row r="73" spans="1:22" s="43" customFormat="1" ht="15.75" hidden="1" customHeight="1">
      <c r="A73" s="63"/>
      <c r="B73" s="107" t="s">
        <v>142</v>
      </c>
      <c r="C73" s="107"/>
      <c r="D73" s="107"/>
      <c r="E73" s="107"/>
      <c r="F73" s="107"/>
      <c r="G73" s="107"/>
      <c r="H73" s="107"/>
      <c r="I73" s="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8"/>
    </row>
    <row r="74" spans="1:22" s="43" customFormat="1" ht="15.75" hidden="1" customHeight="1">
      <c r="A74" s="29">
        <v>18</v>
      </c>
      <c r="B74" s="131" t="s">
        <v>143</v>
      </c>
      <c r="C74" s="17"/>
      <c r="D74" s="15"/>
      <c r="E74" s="116"/>
      <c r="F74" s="13">
        <v>1</v>
      </c>
      <c r="G74" s="13">
        <v>27750</v>
      </c>
      <c r="H74" s="124">
        <f>G74*F74/1000</f>
        <v>27.75</v>
      </c>
      <c r="I74" s="13">
        <f>G74</f>
        <v>27750</v>
      </c>
      <c r="J74" s="89"/>
      <c r="K74" s="89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spans="1:22" s="43" customFormat="1" ht="15.75" customHeight="1">
      <c r="A75" s="29"/>
      <c r="B75" s="58" t="s">
        <v>78</v>
      </c>
      <c r="C75" s="58"/>
      <c r="D75" s="58"/>
      <c r="E75" s="20"/>
      <c r="F75" s="20"/>
      <c r="G75" s="29"/>
      <c r="H75" s="29"/>
      <c r="I75" s="20"/>
      <c r="J75" s="67"/>
      <c r="K75" s="67"/>
      <c r="L75" s="67"/>
      <c r="M75" s="67"/>
      <c r="N75" s="67"/>
      <c r="O75" s="67"/>
      <c r="P75" s="67"/>
      <c r="Q75" s="67"/>
      <c r="S75" s="67"/>
      <c r="T75" s="67"/>
      <c r="U75" s="67"/>
    </row>
    <row r="76" spans="1:22" s="43" customFormat="1" ht="15.75" hidden="1" customHeight="1">
      <c r="A76" s="29">
        <v>12</v>
      </c>
      <c r="B76" s="15" t="s">
        <v>79</v>
      </c>
      <c r="C76" s="17" t="s">
        <v>33</v>
      </c>
      <c r="D76" s="15"/>
      <c r="E76" s="20">
        <v>10</v>
      </c>
      <c r="F76" s="113">
        <v>1</v>
      </c>
      <c r="G76" s="13">
        <v>501.62</v>
      </c>
      <c r="H76" s="124">
        <f>F76*G76/1000</f>
        <v>0.50161999999999995</v>
      </c>
      <c r="I76" s="13">
        <f>G76*0.1</f>
        <v>50.162000000000006</v>
      </c>
      <c r="J76" s="67"/>
      <c r="K76" s="67"/>
      <c r="L76" s="67"/>
      <c r="M76" s="67"/>
      <c r="N76" s="67"/>
      <c r="O76" s="67"/>
      <c r="P76" s="67"/>
      <c r="Q76" s="67"/>
      <c r="S76" s="67"/>
      <c r="T76" s="67"/>
      <c r="U76" s="67"/>
    </row>
    <row r="77" spans="1:22" s="43" customFormat="1" ht="15.75" hidden="1" customHeight="1">
      <c r="A77" s="29">
        <v>20</v>
      </c>
      <c r="B77" s="15" t="s">
        <v>96</v>
      </c>
      <c r="C77" s="17" t="s">
        <v>32</v>
      </c>
      <c r="D77" s="15"/>
      <c r="E77" s="20">
        <v>1</v>
      </c>
      <c r="F77" s="134">
        <v>1</v>
      </c>
      <c r="G77" s="13">
        <v>358.51</v>
      </c>
      <c r="H77" s="124">
        <f>F77*G77/1000</f>
        <v>0.35851</v>
      </c>
      <c r="I77" s="13">
        <f>G77</f>
        <v>358.51</v>
      </c>
      <c r="J77" s="68"/>
      <c r="K77" s="68"/>
      <c r="L77" s="68"/>
      <c r="M77" s="68"/>
      <c r="N77" s="68"/>
      <c r="O77" s="68"/>
      <c r="P77" s="68"/>
      <c r="Q77" s="68"/>
      <c r="R77" s="161"/>
      <c r="S77" s="161"/>
      <c r="T77" s="161"/>
      <c r="U77" s="161"/>
    </row>
    <row r="78" spans="1:22" s="43" customFormat="1" ht="15.75" customHeight="1">
      <c r="A78" s="29">
        <v>18</v>
      </c>
      <c r="B78" s="15" t="s">
        <v>80</v>
      </c>
      <c r="C78" s="17" t="s">
        <v>32</v>
      </c>
      <c r="D78" s="15"/>
      <c r="E78" s="20">
        <v>1</v>
      </c>
      <c r="F78" s="13">
        <v>1</v>
      </c>
      <c r="G78" s="13">
        <v>852.99</v>
      </c>
      <c r="H78" s="124">
        <f>F78*G78/1000</f>
        <v>0.85299000000000003</v>
      </c>
      <c r="I78" s="13">
        <f>G78</f>
        <v>852.99</v>
      </c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2" s="43" customFormat="1" ht="15.75" hidden="1" customHeight="1">
      <c r="A79" s="29"/>
      <c r="B79" s="59" t="s">
        <v>81</v>
      </c>
      <c r="C79" s="45"/>
      <c r="D79" s="29"/>
      <c r="E79" s="20"/>
      <c r="F79" s="20"/>
      <c r="G79" s="40" t="s">
        <v>156</v>
      </c>
      <c r="H79" s="40"/>
      <c r="I79" s="20"/>
    </row>
    <row r="80" spans="1:22" s="43" customFormat="1" ht="15.75" hidden="1" customHeight="1">
      <c r="A80" s="29">
        <v>39</v>
      </c>
      <c r="B80" s="61" t="s">
        <v>144</v>
      </c>
      <c r="C80" s="17" t="s">
        <v>82</v>
      </c>
      <c r="D80" s="15"/>
      <c r="E80" s="20"/>
      <c r="F80" s="13">
        <v>1.35</v>
      </c>
      <c r="G80" s="13">
        <v>2759.44</v>
      </c>
      <c r="H80" s="124">
        <f t="shared" ref="H80" si="13">SUM(F80*G80/1000)</f>
        <v>3.725244</v>
      </c>
      <c r="I80" s="13">
        <v>0</v>
      </c>
    </row>
    <row r="81" spans="1:9" s="43" customFormat="1" ht="15.75" customHeight="1">
      <c r="A81" s="175" t="s">
        <v>178</v>
      </c>
      <c r="B81" s="176"/>
      <c r="C81" s="176"/>
      <c r="D81" s="176"/>
      <c r="E81" s="176"/>
      <c r="F81" s="176"/>
      <c r="G81" s="176"/>
      <c r="H81" s="176"/>
      <c r="I81" s="177"/>
    </row>
    <row r="82" spans="1:9" s="43" customFormat="1" ht="15.75" customHeight="1">
      <c r="A82" s="29">
        <v>19</v>
      </c>
      <c r="B82" s="131" t="s">
        <v>145</v>
      </c>
      <c r="C82" s="17" t="s">
        <v>57</v>
      </c>
      <c r="D82" s="152" t="s">
        <v>58</v>
      </c>
      <c r="E82" s="13">
        <v>5916.3</v>
      </c>
      <c r="F82" s="13">
        <f>SUM(E82*12)</f>
        <v>70995.600000000006</v>
      </c>
      <c r="G82" s="13">
        <v>2.1</v>
      </c>
      <c r="H82" s="124">
        <f>SUM(F82*G82/1000)</f>
        <v>149.09076000000002</v>
      </c>
      <c r="I82" s="13">
        <f>F82/12*G82</f>
        <v>12424.230000000001</v>
      </c>
    </row>
    <row r="83" spans="1:9" s="43" customFormat="1" ht="31.5" customHeight="1">
      <c r="A83" s="29">
        <v>20</v>
      </c>
      <c r="B83" s="15" t="s">
        <v>83</v>
      </c>
      <c r="C83" s="17"/>
      <c r="D83" s="152" t="s">
        <v>58</v>
      </c>
      <c r="E83" s="133">
        <v>5916.3</v>
      </c>
      <c r="F83" s="13">
        <f>E83*12</f>
        <v>70995.600000000006</v>
      </c>
      <c r="G83" s="13">
        <v>1.63</v>
      </c>
      <c r="H83" s="124">
        <f>F83*G83/1000</f>
        <v>115.72282800000001</v>
      </c>
      <c r="I83" s="13">
        <f>F83/12*G83</f>
        <v>9643.5689999999995</v>
      </c>
    </row>
    <row r="84" spans="1:9" s="43" customFormat="1" ht="15.75" customHeight="1">
      <c r="A84" s="63"/>
      <c r="B84" s="48" t="s">
        <v>86</v>
      </c>
      <c r="C84" s="50"/>
      <c r="D84" s="16"/>
      <c r="E84" s="16"/>
      <c r="F84" s="16"/>
      <c r="G84" s="20"/>
      <c r="H84" s="20"/>
      <c r="I84" s="32">
        <f>SUM(I16+I17+I18+I27+I28+I31+I32+I34+I35+I47+I48+I49+I50+I51+I62+I65+I72+I78+I82+I83)</f>
        <v>81947.999585188882</v>
      </c>
    </row>
    <row r="85" spans="1:9" s="43" customFormat="1" ht="15.75" customHeight="1">
      <c r="A85" s="178" t="s">
        <v>64</v>
      </c>
      <c r="B85" s="179"/>
      <c r="C85" s="179"/>
      <c r="D85" s="179"/>
      <c r="E85" s="179"/>
      <c r="F85" s="179"/>
      <c r="G85" s="179"/>
      <c r="H85" s="179"/>
      <c r="I85" s="180"/>
    </row>
    <row r="86" spans="1:9" s="43" customFormat="1" ht="31.5" customHeight="1">
      <c r="A86" s="29">
        <v>21</v>
      </c>
      <c r="B86" s="69" t="s">
        <v>184</v>
      </c>
      <c r="C86" s="82" t="s">
        <v>101</v>
      </c>
      <c r="D86" s="44"/>
      <c r="E86" s="19"/>
      <c r="F86" s="40">
        <v>1</v>
      </c>
      <c r="G86" s="13">
        <v>666.24</v>
      </c>
      <c r="H86" s="155">
        <f t="shared" ref="H86:H87" si="14">G86*F86/1000</f>
        <v>0.66624000000000005</v>
      </c>
      <c r="I86" s="13">
        <f>G86</f>
        <v>666.24</v>
      </c>
    </row>
    <row r="87" spans="1:9" s="43" customFormat="1" ht="31.5" customHeight="1">
      <c r="A87" s="35">
        <v>22</v>
      </c>
      <c r="B87" s="69" t="s">
        <v>85</v>
      </c>
      <c r="C87" s="82" t="s">
        <v>137</v>
      </c>
      <c r="D87" s="80"/>
      <c r="E87" s="40"/>
      <c r="F87" s="40">
        <v>4</v>
      </c>
      <c r="G87" s="40">
        <v>83.36</v>
      </c>
      <c r="H87" s="155">
        <f t="shared" si="14"/>
        <v>0.33344000000000001</v>
      </c>
      <c r="I87" s="13">
        <f>G87*2</f>
        <v>166.72</v>
      </c>
    </row>
    <row r="88" spans="1:9" s="43" customFormat="1" ht="31.5" customHeight="1">
      <c r="A88" s="35">
        <v>23</v>
      </c>
      <c r="B88" s="69" t="s">
        <v>97</v>
      </c>
      <c r="C88" s="82" t="s">
        <v>101</v>
      </c>
      <c r="D88" s="61"/>
      <c r="E88" s="13"/>
      <c r="F88" s="13">
        <v>6</v>
      </c>
      <c r="G88" s="13">
        <v>589.84</v>
      </c>
      <c r="H88" s="124">
        <f>G88*F88/1000</f>
        <v>3.53904</v>
      </c>
      <c r="I88" s="13">
        <f>G88*2</f>
        <v>1179.68</v>
      </c>
    </row>
    <row r="89" spans="1:9" s="43" customFormat="1" ht="31.5" customHeight="1">
      <c r="A89" s="35">
        <v>24</v>
      </c>
      <c r="B89" s="69" t="s">
        <v>213</v>
      </c>
      <c r="C89" s="82" t="s">
        <v>39</v>
      </c>
      <c r="D89" s="61"/>
      <c r="E89" s="13"/>
      <c r="F89" s="13">
        <v>0.06</v>
      </c>
      <c r="G89" s="13">
        <v>3581.13</v>
      </c>
      <c r="H89" s="124">
        <f>G89*F89/1000</f>
        <v>0.2148678</v>
      </c>
      <c r="I89" s="13">
        <f>G89*0.04</f>
        <v>143.24520000000001</v>
      </c>
    </row>
    <row r="90" spans="1:9" s="43" customFormat="1" ht="31.5" customHeight="1">
      <c r="A90" s="35">
        <v>25</v>
      </c>
      <c r="B90" s="69" t="s">
        <v>236</v>
      </c>
      <c r="C90" s="82" t="s">
        <v>101</v>
      </c>
      <c r="D90" s="80"/>
      <c r="E90" s="40"/>
      <c r="F90" s="40">
        <v>2</v>
      </c>
      <c r="G90" s="40">
        <v>506.98</v>
      </c>
      <c r="H90" s="155">
        <f>G90*F90/1000</f>
        <v>1.01396</v>
      </c>
      <c r="I90" s="13">
        <f>G90*2</f>
        <v>1013.96</v>
      </c>
    </row>
    <row r="91" spans="1:9" s="43" customFormat="1" ht="15.75" customHeight="1">
      <c r="A91" s="29"/>
      <c r="B91" s="55" t="s">
        <v>53</v>
      </c>
      <c r="C91" s="51"/>
      <c r="D91" s="65"/>
      <c r="E91" s="51">
        <v>1</v>
      </c>
      <c r="F91" s="51"/>
      <c r="G91" s="51"/>
      <c r="H91" s="51"/>
      <c r="I91" s="32">
        <f>SUM(I86:I90)</f>
        <v>3169.8452000000002</v>
      </c>
    </row>
    <row r="92" spans="1:9" s="43" customFormat="1" ht="15.75" customHeight="1">
      <c r="A92" s="29"/>
      <c r="B92" s="61" t="s">
        <v>84</v>
      </c>
      <c r="C92" s="16"/>
      <c r="D92" s="16"/>
      <c r="E92" s="52"/>
      <c r="F92" s="52"/>
      <c r="G92" s="53"/>
      <c r="H92" s="53"/>
      <c r="I92" s="19">
        <v>0</v>
      </c>
    </row>
    <row r="93" spans="1:9" s="43" customFormat="1" ht="15.75" customHeight="1">
      <c r="A93" s="66"/>
      <c r="B93" s="56" t="s">
        <v>179</v>
      </c>
      <c r="C93" s="38"/>
      <c r="D93" s="38"/>
      <c r="E93" s="38"/>
      <c r="F93" s="38"/>
      <c r="G93" s="38"/>
      <c r="H93" s="38"/>
      <c r="I93" s="54">
        <f>I84+I91</f>
        <v>85117.844785188878</v>
      </c>
    </row>
    <row r="94" spans="1:9" ht="15.75" customHeight="1">
      <c r="A94" s="162" t="s">
        <v>237</v>
      </c>
      <c r="B94" s="162"/>
      <c r="C94" s="162"/>
      <c r="D94" s="162"/>
      <c r="E94" s="162"/>
      <c r="F94" s="162"/>
      <c r="G94" s="162"/>
      <c r="H94" s="162"/>
      <c r="I94" s="162"/>
    </row>
    <row r="95" spans="1:9" ht="15.75" customHeight="1">
      <c r="A95" s="109"/>
      <c r="B95" s="186" t="s">
        <v>238</v>
      </c>
      <c r="C95" s="186"/>
      <c r="D95" s="186"/>
      <c r="E95" s="186"/>
      <c r="F95" s="186"/>
      <c r="G95" s="186"/>
      <c r="H95" s="123"/>
      <c r="I95" s="3"/>
    </row>
    <row r="96" spans="1:9" ht="15.75" customHeight="1">
      <c r="A96" s="103"/>
      <c r="B96" s="182" t="s">
        <v>6</v>
      </c>
      <c r="C96" s="182"/>
      <c r="D96" s="182"/>
      <c r="E96" s="182"/>
      <c r="F96" s="182"/>
      <c r="G96" s="182"/>
      <c r="H96" s="24"/>
      <c r="I96" s="5"/>
    </row>
    <row r="97" spans="1:9" ht="8.2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87" t="s">
        <v>7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 customHeight="1">
      <c r="A99" s="187" t="s">
        <v>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188" t="s">
        <v>66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10"/>
    </row>
    <row r="102" spans="1:9" ht="15.75" customHeight="1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 customHeight="1">
      <c r="A103" s="4"/>
    </row>
    <row r="104" spans="1:9" ht="15.75" customHeight="1">
      <c r="B104" s="108" t="s">
        <v>10</v>
      </c>
      <c r="C104" s="181" t="s">
        <v>98</v>
      </c>
      <c r="D104" s="181"/>
      <c r="E104" s="181"/>
      <c r="F104" s="117"/>
      <c r="I104" s="105"/>
    </row>
    <row r="105" spans="1:9" ht="15.75" customHeight="1">
      <c r="A105" s="103"/>
      <c r="C105" s="182" t="s">
        <v>11</v>
      </c>
      <c r="D105" s="182"/>
      <c r="E105" s="182"/>
      <c r="F105" s="24"/>
      <c r="I105" s="104" t="s">
        <v>12</v>
      </c>
    </row>
    <row r="106" spans="1:9" ht="15.75" customHeight="1">
      <c r="A106" s="25"/>
      <c r="C106" s="11"/>
      <c r="D106" s="11"/>
      <c r="G106" s="11"/>
      <c r="H106" s="11"/>
    </row>
    <row r="107" spans="1:9" ht="15.75" customHeight="1">
      <c r="B107" s="108" t="s">
        <v>13</v>
      </c>
      <c r="C107" s="183"/>
      <c r="D107" s="183"/>
      <c r="E107" s="183"/>
      <c r="F107" s="118"/>
      <c r="I107" s="105"/>
    </row>
    <row r="108" spans="1:9" ht="15.75" customHeight="1">
      <c r="A108" s="103"/>
      <c r="C108" s="184" t="s">
        <v>11</v>
      </c>
      <c r="D108" s="184"/>
      <c r="E108" s="184"/>
      <c r="F108" s="103"/>
      <c r="I108" s="104" t="s">
        <v>12</v>
      </c>
    </row>
    <row r="109" spans="1:9" ht="15.75" customHeight="1">
      <c r="A109" s="4" t="s">
        <v>14</v>
      </c>
    </row>
    <row r="110" spans="1:9">
      <c r="A110" s="185" t="s">
        <v>15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45" customHeight="1">
      <c r="A111" s="174" t="s">
        <v>16</v>
      </c>
      <c r="B111" s="174"/>
      <c r="C111" s="174"/>
      <c r="D111" s="174"/>
      <c r="E111" s="174"/>
      <c r="F111" s="174"/>
      <c r="G111" s="174"/>
      <c r="H111" s="174"/>
      <c r="I111" s="174"/>
    </row>
    <row r="112" spans="1:9" ht="30" customHeight="1">
      <c r="A112" s="174" t="s">
        <v>17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30" customHeight="1">
      <c r="A113" s="174" t="s">
        <v>21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14.25" customHeight="1">
      <c r="A114" s="174" t="s">
        <v>20</v>
      </c>
      <c r="B114" s="174"/>
      <c r="C114" s="174"/>
      <c r="D114" s="174"/>
      <c r="E114" s="174"/>
      <c r="F114" s="174"/>
      <c r="G114" s="174"/>
      <c r="H114" s="174"/>
      <c r="I114" s="174"/>
    </row>
  </sheetData>
  <autoFilter ref="I12:I71"/>
  <mergeCells count="29">
    <mergeCell ref="A110:I110"/>
    <mergeCell ref="A111:I111"/>
    <mergeCell ref="A112:I112"/>
    <mergeCell ref="A113:I113"/>
    <mergeCell ref="A114:I114"/>
    <mergeCell ref="R77:U77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14</vt:i4>
      </vt:variant>
    </vt:vector>
  </HeadingPairs>
  <TitlesOfParts>
    <vt:vector size="27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10а.17</vt:lpstr>
      <vt:lpstr>11.17</vt:lpstr>
      <vt:lpstr>12.17</vt:lpstr>
      <vt:lpstr>'03.17'!Заголовки_для_печати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'10а.17'!Область_печати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Sony</cp:lastModifiedBy>
  <cp:lastPrinted>2017-11-27T05:51:16Z</cp:lastPrinted>
  <dcterms:created xsi:type="dcterms:W3CDTF">2016-03-25T08:33:47Z</dcterms:created>
  <dcterms:modified xsi:type="dcterms:W3CDTF">2018-03-29T20:45:36Z</dcterms:modified>
</cp:coreProperties>
</file>