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315" windowWidth="15975" windowHeight="5565"/>
  </bookViews>
  <sheets>
    <sheet name="Сов.,16" sheetId="1" r:id="rId1"/>
  </sheets>
  <definedNames>
    <definedName name="_xlnm.Print_Area" localSheetId="0">'Сов.,16'!$A$1:$U$140</definedName>
  </definedNames>
  <calcPr calcId="124519"/>
</workbook>
</file>

<file path=xl/calcChain.xml><?xml version="1.0" encoding="utf-8"?>
<calcChain xmlns="http://schemas.openxmlformats.org/spreadsheetml/2006/main">
  <c r="H128" i="1"/>
  <c r="U128"/>
  <c r="U127"/>
  <c r="T127"/>
  <c r="H127"/>
  <c r="T96"/>
  <c r="F126"/>
  <c r="T126"/>
  <c r="R126"/>
  <c r="T114"/>
  <c r="S104"/>
  <c r="Q61"/>
  <c r="S106"/>
  <c r="F106"/>
  <c r="R106"/>
  <c r="Q106"/>
  <c r="U75" l="1"/>
  <c r="F75"/>
  <c r="H75" s="1"/>
  <c r="H68" l="1"/>
  <c r="F26"/>
  <c r="H26"/>
  <c r="P115" l="1"/>
  <c r="U115" s="1"/>
  <c r="H115"/>
  <c r="C138"/>
  <c r="C135"/>
  <c r="T91"/>
  <c r="T92"/>
  <c r="T107"/>
  <c r="U79"/>
  <c r="U59"/>
  <c r="U72"/>
  <c r="U77"/>
  <c r="U56"/>
  <c r="T38"/>
  <c r="T33"/>
  <c r="S33"/>
  <c r="U28"/>
  <c r="U29"/>
  <c r="R104"/>
  <c r="R121"/>
  <c r="U121" s="1"/>
  <c r="H121"/>
  <c r="R91"/>
  <c r="F120"/>
  <c r="R120" s="1"/>
  <c r="U120" s="1"/>
  <c r="S92"/>
  <c r="S91"/>
  <c r="S93"/>
  <c r="U126"/>
  <c r="F125"/>
  <c r="R125" s="1"/>
  <c r="U125" s="1"/>
  <c r="R123"/>
  <c r="U123" s="1"/>
  <c r="R107"/>
  <c r="R92"/>
  <c r="R124"/>
  <c r="U124" s="1"/>
  <c r="H124"/>
  <c r="H120" l="1"/>
  <c r="H125"/>
  <c r="H126"/>
  <c r="H123"/>
  <c r="R122"/>
  <c r="U122" s="1"/>
  <c r="H122"/>
  <c r="R119"/>
  <c r="H119"/>
  <c r="R118"/>
  <c r="U118" s="1"/>
  <c r="H118"/>
  <c r="R111"/>
  <c r="R108"/>
  <c r="R117"/>
  <c r="U117" s="1"/>
  <c r="U119" l="1"/>
  <c r="H94"/>
  <c r="Q93"/>
  <c r="Q71"/>
  <c r="Q92"/>
  <c r="Q107"/>
  <c r="Q116"/>
  <c r="U116" l="1"/>
  <c r="H116"/>
  <c r="Q69" l="1"/>
  <c r="U69" s="1"/>
  <c r="R49"/>
  <c r="S38"/>
  <c r="L33"/>
  <c r="P114"/>
  <c r="U114" s="1"/>
  <c r="H114"/>
  <c r="M99"/>
  <c r="U99" s="1"/>
  <c r="M97"/>
  <c r="U97" s="1"/>
  <c r="H99"/>
  <c r="P107"/>
  <c r="P92"/>
  <c r="P71"/>
  <c r="P106"/>
  <c r="G113"/>
  <c r="P113" s="1"/>
  <c r="U113" s="1"/>
  <c r="P112"/>
  <c r="U112" s="1"/>
  <c r="H112"/>
  <c r="P111"/>
  <c r="U111" s="1"/>
  <c r="H111"/>
  <c r="P110"/>
  <c r="U110" s="1"/>
  <c r="H110"/>
  <c r="H113" l="1"/>
  <c r="P109"/>
  <c r="U109" s="1"/>
  <c r="H109"/>
  <c r="P108" l="1"/>
  <c r="U108" s="1"/>
  <c r="H108"/>
  <c r="P50"/>
  <c r="O107" l="1"/>
  <c r="U107" s="1"/>
  <c r="O92"/>
  <c r="O106"/>
  <c r="U106" s="1"/>
  <c r="H106"/>
  <c r="M98" l="1"/>
  <c r="U98" s="1"/>
  <c r="N71"/>
  <c r="N61"/>
  <c r="N91"/>
  <c r="N74"/>
  <c r="U74" s="1"/>
  <c r="N73"/>
  <c r="N92"/>
  <c r="M49" l="1"/>
  <c r="U49" s="1"/>
  <c r="J92"/>
  <c r="K92"/>
  <c r="M92"/>
  <c r="M105"/>
  <c r="U105" s="1"/>
  <c r="H105"/>
  <c r="M100"/>
  <c r="U100" s="1"/>
  <c r="M104"/>
  <c r="U104" s="1"/>
  <c r="H104"/>
  <c r="M103"/>
  <c r="U103" s="1"/>
  <c r="M96"/>
  <c r="M102"/>
  <c r="U102" s="1"/>
  <c r="H102"/>
  <c r="M101"/>
  <c r="U101" s="1"/>
  <c r="H101"/>
  <c r="H100"/>
  <c r="M61"/>
  <c r="H97"/>
  <c r="L50"/>
  <c r="U51"/>
  <c r="L73"/>
  <c r="U73" s="1"/>
  <c r="L71"/>
  <c r="L92"/>
  <c r="L38"/>
  <c r="K33"/>
  <c r="K96" l="1"/>
  <c r="U96" s="1"/>
  <c r="J94"/>
  <c r="U94" s="1"/>
  <c r="J93" l="1"/>
  <c r="J90"/>
  <c r="J95"/>
  <c r="U95" s="1"/>
  <c r="J91"/>
  <c r="I93"/>
  <c r="U93" s="1"/>
  <c r="I90"/>
  <c r="I89"/>
  <c r="U89" s="1"/>
  <c r="H89"/>
  <c r="H95"/>
  <c r="U90" l="1"/>
  <c r="H103"/>
  <c r="I68"/>
  <c r="U68" s="1"/>
  <c r="H93"/>
  <c r="P26" l="1"/>
  <c r="R26"/>
  <c r="Q26"/>
  <c r="M26"/>
  <c r="O26"/>
  <c r="N26"/>
  <c r="H79"/>
  <c r="K38"/>
  <c r="K71"/>
  <c r="U71" s="1"/>
  <c r="H96"/>
  <c r="U26" l="1"/>
  <c r="J38"/>
  <c r="J33"/>
  <c r="I50"/>
  <c r="U50" s="1"/>
  <c r="F50"/>
  <c r="I92"/>
  <c r="U92" s="1"/>
  <c r="H92"/>
  <c r="H107"/>
  <c r="H98"/>
  <c r="I91"/>
  <c r="U91" s="1"/>
  <c r="I62"/>
  <c r="U62" s="1"/>
  <c r="I61"/>
  <c r="U61" s="1"/>
  <c r="I38"/>
  <c r="I33"/>
  <c r="U33" s="1"/>
  <c r="U38" l="1"/>
  <c r="H90"/>
  <c r="H91"/>
  <c r="F57"/>
  <c r="H74"/>
  <c r="H73"/>
  <c r="H130" l="1"/>
  <c r="S57"/>
  <c r="T57"/>
  <c r="Q57"/>
  <c r="R57"/>
  <c r="P57"/>
  <c r="O57"/>
  <c r="M57"/>
  <c r="N57"/>
  <c r="L57"/>
  <c r="K57"/>
  <c r="I57"/>
  <c r="J57"/>
  <c r="C137"/>
  <c r="H57"/>
  <c r="F36"/>
  <c r="T36" s="1"/>
  <c r="F23"/>
  <c r="H23" s="1"/>
  <c r="F20"/>
  <c r="T20" s="1"/>
  <c r="F131"/>
  <c r="E82"/>
  <c r="H85" s="1"/>
  <c r="F80"/>
  <c r="H77"/>
  <c r="F72"/>
  <c r="H72" s="1"/>
  <c r="H71"/>
  <c r="F69"/>
  <c r="F67"/>
  <c r="M67" s="1"/>
  <c r="U67" s="1"/>
  <c r="F66"/>
  <c r="M66" s="1"/>
  <c r="U66" s="1"/>
  <c r="F65"/>
  <c r="M65" s="1"/>
  <c r="U65" s="1"/>
  <c r="F64"/>
  <c r="M64" s="1"/>
  <c r="U64" s="1"/>
  <c r="F63"/>
  <c r="M63" s="1"/>
  <c r="U63" s="1"/>
  <c r="H62"/>
  <c r="H61"/>
  <c r="F59"/>
  <c r="H59" s="1"/>
  <c r="F54"/>
  <c r="H51"/>
  <c r="H50"/>
  <c r="H49"/>
  <c r="F48"/>
  <c r="R48" s="1"/>
  <c r="F47"/>
  <c r="F46"/>
  <c r="F45"/>
  <c r="F44"/>
  <c r="F43"/>
  <c r="F42"/>
  <c r="F41"/>
  <c r="H38"/>
  <c r="F37"/>
  <c r="T37" s="1"/>
  <c r="H36"/>
  <c r="F35"/>
  <c r="T35" s="1"/>
  <c r="F34"/>
  <c r="T34" s="1"/>
  <c r="H33"/>
  <c r="F30"/>
  <c r="T30" s="1"/>
  <c r="H29"/>
  <c r="H28"/>
  <c r="F27"/>
  <c r="F25"/>
  <c r="M25" s="1"/>
  <c r="U25" s="1"/>
  <c r="F24"/>
  <c r="H20"/>
  <c r="F19"/>
  <c r="T19" s="1"/>
  <c r="F18"/>
  <c r="M18" s="1"/>
  <c r="U18" s="1"/>
  <c r="F17"/>
  <c r="M17" s="1"/>
  <c r="U17" s="1"/>
  <c r="F16"/>
  <c r="T16" s="1"/>
  <c r="F15"/>
  <c r="T15" s="1"/>
  <c r="F14"/>
  <c r="E13"/>
  <c r="F13" s="1"/>
  <c r="T13" s="1"/>
  <c r="F12"/>
  <c r="T12" s="1"/>
  <c r="F11"/>
  <c r="U57" l="1"/>
  <c r="T11"/>
  <c r="S11"/>
  <c r="Q46"/>
  <c r="T46"/>
  <c r="T54"/>
  <c r="S54"/>
  <c r="T80"/>
  <c r="S80"/>
  <c r="T27"/>
  <c r="S27"/>
  <c r="P13"/>
  <c r="Q13"/>
  <c r="S13"/>
  <c r="R13"/>
  <c r="P15"/>
  <c r="R15"/>
  <c r="Q15"/>
  <c r="S15"/>
  <c r="P12"/>
  <c r="R12"/>
  <c r="Q12"/>
  <c r="S12"/>
  <c r="P16"/>
  <c r="Q16"/>
  <c r="S16"/>
  <c r="R16"/>
  <c r="P24"/>
  <c r="R24"/>
  <c r="Q24"/>
  <c r="P30"/>
  <c r="Q30"/>
  <c r="S30"/>
  <c r="R30"/>
  <c r="L34"/>
  <c r="S34"/>
  <c r="M42"/>
  <c r="Q42"/>
  <c r="M44"/>
  <c r="Q44"/>
  <c r="L54"/>
  <c r="R80"/>
  <c r="P80"/>
  <c r="Q80"/>
  <c r="Q23"/>
  <c r="R23"/>
  <c r="P23"/>
  <c r="R11"/>
  <c r="P11"/>
  <c r="Q11"/>
  <c r="P19"/>
  <c r="R19"/>
  <c r="Q19"/>
  <c r="S19"/>
  <c r="R27"/>
  <c r="P27"/>
  <c r="Q27"/>
  <c r="L35"/>
  <c r="S35"/>
  <c r="L37"/>
  <c r="S37"/>
  <c r="M41"/>
  <c r="Q41"/>
  <c r="M43"/>
  <c r="Q43"/>
  <c r="M45"/>
  <c r="Q45"/>
  <c r="R47"/>
  <c r="M47"/>
  <c r="P20"/>
  <c r="Q20"/>
  <c r="S20"/>
  <c r="R20"/>
  <c r="L36"/>
  <c r="S36"/>
  <c r="O11"/>
  <c r="O80"/>
  <c r="O23"/>
  <c r="M14"/>
  <c r="U14" s="1"/>
  <c r="N11"/>
  <c r="M11"/>
  <c r="O12"/>
  <c r="N12"/>
  <c r="O16"/>
  <c r="N16"/>
  <c r="M24"/>
  <c r="N24"/>
  <c r="O24"/>
  <c r="N30"/>
  <c r="O30"/>
  <c r="N80"/>
  <c r="M80"/>
  <c r="N23"/>
  <c r="M23"/>
  <c r="N13"/>
  <c r="O13"/>
  <c r="O15"/>
  <c r="N15"/>
  <c r="M19"/>
  <c r="N19"/>
  <c r="O19"/>
  <c r="O27"/>
  <c r="N27"/>
  <c r="O20"/>
  <c r="N20"/>
  <c r="M48"/>
  <c r="U48" s="1"/>
  <c r="L11"/>
  <c r="K11"/>
  <c r="M13"/>
  <c r="L13"/>
  <c r="M15"/>
  <c r="L15"/>
  <c r="K15"/>
  <c r="K19"/>
  <c r="L19"/>
  <c r="K27"/>
  <c r="M27"/>
  <c r="L27"/>
  <c r="M20"/>
  <c r="L20"/>
  <c r="M12"/>
  <c r="L12"/>
  <c r="M16"/>
  <c r="L16"/>
  <c r="M30"/>
  <c r="K30"/>
  <c r="L30"/>
  <c r="J46"/>
  <c r="M46"/>
  <c r="K54"/>
  <c r="L80"/>
  <c r="K80"/>
  <c r="H25"/>
  <c r="H14"/>
  <c r="H18"/>
  <c r="H17"/>
  <c r="H69"/>
  <c r="K16"/>
  <c r="J16"/>
  <c r="J11"/>
  <c r="K13"/>
  <c r="J13"/>
  <c r="J15"/>
  <c r="I19"/>
  <c r="J19"/>
  <c r="J27"/>
  <c r="K35"/>
  <c r="J35"/>
  <c r="K37"/>
  <c r="J37"/>
  <c r="H41"/>
  <c r="H43"/>
  <c r="H45"/>
  <c r="H47"/>
  <c r="H64"/>
  <c r="H66"/>
  <c r="I20"/>
  <c r="K20"/>
  <c r="J20"/>
  <c r="I36"/>
  <c r="K36"/>
  <c r="J36"/>
  <c r="I12"/>
  <c r="K12"/>
  <c r="J12"/>
  <c r="H24"/>
  <c r="H31" s="1"/>
  <c r="J30"/>
  <c r="K34"/>
  <c r="J34"/>
  <c r="H42"/>
  <c r="H44"/>
  <c r="H48"/>
  <c r="J54"/>
  <c r="H63"/>
  <c r="H65"/>
  <c r="H67"/>
  <c r="I80"/>
  <c r="J80"/>
  <c r="H11"/>
  <c r="I11"/>
  <c r="U11" s="1"/>
  <c r="H13"/>
  <c r="I13"/>
  <c r="U13" s="1"/>
  <c r="H15"/>
  <c r="I15"/>
  <c r="U15" s="1"/>
  <c r="H27"/>
  <c r="I27"/>
  <c r="U27" s="1"/>
  <c r="H30"/>
  <c r="I30"/>
  <c r="U30" s="1"/>
  <c r="H37"/>
  <c r="I37"/>
  <c r="U37" s="1"/>
  <c r="H46"/>
  <c r="I46"/>
  <c r="U46" s="1"/>
  <c r="H16"/>
  <c r="I16"/>
  <c r="U16" s="1"/>
  <c r="H34"/>
  <c r="I34"/>
  <c r="U34" s="1"/>
  <c r="H35"/>
  <c r="I35"/>
  <c r="U35" s="1"/>
  <c r="H54"/>
  <c r="I54"/>
  <c r="U54" s="1"/>
  <c r="H80"/>
  <c r="H81" s="1"/>
  <c r="H12"/>
  <c r="F82"/>
  <c r="H19"/>
  <c r="H78" l="1"/>
  <c r="U80"/>
  <c r="U81" s="1"/>
  <c r="U47"/>
  <c r="U44"/>
  <c r="U42"/>
  <c r="T82"/>
  <c r="T131" s="1"/>
  <c r="S82"/>
  <c r="U36"/>
  <c r="U19"/>
  <c r="U23"/>
  <c r="U24"/>
  <c r="U45"/>
  <c r="U43"/>
  <c r="U41"/>
  <c r="U52" s="1"/>
  <c r="U12"/>
  <c r="U20"/>
  <c r="R82"/>
  <c r="P82"/>
  <c r="Q82"/>
  <c r="Q131" s="1"/>
  <c r="S131"/>
  <c r="O82"/>
  <c r="O131" s="1"/>
  <c r="N82"/>
  <c r="M82"/>
  <c r="H52"/>
  <c r="U78"/>
  <c r="L82"/>
  <c r="K82"/>
  <c r="K131" s="1"/>
  <c r="P131"/>
  <c r="N131"/>
  <c r="R131"/>
  <c r="I82"/>
  <c r="I131" s="1"/>
  <c r="J82"/>
  <c r="J131" s="1"/>
  <c r="M131"/>
  <c r="L131"/>
  <c r="H39"/>
  <c r="U39"/>
  <c r="H82"/>
  <c r="H83" s="1"/>
  <c r="H21"/>
  <c r="U82" l="1"/>
  <c r="U83" s="1"/>
  <c r="U31"/>
  <c r="U21"/>
  <c r="H84"/>
  <c r="H86" s="1"/>
  <c r="G131" s="1"/>
  <c r="H131" s="1"/>
  <c r="U84" l="1"/>
  <c r="U131" s="1"/>
  <c r="C136" s="1"/>
  <c r="C140" l="1"/>
</calcChain>
</file>

<file path=xl/sharedStrings.xml><?xml version="1.0" encoding="utf-8"?>
<sst xmlns="http://schemas.openxmlformats.org/spreadsheetml/2006/main" count="382" uniqueCount="276">
  <si>
    <t>ОТЧЁТ</t>
  </si>
  <si>
    <t xml:space="preserve">по предоставленным услугам и произведённым работам по содержанию и ремонту общего имущества собственников помещений в многоквартирном доме </t>
  </si>
  <si>
    <t>№ расц.</t>
  </si>
  <si>
    <t>Перечень работ</t>
  </si>
  <si>
    <t>Ед.изм</t>
  </si>
  <si>
    <t>Периодичность</t>
  </si>
  <si>
    <t>Объем работ разовый</t>
  </si>
  <si>
    <t xml:space="preserve">Объем работ на год </t>
  </si>
  <si>
    <t>Расценка (руб)</t>
  </si>
  <si>
    <t>Сумма в год (тыс.руб)</t>
  </si>
  <si>
    <t>А.Обязательные работы по содержанию общего имущества собственников помещений в многоквартирном доме</t>
  </si>
  <si>
    <t xml:space="preserve">1. Санитарное содержание </t>
  </si>
  <si>
    <t>Влажное подметание лестничных клеток 1 этажа</t>
  </si>
  <si>
    <t>100м2</t>
  </si>
  <si>
    <t>3 раза в неделю 156 раз в год</t>
  </si>
  <si>
    <t>Влажное подметание лестничных клеток 2-5 этажа</t>
  </si>
  <si>
    <t>2 раза в неделю 104 раза в год</t>
  </si>
  <si>
    <t>Мытье лестничных  площадок и маршей 1-5 этаж.</t>
  </si>
  <si>
    <t xml:space="preserve">2 раза в месяц   24 раза в год </t>
  </si>
  <si>
    <t>Мытье окон</t>
  </si>
  <si>
    <t>10м2</t>
  </si>
  <si>
    <t>Влажная протирка перил</t>
  </si>
  <si>
    <t>Влажная протирка почтовых ящиков</t>
  </si>
  <si>
    <t xml:space="preserve">Влажная уборка стен </t>
  </si>
  <si>
    <t>100 м2</t>
  </si>
  <si>
    <t>Влажная протирка дверей</t>
  </si>
  <si>
    <t>Влажная протирка подоконников</t>
  </si>
  <si>
    <t>Влажная протирка отопительных приборов</t>
  </si>
  <si>
    <t>итого:</t>
  </si>
  <si>
    <t>Летняя уборка</t>
  </si>
  <si>
    <t>1000м2</t>
  </si>
  <si>
    <t>3 раза в неделю 78 раз за сезон</t>
  </si>
  <si>
    <t>Уборка газонов сильной загрязненности</t>
  </si>
  <si>
    <t>1 раз в год</t>
  </si>
  <si>
    <t xml:space="preserve"> - Уборка контейнерной площадки (16 кв.м.)</t>
  </si>
  <si>
    <t>шт.</t>
  </si>
  <si>
    <t>155 раз</t>
  </si>
  <si>
    <t>Подборка мусора на контейнерной площадке</t>
  </si>
  <si>
    <t>м3</t>
  </si>
  <si>
    <t>ежедневно 365 раз</t>
  </si>
  <si>
    <t>по мере необходимости</t>
  </si>
  <si>
    <t>м/час</t>
  </si>
  <si>
    <t>Вывоз ТБО и КГО</t>
  </si>
  <si>
    <t xml:space="preserve">кв. м </t>
  </si>
  <si>
    <t xml:space="preserve"> </t>
  </si>
  <si>
    <t>Зимняя уборка</t>
  </si>
  <si>
    <t>Механизированная уборка дворовой территории</t>
  </si>
  <si>
    <t xml:space="preserve">Сдвигание снега в дни снегопада </t>
  </si>
  <si>
    <t>1000 м2</t>
  </si>
  <si>
    <t>50 раз за сезон</t>
  </si>
  <si>
    <t>155 раз за сезон</t>
  </si>
  <si>
    <t>45 раз за сезон</t>
  </si>
  <si>
    <t xml:space="preserve"> II. Плановые осмотры</t>
  </si>
  <si>
    <t>2 раза в год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</si>
  <si>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</si>
  <si>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</si>
  <si>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</si>
  <si>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Осмотр деревянных конструкций стропил</t>
  </si>
  <si>
    <t>100 м3</t>
  </si>
  <si>
    <t xml:space="preserve">Осмотр СО </t>
  </si>
  <si>
    <t>1 раз в месяц (5 раз за сезон)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</si>
  <si>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</si>
  <si>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</si>
  <si>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100 лест.</t>
  </si>
  <si>
    <t>Осмотр вводных электрических щитков</t>
  </si>
  <si>
    <t>100 шт.</t>
  </si>
  <si>
    <t>шт</t>
  </si>
  <si>
    <t>2-1-1б</t>
  </si>
  <si>
    <t>Проверка вентканалов</t>
  </si>
  <si>
    <t xml:space="preserve">Электротехнические измерения </t>
  </si>
  <si>
    <t>1 раза в 3 года</t>
  </si>
  <si>
    <t>Кровля</t>
  </si>
  <si>
    <t xml:space="preserve">6 раз за сезон </t>
  </si>
  <si>
    <t>Чердак, подвал, технический этаж</t>
  </si>
  <si>
    <t>м2</t>
  </si>
  <si>
    <t>12 раз в год</t>
  </si>
  <si>
    <t>Лестничная клетка</t>
  </si>
  <si>
    <t xml:space="preserve"> - установка пружин на входных дверях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</si>
  <si>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</si>
  <si>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</si>
  <si>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</si>
  <si>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</si>
  <si>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100м3</t>
  </si>
  <si>
    <t>Спуск воды и наполнение системы без осмотра</t>
  </si>
  <si>
    <t>1000м3</t>
  </si>
  <si>
    <t>Гидравлическое испытание СО</t>
  </si>
  <si>
    <t>100м</t>
  </si>
  <si>
    <t>Проверка на прогрев отопительных приборов</t>
  </si>
  <si>
    <t>прибор</t>
  </si>
  <si>
    <t>Электроснабжение</t>
  </si>
  <si>
    <t>Смена ламп накаливания</t>
  </si>
  <si>
    <t>10 шт</t>
  </si>
  <si>
    <t>Смена выключателей</t>
  </si>
  <si>
    <t>Смена патронов</t>
  </si>
  <si>
    <t>Замена ламп ДРЛ</t>
  </si>
  <si>
    <t>Вентканалы, дымоходы</t>
  </si>
  <si>
    <t>ГЭСН60-16</t>
  </si>
  <si>
    <t xml:space="preserve"> - прочистка каналов</t>
  </si>
  <si>
    <t>Аварийно-диспетчерское обслуживание</t>
  </si>
  <si>
    <t>1 м2</t>
  </si>
  <si>
    <t>Услуги по выпуску квитанций, сопровождение собраний, работа с должниками</t>
  </si>
  <si>
    <t>ИТОГО</t>
  </si>
  <si>
    <t xml:space="preserve">ВСЕГО </t>
  </si>
  <si>
    <t>Площадь жилых помещений и нежилых</t>
  </si>
  <si>
    <t xml:space="preserve">     </t>
  </si>
  <si>
    <t>Затраты на 1 кв.м  в месяц в рублях  по плану</t>
  </si>
  <si>
    <t>Текущий ремонт</t>
  </si>
  <si>
    <t>итого по текущему ремонту</t>
  </si>
  <si>
    <t>Размер платы по текущему ремонту, руб/м2 в мес.</t>
  </si>
  <si>
    <t xml:space="preserve">Затраты в рублях  по плану   </t>
  </si>
  <si>
    <t xml:space="preserve">1 раз в год     </t>
  </si>
  <si>
    <t>1 раз в месяц</t>
  </si>
  <si>
    <t xml:space="preserve">1 раз в месяц    </t>
  </si>
  <si>
    <t xml:space="preserve">1 раз в месяц  </t>
  </si>
  <si>
    <t>1 раз в неделю 26 раз в сезон</t>
  </si>
  <si>
    <t>12 раз за сезон</t>
  </si>
  <si>
    <t>Вода для промывки системы отопления</t>
  </si>
  <si>
    <t>Спуск воды после промывки системы отопления в канализацию</t>
  </si>
  <si>
    <t>Обслуживание прибора учета тепловой энергии</t>
  </si>
  <si>
    <t>Очистка от мусора</t>
  </si>
  <si>
    <t>Дератизация</t>
  </si>
  <si>
    <t>смета</t>
  </si>
  <si>
    <t>Ремонт групповых щитков на лестничной клетке без ремонта автоматов</t>
  </si>
  <si>
    <t>калькуляция</t>
  </si>
  <si>
    <t>Ремонт и регулировка доводчика (со стоимостью доводчика)</t>
  </si>
  <si>
    <t>Генеральный директор ООО "Жилсервис"_______Ю.Л.Куканов</t>
  </si>
  <si>
    <t xml:space="preserve">Выполнение    январь  </t>
  </si>
  <si>
    <t>Выполнение   февраль</t>
  </si>
  <si>
    <t>Выполнение   март</t>
  </si>
  <si>
    <t>Выполнение    апрель</t>
  </si>
  <si>
    <t>Выполнение    июнь</t>
  </si>
  <si>
    <t>Выполнение    июль</t>
  </si>
  <si>
    <t>Выполнение    август</t>
  </si>
  <si>
    <t>Выполнение    сентябрь</t>
  </si>
  <si>
    <t>Выполнение    октябрь</t>
  </si>
  <si>
    <t>Выполнение    ноябрь</t>
  </si>
  <si>
    <t>Выполнение    декабрь</t>
  </si>
  <si>
    <t>1 м</t>
  </si>
  <si>
    <t>Внеплановый осмотр электросетей, арматуры и электрооборудования на лестничных клетках</t>
  </si>
  <si>
    <t>Снятие показаний эл.счетчика коммунального назначения</t>
  </si>
  <si>
    <t>1 шт</t>
  </si>
  <si>
    <t>3 раза в год</t>
  </si>
  <si>
    <t>Смена арматуры - вентилей и клапанов обратных муфтовых диаметром до 20 мм</t>
  </si>
  <si>
    <t>5 этажей,  8 подъездов</t>
  </si>
  <si>
    <t>Стоимость (руб.)</t>
  </si>
  <si>
    <t>договор</t>
  </si>
  <si>
    <t>ТО внутридомового газ.оборудования</t>
  </si>
  <si>
    <t>100шт</t>
  </si>
  <si>
    <t>Подключение и отключение сварочного аппарата</t>
  </si>
  <si>
    <t>Выполне ние      май</t>
  </si>
  <si>
    <t>Ремонт и регулировка доводчика (без стоимости доводчика)</t>
  </si>
  <si>
    <t>1шт.</t>
  </si>
  <si>
    <t>Смена стекол в деревянных переплетах при площади стекла до 1,0 м2</t>
  </si>
  <si>
    <t>10 м2</t>
  </si>
  <si>
    <t>Смена арматуры - вентилей и клапанов обратных муфтовых диаметром до 32 мм</t>
  </si>
  <si>
    <t>ТЭР 32-028</t>
  </si>
  <si>
    <t xml:space="preserve">Смена сгонов у трубопроводов диаметром до 20 мм </t>
  </si>
  <si>
    <t>1 сгон</t>
  </si>
  <si>
    <t>Баланс выполненных работ на 01.01.2016 г. ( -долг за предприятием, +долг за населением)</t>
  </si>
  <si>
    <t xml:space="preserve">Вывертывание и ввертывание радиаторной пробки.   </t>
  </si>
  <si>
    <t>1 пробка</t>
  </si>
  <si>
    <r>
      <t xml:space="preserve">по адресу:  </t>
    </r>
    <r>
      <rPr>
        <b/>
        <sz val="14"/>
        <color indexed="10"/>
        <rFont val="Arial"/>
        <family val="2"/>
        <charset val="204"/>
      </rPr>
      <t>ул. Советская, 16</t>
    </r>
    <r>
      <rPr>
        <b/>
        <sz val="14"/>
        <rFont val="Arial"/>
        <family val="2"/>
        <charset val="204"/>
      </rPr>
      <t xml:space="preserve">  (п. Ярега)  </t>
    </r>
    <r>
      <rPr>
        <b/>
        <sz val="14"/>
        <color indexed="10"/>
        <rFont val="Arial"/>
        <family val="2"/>
        <charset val="204"/>
      </rPr>
      <t>за 2016 год</t>
    </r>
  </si>
  <si>
    <t>Начислено за содержание и текущий ремонт за 2016 г.</t>
  </si>
  <si>
    <t>Выполнено работ по содержанию за 2016 г.</t>
  </si>
  <si>
    <t>Выполнено работ по текущему ремонту за 2016 г.</t>
  </si>
  <si>
    <t>Фактически оплачено за 2016 г.</t>
  </si>
  <si>
    <t xml:space="preserve"> - Уборка газонов</t>
  </si>
  <si>
    <t xml:space="preserve"> - Подметание территории с усовершенствованным покрытием асф.: крыльца, контейнерн пл., проезд, тротуар</t>
  </si>
  <si>
    <t xml:space="preserve">Погрузка травы, ветвей </t>
  </si>
  <si>
    <t>Вывоз смета, травы, ветвей и т.п.- м/ч</t>
  </si>
  <si>
    <t xml:space="preserve">Подметание снега с тротуара, крылец, конт. площадок 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</si>
  <si>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</si>
  <si>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 xml:space="preserve">Пескопосыпка территории: крыльца и тротуары </t>
  </si>
  <si>
    <t>Стоимость песка -100м2-0,002м3</t>
  </si>
  <si>
    <t>Очистка края кровли от слежавшегося снега со сбрасыванием сосулек (10% от S кровли и козырьки)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</si>
  <si>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</si>
  <si>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</si>
  <si>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Замена подводки к счётчику (колено НР 20×1/2 и муфта Dy-20 мм)</t>
  </si>
  <si>
    <t xml:space="preserve">Смена тройников у трубопроводов диаметром до 32 мм </t>
  </si>
  <si>
    <t>Смена вентилей диаметром до 20 мм (без материалов)</t>
  </si>
  <si>
    <t>Настройка таймера освещения ТО-2</t>
  </si>
  <si>
    <t>Осмотр кровли металлической</t>
  </si>
  <si>
    <t>Прочистка засоров ГВС, XВC</t>
  </si>
  <si>
    <t>3м</t>
  </si>
  <si>
    <t>ТЕР 51-001</t>
  </si>
  <si>
    <t>ТЕР 51-009</t>
  </si>
  <si>
    <t>ТЕР 51-031</t>
  </si>
  <si>
    <t>ТЕР 51-025</t>
  </si>
  <si>
    <t>ТЕР 51-023</t>
  </si>
  <si>
    <t>ТЕР 51-018</t>
  </si>
  <si>
    <t>ТЕР 51-019</t>
  </si>
  <si>
    <t>ТЕР 51-020</t>
  </si>
  <si>
    <t>ТЕР 51-024</t>
  </si>
  <si>
    <t>ТЕР 53-020</t>
  </si>
  <si>
    <t>ТЕР 53-001</t>
  </si>
  <si>
    <t>ТЕР 53-021</t>
  </si>
  <si>
    <t>ТЕР 52-033</t>
  </si>
  <si>
    <t>пр.ТЕР 52-003</t>
  </si>
  <si>
    <t>ТЕР 53-030</t>
  </si>
  <si>
    <t>ТЕР 54-013</t>
  </si>
  <si>
    <t>ТЕР 54-003</t>
  </si>
  <si>
    <t>ТЕР 54-022</t>
  </si>
  <si>
    <t>ТЕР 54-025</t>
  </si>
  <si>
    <t>ТЕР 42-007</t>
  </si>
  <si>
    <t>ТЕР 42-009</t>
  </si>
  <si>
    <t>ТЕР 42-010</t>
  </si>
  <si>
    <t>ТЕР 42-003</t>
  </si>
  <si>
    <t>ТЕР 42-011</t>
  </si>
  <si>
    <t>ТЕР 42-013</t>
  </si>
  <si>
    <t>ТЕР 42-012</t>
  </si>
  <si>
    <t>ТЕР 42-014</t>
  </si>
  <si>
    <t>ТЕР 42-001</t>
  </si>
  <si>
    <t>ТЕР 54-041 и 42</t>
  </si>
  <si>
    <t>ТЕР 51-034</t>
  </si>
  <si>
    <t>ТЕР 15-018</t>
  </si>
  <si>
    <t>ТЕР 31-065</t>
  </si>
  <si>
    <t>ТЕР 31-064</t>
  </si>
  <si>
    <t>ТЕР 31-052</t>
  </si>
  <si>
    <t>ТЕР 31-043</t>
  </si>
  <si>
    <t>ТЕР 31-068</t>
  </si>
  <si>
    <t>ТЕР 31-045</t>
  </si>
  <si>
    <t>ТЕР 33-019</t>
  </si>
  <si>
    <t>ТЕР 33-049</t>
  </si>
  <si>
    <t>ТЕР 33-025</t>
  </si>
  <si>
    <t>ТЕР 33-028</t>
  </si>
  <si>
    <t>ТЕР 33-030</t>
  </si>
  <si>
    <t>ТЕР 33-037</t>
  </si>
  <si>
    <t>ТЕР 33-060</t>
  </si>
  <si>
    <t>пр.ТЕР 2-2-1-1-6</t>
  </si>
  <si>
    <t>ТЕР 31-009</t>
  </si>
  <si>
    <t>ТЕР 32-027</t>
  </si>
  <si>
    <t>ТЕР 2-2-1-2-7</t>
  </si>
  <si>
    <t>пр.ТЕР 31-009</t>
  </si>
  <si>
    <t>пр.ТЕР 31-010</t>
  </si>
  <si>
    <t>пр.ТЕР 32-027</t>
  </si>
  <si>
    <t>пр.ТЕР 42-014</t>
  </si>
  <si>
    <t>ТЕР 32-101</t>
  </si>
  <si>
    <t>ТЕР 32-082</t>
  </si>
  <si>
    <r>
      <t>Смена полиэтиленовых канализационных труб 50</t>
    </r>
    <r>
      <rPr>
        <sz val="10"/>
        <rFont val="Calibri"/>
        <family val="2"/>
        <charset val="204"/>
      </rPr>
      <t>×</t>
    </r>
    <r>
      <rPr>
        <sz val="10"/>
        <rFont val="Arial"/>
        <family val="2"/>
        <charset val="204"/>
      </rPr>
      <t>1000 мм</t>
    </r>
  </si>
  <si>
    <t>счёт</t>
  </si>
  <si>
    <t>ТЕР 31-011</t>
  </si>
  <si>
    <t>Смена тройника диаметром 50 / 90°</t>
  </si>
  <si>
    <t>Переход чугун-пластик Ду 50 мм с манжетой</t>
  </si>
  <si>
    <t>Патрубок компенсационный Ду 100</t>
  </si>
  <si>
    <t>Манжета Ду 50 мм</t>
  </si>
  <si>
    <t>пр.ТЕР 2-2-1-2-17</t>
  </si>
  <si>
    <t xml:space="preserve">Герметизация стыков трубопроводов    </t>
  </si>
  <si>
    <t>1 место</t>
  </si>
  <si>
    <t>Смена трубопроводов на полипропиленовые трубы PN20 диаметром 25 мм</t>
  </si>
  <si>
    <t>Смена трубопроводов на полипропиленовые трубы PN20 диаметром 20 мм</t>
  </si>
  <si>
    <t>Смена трубопроводов на полипропиленовые трубы PN25 диаметром 25 мм</t>
  </si>
  <si>
    <t>Смена трубопроводов на полипропиленовые трубы PN25 диаметром 20 мм</t>
  </si>
  <si>
    <t>Смена трубопроводов на металл-полимерные трубы диамером до 25 мм</t>
  </si>
  <si>
    <t>Дезинфекция подвала</t>
  </si>
  <si>
    <t>Переход чугун-пластик Ду 100 мм с манжетой</t>
  </si>
  <si>
    <t>Муфта ремонтная Ду 100</t>
  </si>
  <si>
    <t>ТЕР 33-032</t>
  </si>
  <si>
    <t>Ремонт силового предохранительного шкафа</t>
  </si>
  <si>
    <t>Смена плавкой вставки на электрощите</t>
  </si>
  <si>
    <t>ТЕР 33-043</t>
  </si>
  <si>
    <t>Смена дверных приборов (замки навесные)</t>
  </si>
  <si>
    <t>ТЕР 15-051</t>
  </si>
  <si>
    <t>Ремонт штукатурки внутренних стен по камню и бетону цементно-известковым раствором площадью до 1 м2 толщиной слоя до 20 мм</t>
  </si>
  <si>
    <t>ТЕР 21-005</t>
  </si>
  <si>
    <t>ТЕР 15-009</t>
  </si>
  <si>
    <t>Демонтаж проводов из труб суммарным сечением до 16 мм2</t>
  </si>
  <si>
    <t>10 м.</t>
  </si>
  <si>
    <t>ТЕР 33-005</t>
  </si>
  <si>
    <t>Смена отдельных участков наружной проводки</t>
  </si>
  <si>
    <t>м</t>
  </si>
  <si>
    <t>ТЕР 33-034</t>
  </si>
  <si>
    <t>Просроченная задолженность по Вашему дому по статье "Содержание и текущий ремонт МКД" на конец декабря 2016 г., составляет:</t>
  </si>
  <si>
    <t>Баланс выполненных работ на 01.01.2017 г. ( -долг за предприятием, +долг за населением)</t>
  </si>
  <si>
    <r>
      <t>ПРЭМ Д</t>
    </r>
    <r>
      <rPr>
        <sz val="8"/>
        <rFont val="Arial"/>
        <family val="2"/>
        <charset val="204"/>
      </rPr>
      <t>у</t>
    </r>
    <r>
      <rPr>
        <sz val="10"/>
        <rFont val="Arial"/>
        <family val="2"/>
        <charset val="204"/>
      </rPr>
      <t xml:space="preserve">-65 ГФ Кл. D расходомер электромагнитный </t>
    </r>
  </si>
  <si>
    <t>Смена плавкой вставки в электрощитке</t>
  </si>
  <si>
    <t>Смена вентилей ПП диаметром 20 мм</t>
  </si>
</sst>
</file>

<file path=xl/styles.xml><?xml version="1.0" encoding="utf-8"?>
<styleSheet xmlns="http://schemas.openxmlformats.org/spreadsheetml/2006/main">
  <numFmts count="1">
    <numFmt numFmtId="164" formatCode="0.000"/>
  </numFmts>
  <fonts count="23">
    <font>
      <sz val="10"/>
      <name val="Arial Cyr"/>
      <family val="2"/>
      <charset val="204"/>
    </font>
    <font>
      <b/>
      <sz val="10"/>
      <color rgb="FFFF0000"/>
      <name val="Arial Cyr"/>
      <family val="2"/>
      <charset val="204"/>
    </font>
    <font>
      <sz val="10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indexed="1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4"/>
      <name val="Arial"/>
      <family val="2"/>
      <charset val="204"/>
    </font>
    <font>
      <b/>
      <sz val="11"/>
      <name val="Arial"/>
      <family val="2"/>
      <charset val="204"/>
    </font>
    <font>
      <sz val="10"/>
      <name val="Calibri"/>
      <family val="2"/>
      <charset val="204"/>
    </font>
    <font>
      <sz val="8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26"/>
      </patternFill>
    </fill>
    <fill>
      <patternFill patternType="solid">
        <fgColor rgb="FFFFFF00"/>
        <bgColor indexed="34"/>
      </patternFill>
    </fill>
    <fill>
      <patternFill patternType="solid">
        <fgColor theme="2"/>
        <bgColor indexed="26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3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1" fillId="0" borderId="0" xfId="0" applyFont="1" applyAlignment="1"/>
    <xf numFmtId="0" fontId="0" fillId="3" borderId="0" xfId="0" applyFont="1" applyFill="1"/>
    <xf numFmtId="0" fontId="0" fillId="3" borderId="0" xfId="0" applyFill="1"/>
    <xf numFmtId="4" fontId="0" fillId="0" borderId="0" xfId="0" applyNumberFormat="1"/>
    <xf numFmtId="4" fontId="7" fillId="0" borderId="0" xfId="0" applyNumberFormat="1" applyFont="1"/>
    <xf numFmtId="0" fontId="7" fillId="0" borderId="0" xfId="0" applyFont="1"/>
    <xf numFmtId="164" fontId="0" fillId="0" borderId="0" xfId="0" applyNumberFormat="1"/>
    <xf numFmtId="2" fontId="0" fillId="0" borderId="0" xfId="0" applyNumberFormat="1"/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6" borderId="6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/>
    </xf>
    <xf numFmtId="0" fontId="0" fillId="2" borderId="0" xfId="0" applyFill="1"/>
    <xf numFmtId="0" fontId="4" fillId="2" borderId="1" xfId="0" applyFont="1" applyFill="1" applyBorder="1" applyAlignment="1">
      <alignment horizontal="left" vertical="center" wrapText="1"/>
    </xf>
    <xf numFmtId="0" fontId="0" fillId="10" borderId="0" xfId="0" applyFill="1"/>
    <xf numFmtId="0" fontId="14" fillId="8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 vertical="center"/>
    </xf>
    <xf numFmtId="0" fontId="2" fillId="8" borderId="3" xfId="0" applyFont="1" applyFill="1" applyBorder="1" applyAlignment="1">
      <alignment vertical="center"/>
    </xf>
    <xf numFmtId="4" fontId="2" fillId="8" borderId="8" xfId="0" applyNumberFormat="1" applyFont="1" applyFill="1" applyBorder="1" applyAlignment="1">
      <alignment vertical="center"/>
    </xf>
    <xf numFmtId="0" fontId="2" fillId="8" borderId="3" xfId="0" applyFont="1" applyFill="1" applyBorder="1"/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/>
    </xf>
    <xf numFmtId="4" fontId="2" fillId="4" borderId="2" xfId="0" applyNumberFormat="1" applyFont="1" applyFill="1" applyBorder="1" applyAlignment="1">
      <alignment horizontal="center" vertical="center"/>
    </xf>
    <xf numFmtId="4" fontId="2" fillId="8" borderId="3" xfId="0" applyNumberFormat="1" applyFont="1" applyFill="1" applyBorder="1" applyAlignment="1">
      <alignment horizontal="center" vertical="center"/>
    </xf>
    <xf numFmtId="4" fontId="2" fillId="8" borderId="8" xfId="0" applyNumberFormat="1" applyFont="1" applyFill="1" applyBorder="1" applyAlignment="1">
      <alignment horizontal="center" vertical="center"/>
    </xf>
    <xf numFmtId="4" fontId="2" fillId="4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4" fillId="11" borderId="2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/>
    </xf>
    <xf numFmtId="4" fontId="4" fillId="2" borderId="8" xfId="0" applyNumberFormat="1" applyFont="1" applyFill="1" applyBorder="1" applyAlignment="1">
      <alignment horizontal="center" vertical="center"/>
    </xf>
    <xf numFmtId="4" fontId="15" fillId="4" borderId="1" xfId="0" applyNumberFormat="1" applyFont="1" applyFill="1" applyBorder="1" applyAlignment="1">
      <alignment horizontal="center" vertical="center" wrapText="1"/>
    </xf>
    <xf numFmtId="4" fontId="2" fillId="6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/>
    </xf>
    <xf numFmtId="4" fontId="4" fillId="9" borderId="2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4" fontId="2" fillId="6" borderId="1" xfId="0" applyNumberFormat="1" applyFont="1" applyFill="1" applyBorder="1" applyAlignment="1">
      <alignment horizontal="center" vertical="center"/>
    </xf>
    <xf numFmtId="4" fontId="2" fillId="12" borderId="3" xfId="0" applyNumberFormat="1" applyFont="1" applyFill="1" applyBorder="1" applyAlignment="1">
      <alignment horizontal="center" vertical="center"/>
    </xf>
    <xf numFmtId="4" fontId="2" fillId="4" borderId="3" xfId="0" applyNumberFormat="1" applyFont="1" applyFill="1" applyBorder="1" applyAlignment="1">
      <alignment horizontal="center" vertical="center"/>
    </xf>
    <xf numFmtId="4" fontId="2" fillId="6" borderId="3" xfId="0" applyNumberFormat="1" applyFont="1" applyFill="1" applyBorder="1" applyAlignment="1">
      <alignment horizontal="center" vertical="center"/>
    </xf>
    <xf numFmtId="4" fontId="16" fillId="4" borderId="2" xfId="0" applyNumberFormat="1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4" fontId="4" fillId="10" borderId="1" xfId="0" applyNumberFormat="1" applyFont="1" applyFill="1" applyBorder="1" applyAlignment="1">
      <alignment horizontal="center" vertical="center" wrapText="1"/>
    </xf>
    <xf numFmtId="4" fontId="4" fillId="10" borderId="1" xfId="0" applyNumberFormat="1" applyFont="1" applyFill="1" applyBorder="1" applyAlignment="1">
      <alignment horizontal="center" vertical="center"/>
    </xf>
    <xf numFmtId="4" fontId="4" fillId="10" borderId="3" xfId="0" applyNumberFormat="1" applyFont="1" applyFill="1" applyBorder="1" applyAlignment="1">
      <alignment horizontal="center" vertical="center"/>
    </xf>
    <xf numFmtId="4" fontId="2" fillId="4" borderId="12" xfId="0" applyNumberFormat="1" applyFont="1" applyFill="1" applyBorder="1" applyAlignment="1">
      <alignment horizontal="center" vertical="center"/>
    </xf>
    <xf numFmtId="4" fontId="2" fillId="4" borderId="5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left" vertical="center" wrapText="1"/>
    </xf>
    <xf numFmtId="4" fontId="2" fillId="4" borderId="6" xfId="0" applyNumberFormat="1" applyFont="1" applyFill="1" applyBorder="1" applyAlignment="1">
      <alignment horizontal="center" vertical="center" wrapText="1"/>
    </xf>
    <xf numFmtId="4" fontId="2" fillId="4" borderId="6" xfId="0" applyNumberFormat="1" applyFont="1" applyFill="1" applyBorder="1" applyAlignment="1">
      <alignment horizontal="center" vertical="center"/>
    </xf>
    <xf numFmtId="4" fontId="2" fillId="4" borderId="7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4" fontId="2" fillId="4" borderId="3" xfId="0" applyNumberFormat="1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4" fontId="2" fillId="4" borderId="11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4" fontId="2" fillId="6" borderId="3" xfId="0" applyNumberFormat="1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left" vertical="center" wrapText="1"/>
    </xf>
    <xf numFmtId="4" fontId="4" fillId="10" borderId="3" xfId="0" applyNumberFormat="1" applyFont="1" applyFill="1" applyBorder="1" applyAlignment="1">
      <alignment horizontal="center" vertical="center" wrapText="1"/>
    </xf>
    <xf numFmtId="4" fontId="4" fillId="9" borderId="8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 wrapText="1"/>
    </xf>
    <xf numFmtId="4" fontId="2" fillId="5" borderId="3" xfId="0" applyNumberFormat="1" applyFont="1" applyFill="1" applyBorder="1" applyAlignment="1">
      <alignment horizontal="center" vertical="center"/>
    </xf>
    <xf numFmtId="4" fontId="4" fillId="5" borderId="3" xfId="0" applyNumberFormat="1" applyFont="1" applyFill="1" applyBorder="1" applyAlignment="1">
      <alignment horizontal="center" vertical="center"/>
    </xf>
    <xf numFmtId="1" fontId="2" fillId="4" borderId="3" xfId="0" applyNumberFormat="1" applyFont="1" applyFill="1" applyBorder="1" applyAlignment="1">
      <alignment horizontal="left"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</xf>
    <xf numFmtId="2" fontId="4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>
      <alignment horizontal="left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3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4" fontId="2" fillId="2" borderId="3" xfId="0" applyNumberFormat="1" applyFont="1" applyFill="1" applyBorder="1" applyAlignment="1">
      <alignment horizontal="center" vertical="center"/>
    </xf>
    <xf numFmtId="4" fontId="2" fillId="4" borderId="2" xfId="0" applyNumberFormat="1" applyFont="1" applyFill="1" applyBorder="1" applyAlignment="1">
      <alignment horizontal="center" vertical="center" wrapText="1"/>
    </xf>
    <xf numFmtId="4" fontId="17" fillId="2" borderId="7" xfId="0" applyNumberFormat="1" applyFont="1" applyFill="1" applyBorder="1" applyAlignment="1">
      <alignment horizontal="center" vertical="center"/>
    </xf>
    <xf numFmtId="4" fontId="17" fillId="4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4" fontId="4" fillId="4" borderId="8" xfId="0" applyNumberFormat="1" applyFont="1" applyFill="1" applyBorder="1" applyAlignment="1">
      <alignment horizontal="center" vertical="center"/>
    </xf>
    <xf numFmtId="4" fontId="17" fillId="4" borderId="8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4" fontId="2" fillId="2" borderId="9" xfId="0" applyNumberFormat="1" applyFont="1" applyFill="1" applyBorder="1" applyAlignment="1">
      <alignment horizontal="center" vertical="center"/>
    </xf>
    <xf numFmtId="4" fontId="17" fillId="2" borderId="9" xfId="0" applyNumberFormat="1" applyFont="1" applyFill="1" applyBorder="1" applyAlignment="1">
      <alignment horizontal="center" vertical="center"/>
    </xf>
    <xf numFmtId="4" fontId="4" fillId="2" borderId="10" xfId="0" applyNumberFormat="1" applyFont="1" applyFill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/>
    <xf numFmtId="4" fontId="18" fillId="0" borderId="0" xfId="0" applyNumberFormat="1" applyFont="1"/>
    <xf numFmtId="0" fontId="18" fillId="0" borderId="0" xfId="0" applyFont="1"/>
    <xf numFmtId="0" fontId="19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18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2" fillId="4" borderId="3" xfId="0" applyNumberFormat="1" applyFont="1" applyFill="1" applyBorder="1" applyAlignment="1" applyProtection="1">
      <alignment horizontal="center" vertical="center" wrapText="1"/>
    </xf>
    <xf numFmtId="0" fontId="2" fillId="7" borderId="3" xfId="0" applyNumberFormat="1" applyFont="1" applyFill="1" applyBorder="1" applyAlignment="1" applyProtection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4" fontId="2" fillId="13" borderId="3" xfId="0" applyNumberFormat="1" applyFont="1" applyFill="1" applyBorder="1" applyAlignment="1">
      <alignment horizontal="center" vertical="center" wrapText="1"/>
    </xf>
    <xf numFmtId="4" fontId="2" fillId="14" borderId="8" xfId="0" applyNumberFormat="1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4" fontId="2" fillId="4" borderId="8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4" fontId="4" fillId="9" borderId="3" xfId="0" applyNumberFormat="1" applyFont="1" applyFill="1" applyBorder="1" applyAlignment="1">
      <alignment horizontal="center" vertical="center"/>
    </xf>
    <xf numFmtId="4" fontId="17" fillId="2" borderId="3" xfId="0" applyNumberFormat="1" applyFont="1" applyFill="1" applyBorder="1" applyAlignment="1">
      <alignment horizontal="center" vertical="center"/>
    </xf>
    <xf numFmtId="4" fontId="17" fillId="8" borderId="3" xfId="0" applyNumberFormat="1" applyFont="1" applyFill="1" applyBorder="1" applyAlignment="1">
      <alignment horizontal="center" vertical="center"/>
    </xf>
    <xf numFmtId="4" fontId="4" fillId="8" borderId="3" xfId="0" applyNumberFormat="1" applyFont="1" applyFill="1" applyBorder="1" applyAlignment="1">
      <alignment horizontal="center" vertical="center"/>
    </xf>
    <xf numFmtId="4" fontId="2" fillId="4" borderId="0" xfId="0" applyNumberFormat="1" applyFont="1" applyFill="1" applyBorder="1" applyAlignment="1">
      <alignment horizontal="center" vertical="center" wrapText="1"/>
    </xf>
    <xf numFmtId="4" fontId="0" fillId="8" borderId="3" xfId="0" applyNumberFormat="1" applyFill="1" applyBorder="1" applyAlignment="1">
      <alignment horizontal="center" vertical="center"/>
    </xf>
    <xf numFmtId="0" fontId="0" fillId="15" borderId="0" xfId="0" applyFill="1"/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4" fontId="2" fillId="0" borderId="3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2" fillId="4" borderId="3" xfId="0" applyNumberFormat="1" applyFont="1" applyFill="1" applyBorder="1" applyAlignment="1" applyProtection="1">
      <alignment horizontal="left" vertical="center" wrapText="1"/>
    </xf>
    <xf numFmtId="4" fontId="2" fillId="4" borderId="0" xfId="0" applyNumberFormat="1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2" fillId="10" borderId="19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vertical="center"/>
    </xf>
    <xf numFmtId="4" fontId="2" fillId="2" borderId="22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 applyProtection="1">
      <alignment horizontal="center" vertical="center" wrapText="1"/>
    </xf>
    <xf numFmtId="0" fontId="2" fillId="0" borderId="15" xfId="0" applyNumberFormat="1" applyFont="1" applyFill="1" applyBorder="1" applyAlignment="1" applyProtection="1">
      <alignment horizontal="left" vertical="center" wrapText="1"/>
    </xf>
    <xf numFmtId="0" fontId="2" fillId="0" borderId="21" xfId="0" applyFont="1" applyBorder="1"/>
    <xf numFmtId="0" fontId="0" fillId="0" borderId="0" xfId="0" applyFill="1"/>
    <xf numFmtId="0" fontId="2" fillId="4" borderId="3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left" vertical="center"/>
    </xf>
    <xf numFmtId="0" fontId="8" fillId="4" borderId="3" xfId="0" applyFont="1" applyFill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/>
    </xf>
    <xf numFmtId="2" fontId="9" fillId="0" borderId="13" xfId="0" applyNumberFormat="1" applyFont="1" applyBorder="1" applyAlignment="1">
      <alignment horizontal="center" vertical="center"/>
    </xf>
    <xf numFmtId="2" fontId="9" fillId="0" borderId="14" xfId="0" applyNumberFormat="1" applyFont="1" applyBorder="1" applyAlignment="1">
      <alignment horizontal="center" vertical="center"/>
    </xf>
    <xf numFmtId="4" fontId="9" fillId="0" borderId="8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2" fontId="10" fillId="0" borderId="8" xfId="0" applyNumberFormat="1" applyFont="1" applyBorder="1" applyAlignment="1">
      <alignment horizontal="center" vertical="center"/>
    </xf>
    <xf numFmtId="2" fontId="10" fillId="0" borderId="13" xfId="0" applyNumberFormat="1" applyFont="1" applyBorder="1" applyAlignment="1">
      <alignment horizontal="center" vertical="center"/>
    </xf>
    <xf numFmtId="2" fontId="10" fillId="0" borderId="14" xfId="0" applyNumberFormat="1" applyFont="1" applyBorder="1" applyAlignment="1">
      <alignment horizontal="center" vertical="center"/>
    </xf>
    <xf numFmtId="4" fontId="2" fillId="4" borderId="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AA144"/>
  <sheetViews>
    <sheetView tabSelected="1" view="pageBreakPreview" zoomScaleSheetLayoutView="100" workbookViewId="0">
      <pane ySplit="7" topLeftCell="A122" activePane="bottomLeft" state="frozen"/>
      <selection activeCell="B1" sqref="B1"/>
      <selection pane="bottomLeft" activeCell="H129" sqref="H129"/>
    </sheetView>
  </sheetViews>
  <sheetFormatPr defaultRowHeight="12.75"/>
  <cols>
    <col min="1" max="1" width="14.42578125" customWidth="1"/>
    <col min="2" max="2" width="42.85546875" customWidth="1"/>
    <col min="3" max="3" width="9.140625" customWidth="1"/>
    <col min="4" max="4" width="22" customWidth="1"/>
    <col min="5" max="7" width="10.140625" customWidth="1"/>
    <col min="8" max="8" width="12.28515625" customWidth="1"/>
    <col min="9" max="9" width="10.140625" customWidth="1"/>
    <col min="10" max="10" width="10.7109375" customWidth="1"/>
    <col min="11" max="11" width="10.5703125" customWidth="1"/>
    <col min="12" max="14" width="9.85546875" customWidth="1"/>
    <col min="15" max="15" width="10.42578125" customWidth="1"/>
    <col min="16" max="18" width="10.5703125" customWidth="1"/>
    <col min="19" max="19" width="10.42578125" customWidth="1"/>
    <col min="20" max="20" width="10.5703125" customWidth="1"/>
    <col min="21" max="21" width="12.28515625" customWidth="1"/>
  </cols>
  <sheetData>
    <row r="1" spans="1:21" ht="14.25" customHeight="1"/>
    <row r="3" spans="1:21" ht="18">
      <c r="A3" s="1"/>
      <c r="B3" s="177" t="s">
        <v>0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09"/>
      <c r="N3" s="109"/>
      <c r="O3" s="109"/>
      <c r="P3" s="109"/>
      <c r="Q3" s="109"/>
      <c r="R3" s="109"/>
      <c r="S3" s="109"/>
      <c r="T3" s="109"/>
      <c r="U3" s="109"/>
    </row>
    <row r="4" spans="1:21" ht="33.75" customHeight="1">
      <c r="B4" s="178" t="s">
        <v>1</v>
      </c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09"/>
      <c r="N4" s="109"/>
      <c r="O4" s="109"/>
      <c r="P4" s="109"/>
      <c r="Q4" s="109"/>
      <c r="R4" s="109"/>
      <c r="S4" s="109"/>
      <c r="T4" s="109"/>
      <c r="U4" s="109"/>
    </row>
    <row r="5" spans="1:21" ht="18">
      <c r="B5" s="178" t="s">
        <v>161</v>
      </c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09"/>
      <c r="N5" s="109"/>
      <c r="O5" s="109"/>
      <c r="P5" s="109"/>
      <c r="Q5" s="109"/>
      <c r="R5" s="109"/>
      <c r="S5" s="109"/>
      <c r="T5" s="109"/>
      <c r="U5" s="109"/>
    </row>
    <row r="6" spans="1:21" ht="15">
      <c r="B6" s="179" t="s">
        <v>143</v>
      </c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09"/>
      <c r="N6" s="109"/>
      <c r="O6" s="109"/>
      <c r="P6" s="109"/>
      <c r="Q6" s="109"/>
      <c r="R6" s="109"/>
      <c r="S6" s="109"/>
      <c r="T6" s="109"/>
      <c r="U6" s="109"/>
    </row>
    <row r="7" spans="1:21" ht="50.25" customHeight="1">
      <c r="A7" s="148" t="s">
        <v>2</v>
      </c>
      <c r="B7" s="149" t="s">
        <v>3</v>
      </c>
      <c r="C7" s="149" t="s">
        <v>4</v>
      </c>
      <c r="D7" s="149" t="s">
        <v>5</v>
      </c>
      <c r="E7" s="149" t="s">
        <v>6</v>
      </c>
      <c r="F7" s="149" t="s">
        <v>7</v>
      </c>
      <c r="G7" s="149" t="s">
        <v>8</v>
      </c>
      <c r="H7" s="150" t="s">
        <v>9</v>
      </c>
      <c r="I7" s="25" t="s">
        <v>126</v>
      </c>
      <c r="J7" s="25" t="s">
        <v>127</v>
      </c>
      <c r="K7" s="25" t="s">
        <v>128</v>
      </c>
      <c r="L7" s="25" t="s">
        <v>129</v>
      </c>
      <c r="M7" s="25" t="s">
        <v>149</v>
      </c>
      <c r="N7" s="25" t="s">
        <v>130</v>
      </c>
      <c r="O7" s="25" t="s">
        <v>131</v>
      </c>
      <c r="P7" s="25" t="s">
        <v>132</v>
      </c>
      <c r="Q7" s="25" t="s">
        <v>133</v>
      </c>
      <c r="R7" s="25" t="s">
        <v>134</v>
      </c>
      <c r="S7" s="25" t="s">
        <v>135</v>
      </c>
      <c r="T7" s="25" t="s">
        <v>136</v>
      </c>
      <c r="U7" s="25" t="s">
        <v>144</v>
      </c>
    </row>
    <row r="8" spans="1:21">
      <c r="A8" s="151">
        <v>1</v>
      </c>
      <c r="B8" s="9">
        <v>2</v>
      </c>
      <c r="C8" s="26">
        <v>3</v>
      </c>
      <c r="D8" s="9">
        <v>4</v>
      </c>
      <c r="E8" s="9">
        <v>5</v>
      </c>
      <c r="F8" s="26">
        <v>6</v>
      </c>
      <c r="G8" s="26">
        <v>7</v>
      </c>
      <c r="H8" s="124">
        <v>8</v>
      </c>
      <c r="I8" s="125">
        <v>9</v>
      </c>
      <c r="J8" s="125">
        <v>10</v>
      </c>
      <c r="K8" s="125">
        <v>11</v>
      </c>
      <c r="L8" s="125">
        <v>12</v>
      </c>
      <c r="M8" s="125">
        <v>13</v>
      </c>
      <c r="N8" s="125">
        <v>14</v>
      </c>
      <c r="O8" s="125">
        <v>15</v>
      </c>
      <c r="P8" s="125">
        <v>16</v>
      </c>
      <c r="Q8" s="125">
        <v>17</v>
      </c>
      <c r="R8" s="125">
        <v>18</v>
      </c>
      <c r="S8" s="125">
        <v>19</v>
      </c>
      <c r="T8" s="125">
        <v>20</v>
      </c>
      <c r="U8" s="125">
        <v>21</v>
      </c>
    </row>
    <row r="9" spans="1:21" ht="38.25">
      <c r="A9" s="152"/>
      <c r="B9" s="11" t="s">
        <v>10</v>
      </c>
      <c r="C9" s="26"/>
      <c r="D9" s="12"/>
      <c r="E9" s="12"/>
      <c r="F9" s="26"/>
      <c r="G9" s="26"/>
      <c r="H9" s="27"/>
      <c r="I9" s="28"/>
      <c r="J9" s="28"/>
      <c r="K9" s="28"/>
      <c r="L9" s="28"/>
      <c r="M9" s="29"/>
      <c r="N9" s="30"/>
      <c r="O9" s="30"/>
      <c r="P9" s="30"/>
      <c r="Q9" s="30"/>
      <c r="R9" s="30"/>
      <c r="S9" s="30"/>
      <c r="T9" s="30"/>
      <c r="U9" s="30"/>
    </row>
    <row r="10" spans="1:21">
      <c r="A10" s="152"/>
      <c r="B10" s="11" t="s">
        <v>11</v>
      </c>
      <c r="C10" s="26"/>
      <c r="D10" s="12"/>
      <c r="E10" s="12"/>
      <c r="F10" s="26"/>
      <c r="G10" s="26"/>
      <c r="H10" s="27"/>
      <c r="I10" s="28"/>
      <c r="J10" s="28"/>
      <c r="K10" s="28"/>
      <c r="L10" s="28"/>
      <c r="M10" s="29"/>
      <c r="N10" s="30"/>
      <c r="O10" s="30"/>
      <c r="P10" s="30"/>
      <c r="Q10" s="30"/>
      <c r="R10" s="30"/>
      <c r="S10" s="30"/>
      <c r="T10" s="30"/>
      <c r="U10" s="30"/>
    </row>
    <row r="11" spans="1:21" ht="25.5">
      <c r="A11" s="152" t="s">
        <v>184</v>
      </c>
      <c r="B11" s="12" t="s">
        <v>12</v>
      </c>
      <c r="C11" s="26" t="s">
        <v>13</v>
      </c>
      <c r="D11" s="12" t="s">
        <v>14</v>
      </c>
      <c r="E11" s="31">
        <v>121.14</v>
      </c>
      <c r="F11" s="32">
        <f>SUM(E11*156/100)</f>
        <v>188.97839999999999</v>
      </c>
      <c r="G11" s="32">
        <v>175.38</v>
      </c>
      <c r="H11" s="33">
        <f t="shared" ref="H11:H20" si="0">SUM(F11*G11/1000)</f>
        <v>33.143031792000002</v>
      </c>
      <c r="I11" s="34">
        <f>F11/12*G11</f>
        <v>2761.9193159999995</v>
      </c>
      <c r="J11" s="34">
        <f>F11/12*G11</f>
        <v>2761.9193159999995</v>
      </c>
      <c r="K11" s="34">
        <f>F11/12*G11</f>
        <v>2761.9193159999995</v>
      </c>
      <c r="L11" s="34">
        <f>F11/12*G11</f>
        <v>2761.9193159999995</v>
      </c>
      <c r="M11" s="34">
        <f>F11/12*G11</f>
        <v>2761.9193159999995</v>
      </c>
      <c r="N11" s="34">
        <f>F11/12*G11</f>
        <v>2761.9193159999995</v>
      </c>
      <c r="O11" s="34">
        <f>F11/12*G11</f>
        <v>2761.9193159999995</v>
      </c>
      <c r="P11" s="34">
        <f>F11/12*G11</f>
        <v>2761.9193159999995</v>
      </c>
      <c r="Q11" s="34">
        <f>F11/12*G11</f>
        <v>2761.9193159999995</v>
      </c>
      <c r="R11" s="34">
        <f>F11/12*G11</f>
        <v>2761.9193159999995</v>
      </c>
      <c r="S11" s="34">
        <f>F11/12*G11</f>
        <v>2761.9193159999995</v>
      </c>
      <c r="T11" s="34">
        <f>F11/12*G11</f>
        <v>2761.9193159999995</v>
      </c>
      <c r="U11" s="34">
        <f>SUM(I11:T11)</f>
        <v>33143.031791999994</v>
      </c>
    </row>
    <row r="12" spans="1:21" ht="25.5">
      <c r="A12" s="152" t="s">
        <v>184</v>
      </c>
      <c r="B12" s="12" t="s">
        <v>15</v>
      </c>
      <c r="C12" s="26" t="s">
        <v>13</v>
      </c>
      <c r="D12" s="12" t="s">
        <v>16</v>
      </c>
      <c r="E12" s="31">
        <v>484.56</v>
      </c>
      <c r="F12" s="32">
        <f>SUM(E12*104/100)</f>
        <v>503.94239999999996</v>
      </c>
      <c r="G12" s="32">
        <v>175.38</v>
      </c>
      <c r="H12" s="33">
        <f t="shared" si="0"/>
        <v>88.381418111999992</v>
      </c>
      <c r="I12" s="34">
        <f>F12/12*G12</f>
        <v>7365.118175999999</v>
      </c>
      <c r="J12" s="34">
        <f>F12/12*G12</f>
        <v>7365.118175999999</v>
      </c>
      <c r="K12" s="34">
        <f>F12/12*G12</f>
        <v>7365.118175999999</v>
      </c>
      <c r="L12" s="34">
        <f t="shared" ref="L12:L13" si="1">F12/12*G12</f>
        <v>7365.118175999999</v>
      </c>
      <c r="M12" s="34">
        <f t="shared" ref="M12:M20" si="2">F12/12*G12</f>
        <v>7365.118175999999</v>
      </c>
      <c r="N12" s="34">
        <f t="shared" ref="N12:N20" si="3">F12/12*G12</f>
        <v>7365.118175999999</v>
      </c>
      <c r="O12" s="34">
        <f t="shared" ref="O12:O20" si="4">F12/12*G12</f>
        <v>7365.118175999999</v>
      </c>
      <c r="P12" s="34">
        <f t="shared" ref="P12:P20" si="5">F12/12*G12</f>
        <v>7365.118175999999</v>
      </c>
      <c r="Q12" s="34">
        <f t="shared" ref="Q12:Q20" si="6">F12/12*G12</f>
        <v>7365.118175999999</v>
      </c>
      <c r="R12" s="34">
        <f t="shared" ref="R12:R20" si="7">F12/12*G12</f>
        <v>7365.118175999999</v>
      </c>
      <c r="S12" s="34">
        <f t="shared" ref="S12:S20" si="8">F12/12*G12</f>
        <v>7365.118175999999</v>
      </c>
      <c r="T12" s="34">
        <f t="shared" ref="T12:T20" si="9">F12/12*G12</f>
        <v>7365.118175999999</v>
      </c>
      <c r="U12" s="34">
        <f t="shared" ref="U12:U20" si="10">SUM(I12:T12)</f>
        <v>88381.418111999999</v>
      </c>
    </row>
    <row r="13" spans="1:21" ht="25.5">
      <c r="A13" s="152" t="s">
        <v>185</v>
      </c>
      <c r="B13" s="12" t="s">
        <v>17</v>
      </c>
      <c r="C13" s="26" t="s">
        <v>13</v>
      </c>
      <c r="D13" s="12" t="s">
        <v>18</v>
      </c>
      <c r="E13" s="31">
        <f>SUM(E11+E12)</f>
        <v>605.70000000000005</v>
      </c>
      <c r="F13" s="32">
        <f>SUM(E13*24/100)</f>
        <v>145.36800000000002</v>
      </c>
      <c r="G13" s="32">
        <v>504.5</v>
      </c>
      <c r="H13" s="33">
        <f t="shared" si="0"/>
        <v>73.338156000000012</v>
      </c>
      <c r="I13" s="34">
        <f>F13/12*G13</f>
        <v>6111.5130000000008</v>
      </c>
      <c r="J13" s="34">
        <f>F13/12*G13</f>
        <v>6111.5130000000008</v>
      </c>
      <c r="K13" s="34">
        <f>F13/12*G13</f>
        <v>6111.5130000000008</v>
      </c>
      <c r="L13" s="34">
        <f t="shared" si="1"/>
        <v>6111.5130000000008</v>
      </c>
      <c r="M13" s="34">
        <f t="shared" si="2"/>
        <v>6111.5130000000008</v>
      </c>
      <c r="N13" s="34">
        <f t="shared" si="3"/>
        <v>6111.5130000000008</v>
      </c>
      <c r="O13" s="34">
        <f t="shared" si="4"/>
        <v>6111.5130000000008</v>
      </c>
      <c r="P13" s="34">
        <f t="shared" si="5"/>
        <v>6111.5130000000008</v>
      </c>
      <c r="Q13" s="34">
        <f t="shared" si="6"/>
        <v>6111.5130000000008</v>
      </c>
      <c r="R13" s="34">
        <f t="shared" si="7"/>
        <v>6111.5130000000008</v>
      </c>
      <c r="S13" s="34">
        <f t="shared" si="8"/>
        <v>6111.5130000000008</v>
      </c>
      <c r="T13" s="34">
        <f t="shared" si="9"/>
        <v>6111.5130000000008</v>
      </c>
      <c r="U13" s="34">
        <f t="shared" si="10"/>
        <v>73338.156000000003</v>
      </c>
    </row>
    <row r="14" spans="1:21">
      <c r="A14" s="152" t="s">
        <v>186</v>
      </c>
      <c r="B14" s="12" t="s">
        <v>19</v>
      </c>
      <c r="C14" s="26" t="s">
        <v>20</v>
      </c>
      <c r="D14" s="12" t="s">
        <v>110</v>
      </c>
      <c r="E14" s="31">
        <v>38.4</v>
      </c>
      <c r="F14" s="32">
        <f>SUM(E14/10)</f>
        <v>3.84</v>
      </c>
      <c r="G14" s="32">
        <v>170.16</v>
      </c>
      <c r="H14" s="33">
        <f t="shared" si="0"/>
        <v>0.65341439999999995</v>
      </c>
      <c r="I14" s="34">
        <v>0</v>
      </c>
      <c r="J14" s="34">
        <v>0</v>
      </c>
      <c r="K14" s="34">
        <v>0</v>
      </c>
      <c r="L14" s="34">
        <v>0</v>
      </c>
      <c r="M14" s="34">
        <f>F14/2*G14</f>
        <v>326.7072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f t="shared" si="10"/>
        <v>326.7072</v>
      </c>
    </row>
    <row r="15" spans="1:21">
      <c r="A15" s="152" t="s">
        <v>187</v>
      </c>
      <c r="B15" s="12" t="s">
        <v>21</v>
      </c>
      <c r="C15" s="26" t="s">
        <v>13</v>
      </c>
      <c r="D15" s="12" t="s">
        <v>111</v>
      </c>
      <c r="E15" s="31">
        <v>58.4</v>
      </c>
      <c r="F15" s="32">
        <f>SUM(E15*12/100)</f>
        <v>7.0079999999999991</v>
      </c>
      <c r="G15" s="32">
        <v>217.88</v>
      </c>
      <c r="H15" s="33">
        <f t="shared" si="0"/>
        <v>1.5269030399999997</v>
      </c>
      <c r="I15" s="34">
        <f>F15/12*G15</f>
        <v>127.24191999999999</v>
      </c>
      <c r="J15" s="34">
        <f>F15/12*G15</f>
        <v>127.24191999999999</v>
      </c>
      <c r="K15" s="34">
        <f>F15/12*G15</f>
        <v>127.24191999999999</v>
      </c>
      <c r="L15" s="34">
        <f>F15/12*G15</f>
        <v>127.24191999999999</v>
      </c>
      <c r="M15" s="34">
        <f t="shared" si="2"/>
        <v>127.24191999999999</v>
      </c>
      <c r="N15" s="34">
        <f t="shared" si="3"/>
        <v>127.24191999999999</v>
      </c>
      <c r="O15" s="34">
        <f t="shared" si="4"/>
        <v>127.24191999999999</v>
      </c>
      <c r="P15" s="34">
        <f t="shared" si="5"/>
        <v>127.24191999999999</v>
      </c>
      <c r="Q15" s="34">
        <f t="shared" si="6"/>
        <v>127.24191999999999</v>
      </c>
      <c r="R15" s="34">
        <f t="shared" si="7"/>
        <v>127.24191999999999</v>
      </c>
      <c r="S15" s="34">
        <f t="shared" si="8"/>
        <v>127.24191999999999</v>
      </c>
      <c r="T15" s="34">
        <f t="shared" si="9"/>
        <v>127.24191999999999</v>
      </c>
      <c r="U15" s="34">
        <f t="shared" si="10"/>
        <v>1526.9030399999995</v>
      </c>
    </row>
    <row r="16" spans="1:21">
      <c r="A16" s="152" t="s">
        <v>188</v>
      </c>
      <c r="B16" s="12" t="s">
        <v>22</v>
      </c>
      <c r="C16" s="26" t="s">
        <v>13</v>
      </c>
      <c r="D16" s="12" t="s">
        <v>111</v>
      </c>
      <c r="E16" s="31">
        <v>9.08</v>
      </c>
      <c r="F16" s="32">
        <f>SUM(E16*12/100)</f>
        <v>1.0896000000000001</v>
      </c>
      <c r="G16" s="32">
        <v>216.12</v>
      </c>
      <c r="H16" s="33">
        <f t="shared" si="0"/>
        <v>0.23548435200000004</v>
      </c>
      <c r="I16" s="34">
        <f>F16/12*G16</f>
        <v>19.623696000000002</v>
      </c>
      <c r="J16" s="34">
        <f>F16/12*G16</f>
        <v>19.623696000000002</v>
      </c>
      <c r="K16" s="34">
        <f>F16/12*G16</f>
        <v>19.623696000000002</v>
      </c>
      <c r="L16" s="34">
        <f>F16/12*G16</f>
        <v>19.623696000000002</v>
      </c>
      <c r="M16" s="34">
        <f t="shared" si="2"/>
        <v>19.623696000000002</v>
      </c>
      <c r="N16" s="34">
        <f t="shared" si="3"/>
        <v>19.623696000000002</v>
      </c>
      <c r="O16" s="34">
        <f t="shared" si="4"/>
        <v>19.623696000000002</v>
      </c>
      <c r="P16" s="34">
        <f t="shared" si="5"/>
        <v>19.623696000000002</v>
      </c>
      <c r="Q16" s="34">
        <f t="shared" si="6"/>
        <v>19.623696000000002</v>
      </c>
      <c r="R16" s="34">
        <f t="shared" si="7"/>
        <v>19.623696000000002</v>
      </c>
      <c r="S16" s="34">
        <f t="shared" si="8"/>
        <v>19.623696000000002</v>
      </c>
      <c r="T16" s="34">
        <f t="shared" si="9"/>
        <v>19.623696000000002</v>
      </c>
      <c r="U16" s="34">
        <f t="shared" si="10"/>
        <v>235.48435199999997</v>
      </c>
    </row>
    <row r="17" spans="1:21">
      <c r="A17" s="152" t="s">
        <v>189</v>
      </c>
      <c r="B17" s="12" t="s">
        <v>23</v>
      </c>
      <c r="C17" s="26" t="s">
        <v>24</v>
      </c>
      <c r="D17" s="12" t="s">
        <v>110</v>
      </c>
      <c r="E17" s="31">
        <v>714</v>
      </c>
      <c r="F17" s="32">
        <f>SUM(E17/100)</f>
        <v>7.14</v>
      </c>
      <c r="G17" s="32">
        <v>269.26</v>
      </c>
      <c r="H17" s="33">
        <f t="shared" si="0"/>
        <v>1.9225163999999997</v>
      </c>
      <c r="I17" s="34">
        <v>0</v>
      </c>
      <c r="J17" s="34">
        <v>0</v>
      </c>
      <c r="K17" s="34">
        <v>0</v>
      </c>
      <c r="L17" s="34">
        <v>0</v>
      </c>
      <c r="M17" s="34">
        <f>F17*G17</f>
        <v>1922.5163999999997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f t="shared" si="10"/>
        <v>1922.5163999999997</v>
      </c>
    </row>
    <row r="18" spans="1:21">
      <c r="A18" s="152" t="s">
        <v>190</v>
      </c>
      <c r="B18" s="12" t="s">
        <v>25</v>
      </c>
      <c r="C18" s="26" t="s">
        <v>24</v>
      </c>
      <c r="D18" s="12" t="s">
        <v>110</v>
      </c>
      <c r="E18" s="36">
        <v>96.6</v>
      </c>
      <c r="F18" s="32">
        <f>SUM(E18/100)</f>
        <v>0.96599999999999997</v>
      </c>
      <c r="G18" s="32">
        <v>44.29</v>
      </c>
      <c r="H18" s="33">
        <f t="shared" si="0"/>
        <v>4.2784139999999998E-2</v>
      </c>
      <c r="I18" s="34">
        <v>0</v>
      </c>
      <c r="J18" s="34">
        <v>0</v>
      </c>
      <c r="K18" s="34">
        <v>0</v>
      </c>
      <c r="L18" s="34">
        <v>0</v>
      </c>
      <c r="M18" s="34">
        <f>F18*G18</f>
        <v>42.784140000000001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f t="shared" si="10"/>
        <v>42.784140000000001</v>
      </c>
    </row>
    <row r="19" spans="1:21">
      <c r="A19" s="152" t="s">
        <v>191</v>
      </c>
      <c r="B19" s="12" t="s">
        <v>26</v>
      </c>
      <c r="C19" s="26" t="s">
        <v>24</v>
      </c>
      <c r="D19" s="12" t="s">
        <v>112</v>
      </c>
      <c r="E19" s="31">
        <v>32</v>
      </c>
      <c r="F19" s="32">
        <f>E19*12/100</f>
        <v>3.84</v>
      </c>
      <c r="G19" s="32">
        <v>389.42</v>
      </c>
      <c r="H19" s="33">
        <f t="shared" si="0"/>
        <v>1.4953728000000002</v>
      </c>
      <c r="I19" s="34">
        <f>F19/12*G19</f>
        <v>124.6144</v>
      </c>
      <c r="J19" s="34">
        <f>F19/12*G19</f>
        <v>124.6144</v>
      </c>
      <c r="K19" s="34">
        <f>F19/12*G19</f>
        <v>124.6144</v>
      </c>
      <c r="L19" s="34">
        <f>F19/12*G19</f>
        <v>124.6144</v>
      </c>
      <c r="M19" s="34">
        <f>F19/12*G19</f>
        <v>124.6144</v>
      </c>
      <c r="N19" s="34">
        <f>F19/12*G19</f>
        <v>124.6144</v>
      </c>
      <c r="O19" s="34">
        <f t="shared" si="4"/>
        <v>124.6144</v>
      </c>
      <c r="P19" s="34">
        <f t="shared" si="5"/>
        <v>124.6144</v>
      </c>
      <c r="Q19" s="34">
        <f t="shared" si="6"/>
        <v>124.6144</v>
      </c>
      <c r="R19" s="34">
        <f t="shared" si="7"/>
        <v>124.6144</v>
      </c>
      <c r="S19" s="34">
        <f t="shared" si="8"/>
        <v>124.6144</v>
      </c>
      <c r="T19" s="34">
        <f t="shared" si="9"/>
        <v>124.6144</v>
      </c>
      <c r="U19" s="34">
        <f t="shared" si="10"/>
        <v>1495.3727999999999</v>
      </c>
    </row>
    <row r="20" spans="1:21">
      <c r="A20" s="152" t="s">
        <v>192</v>
      </c>
      <c r="B20" s="12" t="s">
        <v>27</v>
      </c>
      <c r="C20" s="26" t="s">
        <v>24</v>
      </c>
      <c r="D20" s="12" t="s">
        <v>113</v>
      </c>
      <c r="E20" s="31">
        <v>17</v>
      </c>
      <c r="F20" s="32">
        <f>SUM(E20*12/100)</f>
        <v>2.04</v>
      </c>
      <c r="G20" s="32">
        <v>520.79999999999995</v>
      </c>
      <c r="H20" s="33">
        <f t="shared" si="0"/>
        <v>1.062432</v>
      </c>
      <c r="I20" s="34">
        <f>F20/12*G20</f>
        <v>88.536000000000001</v>
      </c>
      <c r="J20" s="34">
        <f>F20/12*G20</f>
        <v>88.536000000000001</v>
      </c>
      <c r="K20" s="34">
        <f>F20/12*G20</f>
        <v>88.536000000000001</v>
      </c>
      <c r="L20" s="34">
        <f>F20/12*G20</f>
        <v>88.536000000000001</v>
      </c>
      <c r="M20" s="34">
        <f t="shared" si="2"/>
        <v>88.536000000000001</v>
      </c>
      <c r="N20" s="34">
        <f t="shared" si="3"/>
        <v>88.536000000000001</v>
      </c>
      <c r="O20" s="34">
        <f t="shared" si="4"/>
        <v>88.536000000000001</v>
      </c>
      <c r="P20" s="34">
        <f t="shared" si="5"/>
        <v>88.536000000000001</v>
      </c>
      <c r="Q20" s="34">
        <f t="shared" si="6"/>
        <v>88.536000000000001</v>
      </c>
      <c r="R20" s="34">
        <f t="shared" si="7"/>
        <v>88.536000000000001</v>
      </c>
      <c r="S20" s="34">
        <f t="shared" si="8"/>
        <v>88.536000000000001</v>
      </c>
      <c r="T20" s="34">
        <f t="shared" si="9"/>
        <v>88.536000000000001</v>
      </c>
      <c r="U20" s="34">
        <f t="shared" si="10"/>
        <v>1062.4320000000002</v>
      </c>
    </row>
    <row r="21" spans="1:21" s="22" customFormat="1">
      <c r="A21" s="153"/>
      <c r="B21" s="23" t="s">
        <v>28</v>
      </c>
      <c r="C21" s="37"/>
      <c r="D21" s="23"/>
      <c r="E21" s="38"/>
      <c r="F21" s="39"/>
      <c r="G21" s="39"/>
      <c r="H21" s="40">
        <f>SUM(H11:H20)</f>
        <v>201.80151303600005</v>
      </c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>
        <f>SUM(U11:U20)</f>
        <v>201474.80583600001</v>
      </c>
    </row>
    <row r="22" spans="1:21">
      <c r="A22" s="152"/>
      <c r="B22" s="14" t="s">
        <v>29</v>
      </c>
      <c r="C22" s="26"/>
      <c r="D22" s="12"/>
      <c r="E22" s="31"/>
      <c r="F22" s="32"/>
      <c r="G22" s="32"/>
      <c r="H22" s="33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</row>
    <row r="23" spans="1:21" ht="25.5" customHeight="1">
      <c r="A23" s="152" t="s">
        <v>193</v>
      </c>
      <c r="B23" s="12" t="s">
        <v>166</v>
      </c>
      <c r="C23" s="26" t="s">
        <v>30</v>
      </c>
      <c r="D23" s="12" t="s">
        <v>114</v>
      </c>
      <c r="E23" s="32">
        <v>2873.1</v>
      </c>
      <c r="F23" s="32">
        <f>SUM(E23*26/1000)</f>
        <v>74.700599999999994</v>
      </c>
      <c r="G23" s="32">
        <v>155.88999999999999</v>
      </c>
      <c r="H23" s="33">
        <f t="shared" ref="H23:H30" si="11">SUM(F23*G23/1000)</f>
        <v>11.645076533999998</v>
      </c>
      <c r="I23" s="34">
        <v>0</v>
      </c>
      <c r="J23" s="34">
        <v>0</v>
      </c>
      <c r="K23" s="34">
        <v>0</v>
      </c>
      <c r="L23" s="34">
        <v>0</v>
      </c>
      <c r="M23" s="34">
        <f>F23/6*G23</f>
        <v>1940.8460889999997</v>
      </c>
      <c r="N23" s="34">
        <f>F23/6*G23</f>
        <v>1940.8460889999997</v>
      </c>
      <c r="O23" s="34">
        <f>F23/6*G23</f>
        <v>1940.8460889999997</v>
      </c>
      <c r="P23" s="34">
        <f>F23/6*G23</f>
        <v>1940.8460889999997</v>
      </c>
      <c r="Q23" s="34">
        <f>F23/6*G23</f>
        <v>1940.8460889999997</v>
      </c>
      <c r="R23" s="34">
        <f>F23/6*G23</f>
        <v>1940.8460889999997</v>
      </c>
      <c r="S23" s="34">
        <v>0</v>
      </c>
      <c r="T23" s="34">
        <v>0</v>
      </c>
      <c r="U23" s="34">
        <f>SUM(I23:T23)</f>
        <v>11645.076533999996</v>
      </c>
    </row>
    <row r="24" spans="1:21" ht="38.25" customHeight="1">
      <c r="A24" s="152" t="s">
        <v>194</v>
      </c>
      <c r="B24" s="12" t="s">
        <v>167</v>
      </c>
      <c r="C24" s="26" t="s">
        <v>30</v>
      </c>
      <c r="D24" s="12" t="s">
        <v>31</v>
      </c>
      <c r="E24" s="32">
        <v>824.5</v>
      </c>
      <c r="F24" s="32">
        <f>SUM(E24*78/1000)</f>
        <v>64.311000000000007</v>
      </c>
      <c r="G24" s="32">
        <v>258.63</v>
      </c>
      <c r="H24" s="33">
        <f t="shared" si="11"/>
        <v>16.632753930000003</v>
      </c>
      <c r="I24" s="34">
        <v>0</v>
      </c>
      <c r="J24" s="34">
        <v>0</v>
      </c>
      <c r="K24" s="34">
        <v>0</v>
      </c>
      <c r="L24" s="34">
        <v>0</v>
      </c>
      <c r="M24" s="34">
        <f t="shared" ref="M24:M26" si="12">F24/6*G24</f>
        <v>2772.1256550000003</v>
      </c>
      <c r="N24" s="34">
        <f t="shared" ref="N24:N26" si="13">F24/6*G24</f>
        <v>2772.1256550000003</v>
      </c>
      <c r="O24" s="34">
        <f t="shared" ref="O24:O26" si="14">F24/6*G24</f>
        <v>2772.1256550000003</v>
      </c>
      <c r="P24" s="34">
        <f t="shared" ref="P24:P26" si="15">F24/6*G24</f>
        <v>2772.1256550000003</v>
      </c>
      <c r="Q24" s="34">
        <f>F24/6*G24</f>
        <v>2772.1256550000003</v>
      </c>
      <c r="R24" s="34">
        <f>F24/6*G24</f>
        <v>2772.1256550000003</v>
      </c>
      <c r="S24" s="34">
        <v>0</v>
      </c>
      <c r="T24" s="34">
        <v>0</v>
      </c>
      <c r="U24" s="34">
        <f t="shared" ref="U24:U30" si="16">SUM(I24:T24)</f>
        <v>16632.753930000003</v>
      </c>
    </row>
    <row r="25" spans="1:21">
      <c r="A25" s="152" t="s">
        <v>195</v>
      </c>
      <c r="B25" s="12" t="s">
        <v>32</v>
      </c>
      <c r="C25" s="26" t="s">
        <v>30</v>
      </c>
      <c r="D25" s="12" t="s">
        <v>33</v>
      </c>
      <c r="E25" s="32">
        <v>2873.1</v>
      </c>
      <c r="F25" s="32">
        <f>SUM(E25/1000)</f>
        <v>2.8731</v>
      </c>
      <c r="G25" s="32">
        <v>3020.33</v>
      </c>
      <c r="H25" s="33">
        <f t="shared" si="11"/>
        <v>8.6777101229999989</v>
      </c>
      <c r="I25" s="34">
        <v>0</v>
      </c>
      <c r="J25" s="34">
        <v>0</v>
      </c>
      <c r="K25" s="34">
        <v>0</v>
      </c>
      <c r="L25" s="34">
        <v>0</v>
      </c>
      <c r="M25" s="34">
        <f>F25*G25</f>
        <v>8677.7101229999989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f t="shared" si="16"/>
        <v>8677.7101229999989</v>
      </c>
    </row>
    <row r="26" spans="1:21">
      <c r="A26" s="152" t="s">
        <v>196</v>
      </c>
      <c r="B26" s="12" t="s">
        <v>34</v>
      </c>
      <c r="C26" s="26" t="s">
        <v>35</v>
      </c>
      <c r="D26" s="12" t="s">
        <v>36</v>
      </c>
      <c r="E26" s="43">
        <v>0.33333333333333331</v>
      </c>
      <c r="F26" s="32">
        <f>155/3</f>
        <v>51.666666666666664</v>
      </c>
      <c r="G26" s="32">
        <v>56.69</v>
      </c>
      <c r="H26" s="33">
        <f>SUM(G26*155/3/1000)</f>
        <v>2.9289833333333331</v>
      </c>
      <c r="I26" s="34">
        <v>0</v>
      </c>
      <c r="J26" s="34">
        <v>0</v>
      </c>
      <c r="K26" s="34">
        <v>0</v>
      </c>
      <c r="L26" s="34">
        <v>0</v>
      </c>
      <c r="M26" s="34">
        <f t="shared" si="12"/>
        <v>488.16388888888883</v>
      </c>
      <c r="N26" s="34">
        <f t="shared" si="13"/>
        <v>488.16388888888883</v>
      </c>
      <c r="O26" s="34">
        <f t="shared" si="14"/>
        <v>488.16388888888883</v>
      </c>
      <c r="P26" s="34">
        <f t="shared" si="15"/>
        <v>488.16388888888883</v>
      </c>
      <c r="Q26" s="34">
        <f t="shared" ref="Q26" si="17">F26/6*G26</f>
        <v>488.16388888888883</v>
      </c>
      <c r="R26" s="34">
        <f t="shared" ref="R26" si="18">F26/6*G26</f>
        <v>488.16388888888883</v>
      </c>
      <c r="S26" s="34">
        <v>0</v>
      </c>
      <c r="T26" s="34">
        <v>0</v>
      </c>
      <c r="U26" s="34">
        <f t="shared" si="16"/>
        <v>2928.9833333333331</v>
      </c>
    </row>
    <row r="27" spans="1:21" ht="12.75" customHeight="1">
      <c r="A27" s="152" t="s">
        <v>197</v>
      </c>
      <c r="B27" s="12" t="s">
        <v>37</v>
      </c>
      <c r="C27" s="26" t="s">
        <v>38</v>
      </c>
      <c r="D27" s="12" t="s">
        <v>39</v>
      </c>
      <c r="E27" s="44">
        <v>0.1</v>
      </c>
      <c r="F27" s="32">
        <f>SUM(E27*365)</f>
        <v>36.5</v>
      </c>
      <c r="G27" s="32">
        <v>147.03</v>
      </c>
      <c r="H27" s="33">
        <f t="shared" si="11"/>
        <v>5.3665950000000002</v>
      </c>
      <c r="I27" s="34">
        <f>F27/12*G27</f>
        <v>447.21625</v>
      </c>
      <c r="J27" s="34">
        <f>F27/12*G27</f>
        <v>447.21625</v>
      </c>
      <c r="K27" s="34">
        <f>F27/12*G27</f>
        <v>447.21625</v>
      </c>
      <c r="L27" s="34">
        <f>F27/12*G27</f>
        <v>447.21625</v>
      </c>
      <c r="M27" s="34">
        <f t="shared" ref="M27" si="19">F27/12*G27</f>
        <v>447.21625</v>
      </c>
      <c r="N27" s="34">
        <f>F27/12*G27</f>
        <v>447.21625</v>
      </c>
      <c r="O27" s="34">
        <f>F27/12*G27</f>
        <v>447.21625</v>
      </c>
      <c r="P27" s="34">
        <f>F27/12*G27</f>
        <v>447.21625</v>
      </c>
      <c r="Q27" s="34">
        <f>F27/12*G27</f>
        <v>447.21625</v>
      </c>
      <c r="R27" s="34">
        <f>F27/12*G27</f>
        <v>447.21625</v>
      </c>
      <c r="S27" s="34">
        <f>F27/12*G27</f>
        <v>447.21625</v>
      </c>
      <c r="T27" s="34">
        <f>F27/12*G27</f>
        <v>447.21625</v>
      </c>
      <c r="U27" s="34">
        <f t="shared" si="16"/>
        <v>5366.5950000000012</v>
      </c>
    </row>
    <row r="28" spans="1:21" ht="12.75" customHeight="1">
      <c r="A28" s="152" t="s">
        <v>198</v>
      </c>
      <c r="B28" s="12" t="s">
        <v>168</v>
      </c>
      <c r="C28" s="26" t="s">
        <v>38</v>
      </c>
      <c r="D28" s="12" t="s">
        <v>40</v>
      </c>
      <c r="E28" s="31"/>
      <c r="F28" s="32">
        <v>2</v>
      </c>
      <c r="G28" s="32">
        <v>191.32</v>
      </c>
      <c r="H28" s="33">
        <f t="shared" si="11"/>
        <v>0.38263999999999998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f t="shared" si="16"/>
        <v>0</v>
      </c>
    </row>
    <row r="29" spans="1:21" ht="12.75" customHeight="1">
      <c r="A29" s="152" t="s">
        <v>123</v>
      </c>
      <c r="B29" s="12" t="s">
        <v>169</v>
      </c>
      <c r="C29" s="26" t="s">
        <v>41</v>
      </c>
      <c r="D29" s="12" t="s">
        <v>40</v>
      </c>
      <c r="E29" s="31"/>
      <c r="F29" s="32">
        <v>3</v>
      </c>
      <c r="G29" s="32">
        <v>1136.33</v>
      </c>
      <c r="H29" s="33">
        <f t="shared" si="11"/>
        <v>3.4089899999999997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f t="shared" si="16"/>
        <v>0</v>
      </c>
    </row>
    <row r="30" spans="1:21">
      <c r="A30" s="152"/>
      <c r="B30" s="45" t="s">
        <v>42</v>
      </c>
      <c r="C30" s="26" t="s">
        <v>43</v>
      </c>
      <c r="D30" s="45" t="s">
        <v>44</v>
      </c>
      <c r="E30" s="31">
        <v>4394</v>
      </c>
      <c r="F30" s="32">
        <f>SUM(E30*12)</f>
        <v>52728</v>
      </c>
      <c r="G30" s="32">
        <v>4.53</v>
      </c>
      <c r="H30" s="33">
        <f t="shared" si="11"/>
        <v>238.85784000000004</v>
      </c>
      <c r="I30" s="34">
        <f>F30/12*G30</f>
        <v>19904.82</v>
      </c>
      <c r="J30" s="34">
        <f>F30/12*G30</f>
        <v>19904.82</v>
      </c>
      <c r="K30" s="34">
        <f>F30/12*G30</f>
        <v>19904.82</v>
      </c>
      <c r="L30" s="34">
        <f>F30/12*G30</f>
        <v>19904.82</v>
      </c>
      <c r="M30" s="34">
        <f>F30/12*G30</f>
        <v>19904.82</v>
      </c>
      <c r="N30" s="34">
        <f>F30/12*G30</f>
        <v>19904.82</v>
      </c>
      <c r="O30" s="34">
        <f>F30/12*G30</f>
        <v>19904.82</v>
      </c>
      <c r="P30" s="34">
        <f t="shared" ref="P30" si="20">F30/12*G30</f>
        <v>19904.82</v>
      </c>
      <c r="Q30" s="34">
        <f t="shared" ref="Q30" si="21">F30/12*G30</f>
        <v>19904.82</v>
      </c>
      <c r="R30" s="34">
        <f t="shared" ref="R30" si="22">F30/12*G30</f>
        <v>19904.82</v>
      </c>
      <c r="S30" s="34">
        <f t="shared" ref="S30" si="23">F30/12*G30</f>
        <v>19904.82</v>
      </c>
      <c r="T30" s="34">
        <f t="shared" ref="T30" si="24">F30/12*G30</f>
        <v>19904.82</v>
      </c>
      <c r="U30" s="34">
        <f t="shared" si="16"/>
        <v>238857.84000000005</v>
      </c>
    </row>
    <row r="31" spans="1:21" s="22" customFormat="1">
      <c r="A31" s="153"/>
      <c r="B31" s="23" t="s">
        <v>28</v>
      </c>
      <c r="C31" s="37"/>
      <c r="D31" s="23"/>
      <c r="E31" s="38"/>
      <c r="F31" s="39"/>
      <c r="G31" s="39"/>
      <c r="H31" s="46">
        <f>SUM(H23:H30)</f>
        <v>287.9005889203334</v>
      </c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>
        <f>SUM(U23:U30)</f>
        <v>284108.95892033336</v>
      </c>
    </row>
    <row r="32" spans="1:21">
      <c r="A32" s="152"/>
      <c r="B32" s="14" t="s">
        <v>45</v>
      </c>
      <c r="C32" s="26"/>
      <c r="D32" s="12"/>
      <c r="E32" s="31"/>
      <c r="F32" s="32"/>
      <c r="G32" s="32"/>
      <c r="H32" s="33" t="s">
        <v>44</v>
      </c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</row>
    <row r="33" spans="1:21" ht="12.75" customHeight="1">
      <c r="A33" s="152" t="s">
        <v>123</v>
      </c>
      <c r="B33" s="15" t="s">
        <v>46</v>
      </c>
      <c r="C33" s="26" t="s">
        <v>41</v>
      </c>
      <c r="D33" s="12"/>
      <c r="E33" s="31"/>
      <c r="F33" s="32">
        <v>15</v>
      </c>
      <c r="G33" s="32">
        <v>1527.22</v>
      </c>
      <c r="H33" s="33">
        <f t="shared" ref="H33:H38" si="25">SUM(F33*G33/1000)</f>
        <v>22.908300000000001</v>
      </c>
      <c r="I33" s="34">
        <f t="shared" ref="I33:I38" si="26">F33/6*G33</f>
        <v>3818.05</v>
      </c>
      <c r="J33" s="34">
        <f t="shared" ref="J33:J38" si="27">F33/6*G33</f>
        <v>3818.05</v>
      </c>
      <c r="K33" s="34">
        <f t="shared" ref="K33:K38" si="28">F33/6*G33</f>
        <v>3818.05</v>
      </c>
      <c r="L33" s="34">
        <f>F33/6*G33</f>
        <v>3818.05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f>F33/6*G33</f>
        <v>3818.05</v>
      </c>
      <c r="T33" s="34">
        <f>F33/6*G33</f>
        <v>3818.05</v>
      </c>
      <c r="U33" s="34">
        <f>SUM(I33:T33)</f>
        <v>22908.3</v>
      </c>
    </row>
    <row r="34" spans="1:21" s="2" customFormat="1">
      <c r="A34" s="154" t="s">
        <v>199</v>
      </c>
      <c r="B34" s="15" t="s">
        <v>47</v>
      </c>
      <c r="C34" s="47" t="s">
        <v>48</v>
      </c>
      <c r="D34" s="15" t="s">
        <v>49</v>
      </c>
      <c r="E34" s="48">
        <v>824.5</v>
      </c>
      <c r="F34" s="48">
        <f>SUM(E34*50/1000)</f>
        <v>41.225000000000001</v>
      </c>
      <c r="G34" s="48">
        <v>2102.71</v>
      </c>
      <c r="H34" s="33">
        <f t="shared" si="25"/>
        <v>86.684219749999997</v>
      </c>
      <c r="I34" s="49">
        <f t="shared" si="26"/>
        <v>14447.369958333335</v>
      </c>
      <c r="J34" s="49">
        <f t="shared" si="27"/>
        <v>14447.369958333335</v>
      </c>
      <c r="K34" s="49">
        <f t="shared" si="28"/>
        <v>14447.369958333335</v>
      </c>
      <c r="L34" s="34">
        <f t="shared" ref="L34:L38" si="29">F34/6*G34</f>
        <v>14447.369958333335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f t="shared" ref="S34:S38" si="30">F34/6*G34</f>
        <v>14447.369958333335</v>
      </c>
      <c r="T34" s="34">
        <f t="shared" ref="T34:T38" si="31">F34/6*G34</f>
        <v>14447.369958333335</v>
      </c>
      <c r="U34" s="34">
        <f t="shared" ref="U34:U38" si="32">SUM(I34:T34)</f>
        <v>86684.219750000004</v>
      </c>
    </row>
    <row r="35" spans="1:21" ht="24.75" customHeight="1">
      <c r="A35" s="152" t="s">
        <v>200</v>
      </c>
      <c r="B35" s="12" t="s">
        <v>170</v>
      </c>
      <c r="C35" s="26" t="s">
        <v>48</v>
      </c>
      <c r="D35" s="12" t="s">
        <v>50</v>
      </c>
      <c r="E35" s="32">
        <v>188</v>
      </c>
      <c r="F35" s="48">
        <f>SUM(E35*155/1000)</f>
        <v>29.14</v>
      </c>
      <c r="G35" s="32">
        <v>350.75</v>
      </c>
      <c r="H35" s="33">
        <f t="shared" si="25"/>
        <v>10.220855</v>
      </c>
      <c r="I35" s="34">
        <f t="shared" si="26"/>
        <v>1703.4758333333332</v>
      </c>
      <c r="J35" s="34">
        <f t="shared" si="27"/>
        <v>1703.4758333333332</v>
      </c>
      <c r="K35" s="34">
        <f t="shared" si="28"/>
        <v>1703.4758333333332</v>
      </c>
      <c r="L35" s="34">
        <f t="shared" si="29"/>
        <v>1703.4758333333332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f t="shared" si="30"/>
        <v>1703.4758333333332</v>
      </c>
      <c r="T35" s="34">
        <f t="shared" si="31"/>
        <v>1703.4758333333332</v>
      </c>
      <c r="U35" s="34">
        <f t="shared" si="32"/>
        <v>10220.855</v>
      </c>
    </row>
    <row r="36" spans="1:21" ht="51" customHeight="1">
      <c r="A36" s="152" t="s">
        <v>201</v>
      </c>
      <c r="B36" s="12" t="s">
        <v>171</v>
      </c>
      <c r="C36" s="26" t="s">
        <v>30</v>
      </c>
      <c r="D36" s="12" t="s">
        <v>115</v>
      </c>
      <c r="E36" s="32">
        <v>188</v>
      </c>
      <c r="F36" s="48">
        <f>SUM(E36*12/1000)</f>
        <v>2.2559999999999998</v>
      </c>
      <c r="G36" s="32">
        <v>5803.28</v>
      </c>
      <c r="H36" s="33">
        <f t="shared" si="25"/>
        <v>13.092199679999998</v>
      </c>
      <c r="I36" s="34">
        <f t="shared" si="26"/>
        <v>2182.0332799999996</v>
      </c>
      <c r="J36" s="34">
        <f t="shared" si="27"/>
        <v>2182.0332799999996</v>
      </c>
      <c r="K36" s="34">
        <f t="shared" si="28"/>
        <v>2182.0332799999996</v>
      </c>
      <c r="L36" s="34">
        <f t="shared" si="29"/>
        <v>2182.0332799999996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f t="shared" si="30"/>
        <v>2182.0332799999996</v>
      </c>
      <c r="T36" s="34">
        <f t="shared" si="31"/>
        <v>2182.0332799999996</v>
      </c>
      <c r="U36" s="34">
        <f t="shared" si="32"/>
        <v>13092.199679999998</v>
      </c>
    </row>
    <row r="37" spans="1:21" ht="12.75" customHeight="1">
      <c r="A37" s="152" t="s">
        <v>202</v>
      </c>
      <c r="B37" s="12" t="s">
        <v>172</v>
      </c>
      <c r="C37" s="26" t="s">
        <v>30</v>
      </c>
      <c r="D37" s="12" t="s">
        <v>51</v>
      </c>
      <c r="E37" s="32">
        <v>188</v>
      </c>
      <c r="F37" s="48">
        <f>SUM(E37*45/1000)</f>
        <v>8.4600000000000009</v>
      </c>
      <c r="G37" s="32">
        <v>428.7</v>
      </c>
      <c r="H37" s="33">
        <f t="shared" si="25"/>
        <v>3.6268020000000001</v>
      </c>
      <c r="I37" s="34">
        <f t="shared" si="26"/>
        <v>604.4670000000001</v>
      </c>
      <c r="J37" s="34">
        <f t="shared" si="27"/>
        <v>604.4670000000001</v>
      </c>
      <c r="K37" s="34">
        <f t="shared" si="28"/>
        <v>604.4670000000001</v>
      </c>
      <c r="L37" s="34">
        <f t="shared" si="29"/>
        <v>604.4670000000001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f t="shared" si="30"/>
        <v>604.4670000000001</v>
      </c>
      <c r="T37" s="34">
        <f t="shared" si="31"/>
        <v>604.4670000000001</v>
      </c>
      <c r="U37" s="34">
        <f t="shared" si="32"/>
        <v>3626.8020000000006</v>
      </c>
    </row>
    <row r="38" spans="1:21" s="3" customFormat="1">
      <c r="A38" s="154"/>
      <c r="B38" s="15" t="s">
        <v>173</v>
      </c>
      <c r="C38" s="47" t="s">
        <v>38</v>
      </c>
      <c r="D38" s="15"/>
      <c r="E38" s="44"/>
      <c r="F38" s="48">
        <v>0.9</v>
      </c>
      <c r="G38" s="48">
        <v>798</v>
      </c>
      <c r="H38" s="33">
        <f t="shared" si="25"/>
        <v>0.71820000000000006</v>
      </c>
      <c r="I38" s="49">
        <f t="shared" si="26"/>
        <v>119.69999999999999</v>
      </c>
      <c r="J38" s="49">
        <f t="shared" si="27"/>
        <v>119.69999999999999</v>
      </c>
      <c r="K38" s="49">
        <f t="shared" si="28"/>
        <v>119.69999999999999</v>
      </c>
      <c r="L38" s="34">
        <f t="shared" si="29"/>
        <v>119.69999999999999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f t="shared" si="30"/>
        <v>119.69999999999999</v>
      </c>
      <c r="T38" s="34">
        <f t="shared" si="31"/>
        <v>119.69999999999999</v>
      </c>
      <c r="U38" s="34">
        <f t="shared" si="32"/>
        <v>718.2</v>
      </c>
    </row>
    <row r="39" spans="1:21" s="22" customFormat="1">
      <c r="A39" s="153"/>
      <c r="B39" s="23" t="s">
        <v>28</v>
      </c>
      <c r="C39" s="37"/>
      <c r="D39" s="23"/>
      <c r="E39" s="38"/>
      <c r="F39" s="39" t="s">
        <v>44</v>
      </c>
      <c r="G39" s="39"/>
      <c r="H39" s="46">
        <f>SUM(H33:H38)</f>
        <v>137.25057643</v>
      </c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>
        <f>SUM(U33:U38)</f>
        <v>137250.57643000002</v>
      </c>
    </row>
    <row r="40" spans="1:21">
      <c r="A40" s="152"/>
      <c r="B40" s="16" t="s">
        <v>52</v>
      </c>
      <c r="C40" s="26"/>
      <c r="D40" s="12"/>
      <c r="E40" s="31"/>
      <c r="F40" s="32"/>
      <c r="G40" s="32"/>
      <c r="H40" s="33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</row>
    <row r="41" spans="1:21">
      <c r="A41" s="152" t="s">
        <v>211</v>
      </c>
      <c r="B41" s="12" t="s">
        <v>181</v>
      </c>
      <c r="C41" s="26" t="s">
        <v>30</v>
      </c>
      <c r="D41" s="12" t="s">
        <v>53</v>
      </c>
      <c r="E41" s="31">
        <v>1609.3</v>
      </c>
      <c r="F41" s="32">
        <f>SUM(E41*2/1000)</f>
        <v>3.2185999999999999</v>
      </c>
      <c r="G41" s="50">
        <v>910.17</v>
      </c>
      <c r="H41" s="33">
        <f t="shared" ref="H41:H51" si="33">SUM(F41*G41/1000)</f>
        <v>2.9294731619999999</v>
      </c>
      <c r="I41" s="34">
        <v>0</v>
      </c>
      <c r="J41" s="34">
        <v>0</v>
      </c>
      <c r="K41" s="34">
        <v>0</v>
      </c>
      <c r="L41" s="34">
        <v>0</v>
      </c>
      <c r="M41" s="34">
        <f>F41/2*G41</f>
        <v>1464.7365809999999</v>
      </c>
      <c r="N41" s="34">
        <v>0</v>
      </c>
      <c r="O41" s="34">
        <v>0</v>
      </c>
      <c r="P41" s="34">
        <v>0</v>
      </c>
      <c r="Q41" s="34">
        <f>F41/2*G41</f>
        <v>1464.7365809999999</v>
      </c>
      <c r="R41" s="34">
        <v>0</v>
      </c>
      <c r="S41" s="34">
        <v>0</v>
      </c>
      <c r="T41" s="34">
        <v>0</v>
      </c>
      <c r="U41" s="34">
        <f>SUM(I41:T41)</f>
        <v>2929.4731619999998</v>
      </c>
    </row>
    <row r="42" spans="1:21">
      <c r="A42" s="152" t="s">
        <v>203</v>
      </c>
      <c r="B42" s="12" t="s">
        <v>54</v>
      </c>
      <c r="C42" s="26" t="s">
        <v>30</v>
      </c>
      <c r="D42" s="12" t="s">
        <v>53</v>
      </c>
      <c r="E42" s="31">
        <v>742</v>
      </c>
      <c r="F42" s="32">
        <f>SUM(E42*2/1000)</f>
        <v>1.484</v>
      </c>
      <c r="G42" s="50">
        <v>579.48</v>
      </c>
      <c r="H42" s="33">
        <f t="shared" si="33"/>
        <v>0.85994831999999999</v>
      </c>
      <c r="I42" s="34">
        <v>0</v>
      </c>
      <c r="J42" s="34">
        <v>0</v>
      </c>
      <c r="K42" s="34">
        <v>0</v>
      </c>
      <c r="L42" s="34">
        <v>0</v>
      </c>
      <c r="M42" s="34">
        <f t="shared" ref="M42:M45" si="34">F42/2*G42</f>
        <v>429.97415999999998</v>
      </c>
      <c r="N42" s="34">
        <v>0</v>
      </c>
      <c r="O42" s="34">
        <v>0</v>
      </c>
      <c r="P42" s="34">
        <v>0</v>
      </c>
      <c r="Q42" s="34">
        <f t="shared" ref="Q42:Q45" si="35">F42/2*G42</f>
        <v>429.97415999999998</v>
      </c>
      <c r="R42" s="34">
        <v>0</v>
      </c>
      <c r="S42" s="34">
        <v>0</v>
      </c>
      <c r="T42" s="34">
        <v>0</v>
      </c>
      <c r="U42" s="34">
        <f t="shared" ref="U42:U50" si="36">SUM(I42:T42)</f>
        <v>859.94831999999997</v>
      </c>
    </row>
    <row r="43" spans="1:21" ht="12.75" customHeight="1">
      <c r="A43" s="152" t="s">
        <v>204</v>
      </c>
      <c r="B43" s="12" t="s">
        <v>55</v>
      </c>
      <c r="C43" s="26" t="s">
        <v>30</v>
      </c>
      <c r="D43" s="12" t="s">
        <v>53</v>
      </c>
      <c r="E43" s="31">
        <v>4989.8100000000004</v>
      </c>
      <c r="F43" s="32">
        <f>SUM(E43*2/1000)</f>
        <v>9.9796200000000006</v>
      </c>
      <c r="G43" s="50">
        <v>579.48</v>
      </c>
      <c r="H43" s="33">
        <f t="shared" si="33"/>
        <v>5.7829901976000002</v>
      </c>
      <c r="I43" s="34">
        <v>0</v>
      </c>
      <c r="J43" s="34">
        <v>0</v>
      </c>
      <c r="K43" s="34">
        <v>0</v>
      </c>
      <c r="L43" s="34">
        <v>0</v>
      </c>
      <c r="M43" s="34">
        <f t="shared" si="34"/>
        <v>2891.4950988000001</v>
      </c>
      <c r="N43" s="34">
        <v>0</v>
      </c>
      <c r="O43" s="34">
        <v>0</v>
      </c>
      <c r="P43" s="34">
        <v>0</v>
      </c>
      <c r="Q43" s="34">
        <f t="shared" si="35"/>
        <v>2891.4950988000001</v>
      </c>
      <c r="R43" s="34">
        <v>0</v>
      </c>
      <c r="S43" s="34">
        <v>0</v>
      </c>
      <c r="T43" s="34">
        <v>0</v>
      </c>
      <c r="U43" s="34">
        <f t="shared" si="36"/>
        <v>5782.9901976000001</v>
      </c>
    </row>
    <row r="44" spans="1:21">
      <c r="A44" s="152" t="s">
        <v>205</v>
      </c>
      <c r="B44" s="12" t="s">
        <v>56</v>
      </c>
      <c r="C44" s="26" t="s">
        <v>30</v>
      </c>
      <c r="D44" s="12" t="s">
        <v>53</v>
      </c>
      <c r="E44" s="31">
        <v>2654.21</v>
      </c>
      <c r="F44" s="32">
        <f>SUM(E44*2/1000)</f>
        <v>5.3084199999999999</v>
      </c>
      <c r="G44" s="50">
        <v>606.77</v>
      </c>
      <c r="H44" s="33">
        <f t="shared" si="33"/>
        <v>3.2209900033999999</v>
      </c>
      <c r="I44" s="34">
        <v>0</v>
      </c>
      <c r="J44" s="34">
        <v>0</v>
      </c>
      <c r="K44" s="34">
        <v>0</v>
      </c>
      <c r="L44" s="34">
        <v>0</v>
      </c>
      <c r="M44" s="34">
        <f t="shared" si="34"/>
        <v>1610.4950016999999</v>
      </c>
      <c r="N44" s="34">
        <v>0</v>
      </c>
      <c r="O44" s="34">
        <v>0</v>
      </c>
      <c r="P44" s="34">
        <v>0</v>
      </c>
      <c r="Q44" s="34">
        <f t="shared" si="35"/>
        <v>1610.4950016999999</v>
      </c>
      <c r="R44" s="34">
        <v>0</v>
      </c>
      <c r="S44" s="34">
        <v>0</v>
      </c>
      <c r="T44" s="34">
        <v>0</v>
      </c>
      <c r="U44" s="34">
        <f t="shared" si="36"/>
        <v>3220.9900033999998</v>
      </c>
    </row>
    <row r="45" spans="1:21">
      <c r="A45" s="152" t="s">
        <v>206</v>
      </c>
      <c r="B45" s="12" t="s">
        <v>57</v>
      </c>
      <c r="C45" s="26" t="s">
        <v>58</v>
      </c>
      <c r="D45" s="12" t="s">
        <v>53</v>
      </c>
      <c r="E45" s="31">
        <v>128.53</v>
      </c>
      <c r="F45" s="32">
        <f>SUM(E45*2/100)</f>
        <v>2.5706000000000002</v>
      </c>
      <c r="G45" s="50">
        <v>72.81</v>
      </c>
      <c r="H45" s="33">
        <f t="shared" si="33"/>
        <v>0.18716538600000002</v>
      </c>
      <c r="I45" s="34">
        <v>0</v>
      </c>
      <c r="J45" s="34">
        <v>0</v>
      </c>
      <c r="K45" s="34">
        <v>0</v>
      </c>
      <c r="L45" s="34">
        <v>0</v>
      </c>
      <c r="M45" s="34">
        <f t="shared" si="34"/>
        <v>93.582693000000006</v>
      </c>
      <c r="N45" s="34">
        <v>0</v>
      </c>
      <c r="O45" s="34">
        <v>0</v>
      </c>
      <c r="P45" s="34">
        <v>0</v>
      </c>
      <c r="Q45" s="34">
        <f t="shared" si="35"/>
        <v>93.582693000000006</v>
      </c>
      <c r="R45" s="34">
        <v>0</v>
      </c>
      <c r="S45" s="34">
        <v>0</v>
      </c>
      <c r="T45" s="34">
        <v>0</v>
      </c>
      <c r="U45" s="34">
        <f t="shared" si="36"/>
        <v>187.16538600000001</v>
      </c>
    </row>
    <row r="46" spans="1:21" ht="25.5">
      <c r="A46" s="152" t="s">
        <v>207</v>
      </c>
      <c r="B46" s="12" t="s">
        <v>59</v>
      </c>
      <c r="C46" s="26" t="s">
        <v>30</v>
      </c>
      <c r="D46" s="12" t="s">
        <v>60</v>
      </c>
      <c r="E46" s="31">
        <v>2026.8</v>
      </c>
      <c r="F46" s="32">
        <f>SUM(E46*5/1000)</f>
        <v>10.134</v>
      </c>
      <c r="G46" s="50">
        <v>1213.55</v>
      </c>
      <c r="H46" s="33">
        <f t="shared" si="33"/>
        <v>12.2981157</v>
      </c>
      <c r="I46" s="34">
        <f>F46/5*G46</f>
        <v>2459.6231400000001</v>
      </c>
      <c r="J46" s="34">
        <f>F46/5*G46</f>
        <v>2459.6231400000001</v>
      </c>
      <c r="K46" s="34">
        <v>0</v>
      </c>
      <c r="L46" s="34">
        <v>0</v>
      </c>
      <c r="M46" s="34">
        <f>F46/5*G46</f>
        <v>2459.6231400000001</v>
      </c>
      <c r="N46" s="34">
        <v>0</v>
      </c>
      <c r="O46" s="34">
        <v>0</v>
      </c>
      <c r="P46" s="34">
        <v>0</v>
      </c>
      <c r="Q46" s="34">
        <f>F46/5*G46</f>
        <v>2459.6231400000001</v>
      </c>
      <c r="R46" s="34">
        <v>0</v>
      </c>
      <c r="S46" s="34">
        <v>0</v>
      </c>
      <c r="T46" s="34">
        <f>F46/5*G46</f>
        <v>2459.6231400000001</v>
      </c>
      <c r="U46" s="34">
        <f t="shared" si="36"/>
        <v>12298.1157</v>
      </c>
    </row>
    <row r="47" spans="1:21" ht="38.25" customHeight="1">
      <c r="A47" s="152" t="s">
        <v>208</v>
      </c>
      <c r="B47" s="12" t="s">
        <v>61</v>
      </c>
      <c r="C47" s="26" t="s">
        <v>30</v>
      </c>
      <c r="D47" s="12" t="s">
        <v>53</v>
      </c>
      <c r="E47" s="31">
        <v>2026.8</v>
      </c>
      <c r="F47" s="32">
        <f>SUM(E47*2/1000)</f>
        <v>4.0536000000000003</v>
      </c>
      <c r="G47" s="50">
        <v>1213.55</v>
      </c>
      <c r="H47" s="33">
        <f t="shared" si="33"/>
        <v>4.9192462800000003</v>
      </c>
      <c r="I47" s="34">
        <v>0</v>
      </c>
      <c r="J47" s="34">
        <v>0</v>
      </c>
      <c r="K47" s="34">
        <v>0</v>
      </c>
      <c r="L47" s="34">
        <v>0</v>
      </c>
      <c r="M47" s="34">
        <f>F47/2*G47</f>
        <v>2459.6231400000001</v>
      </c>
      <c r="N47" s="34">
        <v>0</v>
      </c>
      <c r="O47" s="34">
        <v>0</v>
      </c>
      <c r="P47" s="34">
        <v>0</v>
      </c>
      <c r="Q47" s="34">
        <v>0</v>
      </c>
      <c r="R47" s="34">
        <f>F47/2*G47</f>
        <v>2459.6231400000001</v>
      </c>
      <c r="S47" s="34">
        <v>0</v>
      </c>
      <c r="T47" s="34">
        <v>0</v>
      </c>
      <c r="U47" s="34">
        <f t="shared" si="36"/>
        <v>4919.2462800000003</v>
      </c>
    </row>
    <row r="48" spans="1:21" ht="25.5" customHeight="1">
      <c r="A48" s="152" t="s">
        <v>209</v>
      </c>
      <c r="B48" s="12" t="s">
        <v>62</v>
      </c>
      <c r="C48" s="26" t="s">
        <v>63</v>
      </c>
      <c r="D48" s="12" t="s">
        <v>53</v>
      </c>
      <c r="E48" s="31">
        <v>40</v>
      </c>
      <c r="F48" s="32">
        <f>SUM(E48*2/100)</f>
        <v>0.8</v>
      </c>
      <c r="G48" s="50">
        <v>2730.49</v>
      </c>
      <c r="H48" s="33">
        <f t="shared" si="33"/>
        <v>2.1843919999999999</v>
      </c>
      <c r="I48" s="34">
        <v>0</v>
      </c>
      <c r="J48" s="34">
        <v>0</v>
      </c>
      <c r="K48" s="34">
        <v>0</v>
      </c>
      <c r="L48" s="34">
        <v>0</v>
      </c>
      <c r="M48" s="34">
        <f t="shared" ref="M48" si="37">F48/2*G48</f>
        <v>1092.1959999999999</v>
      </c>
      <c r="N48" s="34">
        <v>0</v>
      </c>
      <c r="O48" s="34">
        <v>0</v>
      </c>
      <c r="P48" s="34">
        <v>0</v>
      </c>
      <c r="Q48" s="34">
        <v>0</v>
      </c>
      <c r="R48" s="34">
        <f>F48/2*G48</f>
        <v>1092.1959999999999</v>
      </c>
      <c r="S48" s="34">
        <v>0</v>
      </c>
      <c r="T48" s="34">
        <v>0</v>
      </c>
      <c r="U48" s="34">
        <f t="shared" si="36"/>
        <v>2184.3919999999998</v>
      </c>
    </row>
    <row r="49" spans="1:21">
      <c r="A49" s="152" t="s">
        <v>210</v>
      </c>
      <c r="B49" s="12" t="s">
        <v>64</v>
      </c>
      <c r="C49" s="26" t="s">
        <v>65</v>
      </c>
      <c r="D49" s="12" t="s">
        <v>53</v>
      </c>
      <c r="E49" s="31">
        <v>1</v>
      </c>
      <c r="F49" s="32">
        <v>0.02</v>
      </c>
      <c r="G49" s="50">
        <v>5652.13</v>
      </c>
      <c r="H49" s="33">
        <f t="shared" si="33"/>
        <v>0.11304260000000001</v>
      </c>
      <c r="I49" s="34">
        <v>0</v>
      </c>
      <c r="J49" s="34">
        <v>0</v>
      </c>
      <c r="K49" s="34">
        <v>0</v>
      </c>
      <c r="L49" s="34">
        <v>0</v>
      </c>
      <c r="M49" s="34">
        <f>F49/2*G49</f>
        <v>56.521300000000004</v>
      </c>
      <c r="N49" s="34">
        <v>0</v>
      </c>
      <c r="O49" s="34">
        <v>0</v>
      </c>
      <c r="P49" s="34">
        <v>0</v>
      </c>
      <c r="Q49" s="34">
        <v>0</v>
      </c>
      <c r="R49" s="34">
        <f>F49/2*G49</f>
        <v>56.521300000000004</v>
      </c>
      <c r="S49" s="34">
        <v>0</v>
      </c>
      <c r="T49" s="34">
        <v>0</v>
      </c>
      <c r="U49" s="34">
        <f t="shared" si="36"/>
        <v>113.04260000000001</v>
      </c>
    </row>
    <row r="50" spans="1:21" ht="13.5" customHeight="1">
      <c r="A50" s="152" t="s">
        <v>67</v>
      </c>
      <c r="B50" s="12" t="s">
        <v>68</v>
      </c>
      <c r="C50" s="26" t="s">
        <v>66</v>
      </c>
      <c r="D50" s="12" t="s">
        <v>141</v>
      </c>
      <c r="E50" s="31">
        <v>160</v>
      </c>
      <c r="F50" s="32">
        <f>SUM(E50)*3</f>
        <v>480</v>
      </c>
      <c r="G50" s="51">
        <v>65.67</v>
      </c>
      <c r="H50" s="33">
        <f t="shared" si="33"/>
        <v>31.521600000000003</v>
      </c>
      <c r="I50" s="34">
        <f>E50*G50</f>
        <v>10507.2</v>
      </c>
      <c r="J50" s="34">
        <v>0</v>
      </c>
      <c r="K50" s="34">
        <v>0</v>
      </c>
      <c r="L50" s="34">
        <f>E50*G50</f>
        <v>10507.2</v>
      </c>
      <c r="M50" s="34">
        <v>0</v>
      </c>
      <c r="N50" s="34">
        <v>0</v>
      </c>
      <c r="O50" s="34">
        <v>0</v>
      </c>
      <c r="P50" s="34">
        <f>E50*G50</f>
        <v>10507.2</v>
      </c>
      <c r="Q50" s="34">
        <v>0</v>
      </c>
      <c r="R50" s="34">
        <v>0</v>
      </c>
      <c r="S50" s="34">
        <v>0</v>
      </c>
      <c r="T50" s="34">
        <v>0</v>
      </c>
      <c r="U50" s="34">
        <f t="shared" si="36"/>
        <v>31521.600000000002</v>
      </c>
    </row>
    <row r="51" spans="1:21" s="3" customFormat="1" hidden="1">
      <c r="A51" s="154"/>
      <c r="B51" s="15" t="s">
        <v>69</v>
      </c>
      <c r="C51" s="47"/>
      <c r="D51" s="12" t="s">
        <v>70</v>
      </c>
      <c r="E51" s="44"/>
      <c r="F51" s="48"/>
      <c r="G51" s="48">
        <v>5750</v>
      </c>
      <c r="H51" s="52">
        <f t="shared" si="33"/>
        <v>0</v>
      </c>
      <c r="I51" s="51"/>
      <c r="J51" s="51"/>
      <c r="K51" s="51"/>
      <c r="L51" s="51"/>
      <c r="M51" s="34">
        <v>0</v>
      </c>
      <c r="N51" s="51"/>
      <c r="O51" s="51"/>
      <c r="P51" s="51"/>
      <c r="Q51" s="51"/>
      <c r="R51" s="51"/>
      <c r="S51" s="51"/>
      <c r="T51" s="51"/>
      <c r="U51" s="34">
        <f t="shared" ref="U51" si="38">SUM(I51:M51)</f>
        <v>0</v>
      </c>
    </row>
    <row r="52" spans="1:21" s="24" customFormat="1">
      <c r="A52" s="155"/>
      <c r="B52" s="23" t="s">
        <v>28</v>
      </c>
      <c r="C52" s="53"/>
      <c r="D52" s="23"/>
      <c r="E52" s="54"/>
      <c r="F52" s="55"/>
      <c r="G52" s="55"/>
      <c r="H52" s="46">
        <f>SUM(H41:H50)</f>
        <v>64.016963649000004</v>
      </c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>
        <f>SUM(U41:U50)</f>
        <v>64016.963648999998</v>
      </c>
    </row>
    <row r="53" spans="1:21">
      <c r="A53" s="152"/>
      <c r="B53" s="14" t="s">
        <v>71</v>
      </c>
      <c r="C53" s="26"/>
      <c r="D53" s="12"/>
      <c r="E53" s="31"/>
      <c r="F53" s="32"/>
      <c r="G53" s="32"/>
      <c r="H53" s="33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</row>
    <row r="54" spans="1:21" ht="41.25" customHeight="1">
      <c r="A54" s="9" t="s">
        <v>212</v>
      </c>
      <c r="B54" s="12" t="s">
        <v>174</v>
      </c>
      <c r="C54" s="26" t="s">
        <v>13</v>
      </c>
      <c r="D54" s="12" t="s">
        <v>72</v>
      </c>
      <c r="E54" s="31">
        <v>176.93</v>
      </c>
      <c r="F54" s="32">
        <f>SUM(E54*6/100)</f>
        <v>10.6158</v>
      </c>
      <c r="G54" s="50">
        <v>1547.28</v>
      </c>
      <c r="H54" s="33">
        <f>SUM(F54*G54/1000)</f>
        <v>16.425615023999999</v>
      </c>
      <c r="I54" s="34">
        <f>F54/6*G54</f>
        <v>2737.602504</v>
      </c>
      <c r="J54" s="34">
        <f>F54/6*G54</f>
        <v>2737.602504</v>
      </c>
      <c r="K54" s="34">
        <f>F54/6*G54</f>
        <v>2737.602504</v>
      </c>
      <c r="L54" s="34">
        <f>F54/6*G54</f>
        <v>2737.602504</v>
      </c>
      <c r="M54" s="34">
        <v>0</v>
      </c>
      <c r="N54" s="34">
        <v>0</v>
      </c>
      <c r="O54" s="34">
        <v>0</v>
      </c>
      <c r="P54" s="34">
        <v>0</v>
      </c>
      <c r="Q54" s="34">
        <v>0</v>
      </c>
      <c r="R54" s="34">
        <v>0</v>
      </c>
      <c r="S54" s="34">
        <f>F54/6*G54</f>
        <v>2737.602504</v>
      </c>
      <c r="T54" s="34">
        <f>F54/6*G54</f>
        <v>2737.602504</v>
      </c>
      <c r="U54" s="34">
        <f>SUM(I54:T54)</f>
        <v>16425.615023999999</v>
      </c>
    </row>
    <row r="55" spans="1:21">
      <c r="A55" s="152"/>
      <c r="B55" s="13" t="s">
        <v>73</v>
      </c>
      <c r="C55" s="26"/>
      <c r="D55" s="12"/>
      <c r="E55" s="31"/>
      <c r="F55" s="32"/>
      <c r="G55" s="147"/>
      <c r="H55" s="33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</row>
    <row r="56" spans="1:21">
      <c r="A56" s="152" t="s">
        <v>213</v>
      </c>
      <c r="B56" s="12" t="s">
        <v>119</v>
      </c>
      <c r="C56" s="26" t="s">
        <v>13</v>
      </c>
      <c r="D56" s="12" t="s">
        <v>33</v>
      </c>
      <c r="E56" s="31">
        <v>2026.8</v>
      </c>
      <c r="F56" s="33">
        <v>20.268000000000001</v>
      </c>
      <c r="G56" s="50">
        <v>793.61</v>
      </c>
      <c r="H56" s="57">
        <v>16.085000000000001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34">
        <v>0</v>
      </c>
      <c r="R56" s="34">
        <v>0</v>
      </c>
      <c r="S56" s="34">
        <v>0</v>
      </c>
      <c r="T56" s="34">
        <v>0</v>
      </c>
      <c r="U56" s="34">
        <f>SUM(I56:T56)</f>
        <v>0</v>
      </c>
    </row>
    <row r="57" spans="1:21">
      <c r="A57" s="152"/>
      <c r="B57" s="12" t="s">
        <v>120</v>
      </c>
      <c r="C57" s="26" t="s">
        <v>74</v>
      </c>
      <c r="D57" s="12" t="s">
        <v>75</v>
      </c>
      <c r="E57" s="31">
        <v>325</v>
      </c>
      <c r="F57" s="32">
        <f>E57*12</f>
        <v>3900</v>
      </c>
      <c r="G57" s="147">
        <v>2.59</v>
      </c>
      <c r="H57" s="33">
        <f>F57*G57/1000</f>
        <v>10.101000000000001</v>
      </c>
      <c r="I57" s="34">
        <f>F57/12*G57</f>
        <v>841.75</v>
      </c>
      <c r="J57" s="34">
        <f>F57/12*G57</f>
        <v>841.75</v>
      </c>
      <c r="K57" s="34">
        <f>F57/12*G57</f>
        <v>841.75</v>
      </c>
      <c r="L57" s="34">
        <f>F57/12*G57</f>
        <v>841.75</v>
      </c>
      <c r="M57" s="34">
        <f>F57/12*G57</f>
        <v>841.75</v>
      </c>
      <c r="N57" s="34">
        <f>F57/12*G57</f>
        <v>841.75</v>
      </c>
      <c r="O57" s="34">
        <f>F57/12*G57</f>
        <v>841.75</v>
      </c>
      <c r="P57" s="34">
        <f>F57/12*G57</f>
        <v>841.75</v>
      </c>
      <c r="Q57" s="34">
        <f>F57/12*G57</f>
        <v>841.75</v>
      </c>
      <c r="R57" s="34">
        <f>F57/12*G57</f>
        <v>841.75</v>
      </c>
      <c r="S57" s="34">
        <f>F57/12*G57</f>
        <v>841.75</v>
      </c>
      <c r="T57" s="34">
        <f>F57/12*G57</f>
        <v>841.75</v>
      </c>
      <c r="U57" s="34">
        <f t="shared" ref="U57:U77" si="39">SUM(I57:T57)</f>
        <v>10101</v>
      </c>
    </row>
    <row r="58" spans="1:21">
      <c r="A58" s="152"/>
      <c r="B58" s="14" t="s">
        <v>76</v>
      </c>
      <c r="C58" s="26"/>
      <c r="D58" s="12"/>
      <c r="E58" s="31"/>
      <c r="F58" s="32"/>
      <c r="G58" s="32"/>
      <c r="H58" s="33" t="s">
        <v>44</v>
      </c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</row>
    <row r="59" spans="1:21">
      <c r="A59" s="152" t="s">
        <v>214</v>
      </c>
      <c r="B59" s="12" t="s">
        <v>77</v>
      </c>
      <c r="C59" s="26" t="s">
        <v>66</v>
      </c>
      <c r="D59" s="12" t="s">
        <v>33</v>
      </c>
      <c r="E59" s="31">
        <v>4</v>
      </c>
      <c r="F59" s="32">
        <f>SUM(E59)</f>
        <v>4</v>
      </c>
      <c r="G59" s="58">
        <v>237.75</v>
      </c>
      <c r="H59" s="33">
        <f t="shared" ref="H59:H77" si="40">SUM(F59*G59/1000)</f>
        <v>0.95099999999999996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v>0</v>
      </c>
      <c r="S59" s="34">
        <v>0</v>
      </c>
      <c r="T59" s="34">
        <v>0</v>
      </c>
      <c r="U59" s="34">
        <f t="shared" si="39"/>
        <v>0</v>
      </c>
    </row>
    <row r="60" spans="1:21">
      <c r="A60" s="156"/>
      <c r="B60" s="17" t="s">
        <v>78</v>
      </c>
      <c r="C60" s="59"/>
      <c r="D60" s="60"/>
      <c r="E60" s="61"/>
      <c r="F60" s="62"/>
      <c r="G60" s="62"/>
      <c r="H60" s="63" t="s">
        <v>44</v>
      </c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</row>
    <row r="61" spans="1:21" ht="12.75" customHeight="1">
      <c r="A61" s="64" t="s">
        <v>215</v>
      </c>
      <c r="B61" s="18" t="s">
        <v>79</v>
      </c>
      <c r="C61" s="64" t="s">
        <v>66</v>
      </c>
      <c r="D61" s="10" t="s">
        <v>40</v>
      </c>
      <c r="E61" s="65">
        <v>30</v>
      </c>
      <c r="F61" s="32">
        <v>30</v>
      </c>
      <c r="G61" s="50">
        <v>222.4</v>
      </c>
      <c r="H61" s="123">
        <f t="shared" si="40"/>
        <v>6.6719999999999997</v>
      </c>
      <c r="I61" s="34">
        <f>G61</f>
        <v>222.4</v>
      </c>
      <c r="J61" s="34">
        <v>0</v>
      </c>
      <c r="K61" s="34">
        <v>0</v>
      </c>
      <c r="L61" s="34">
        <v>0</v>
      </c>
      <c r="M61" s="34">
        <f>G61</f>
        <v>222.4</v>
      </c>
      <c r="N61" s="34">
        <f>G61</f>
        <v>222.4</v>
      </c>
      <c r="O61" s="34">
        <v>0</v>
      </c>
      <c r="P61" s="34">
        <v>0</v>
      </c>
      <c r="Q61" s="34">
        <f>G61*3</f>
        <v>667.2</v>
      </c>
      <c r="R61" s="34">
        <v>0</v>
      </c>
      <c r="S61" s="34">
        <v>0</v>
      </c>
      <c r="T61" s="34">
        <v>0</v>
      </c>
      <c r="U61" s="34">
        <f t="shared" si="39"/>
        <v>1334.4</v>
      </c>
    </row>
    <row r="62" spans="1:21" ht="12.75" customHeight="1">
      <c r="A62" s="64" t="s">
        <v>216</v>
      </c>
      <c r="B62" s="18" t="s">
        <v>80</v>
      </c>
      <c r="C62" s="64" t="s">
        <v>66</v>
      </c>
      <c r="D62" s="10" t="s">
        <v>40</v>
      </c>
      <c r="E62" s="65">
        <v>5</v>
      </c>
      <c r="F62" s="32">
        <v>5</v>
      </c>
      <c r="G62" s="50">
        <v>76.25</v>
      </c>
      <c r="H62" s="123">
        <f t="shared" si="40"/>
        <v>0.38124999999999998</v>
      </c>
      <c r="I62" s="34">
        <f>G62</f>
        <v>76.25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v>0</v>
      </c>
      <c r="S62" s="34">
        <v>0</v>
      </c>
      <c r="T62" s="34">
        <v>0</v>
      </c>
      <c r="U62" s="34">
        <f t="shared" si="39"/>
        <v>76.25</v>
      </c>
    </row>
    <row r="63" spans="1:21" s="3" customFormat="1">
      <c r="A63" s="66" t="s">
        <v>217</v>
      </c>
      <c r="B63" s="18" t="s">
        <v>81</v>
      </c>
      <c r="C63" s="66" t="s">
        <v>82</v>
      </c>
      <c r="D63" s="10" t="s">
        <v>33</v>
      </c>
      <c r="E63" s="31">
        <v>24063</v>
      </c>
      <c r="F63" s="51">
        <f>SUM(E63/100)</f>
        <v>240.63</v>
      </c>
      <c r="G63" s="50">
        <v>212.15</v>
      </c>
      <c r="H63" s="123">
        <f t="shared" si="40"/>
        <v>51.049654499999995</v>
      </c>
      <c r="I63" s="49">
        <v>0</v>
      </c>
      <c r="J63" s="49">
        <v>0</v>
      </c>
      <c r="K63" s="49">
        <v>0</v>
      </c>
      <c r="L63" s="49">
        <v>0</v>
      </c>
      <c r="M63" s="49">
        <f>F63*G63</f>
        <v>51049.654499999997</v>
      </c>
      <c r="N63" s="34">
        <v>0</v>
      </c>
      <c r="O63" s="34">
        <v>0</v>
      </c>
      <c r="P63" s="34">
        <v>0</v>
      </c>
      <c r="Q63" s="34">
        <v>0</v>
      </c>
      <c r="R63" s="34">
        <v>0</v>
      </c>
      <c r="S63" s="34">
        <v>0</v>
      </c>
      <c r="T63" s="34">
        <v>0</v>
      </c>
      <c r="U63" s="34">
        <f t="shared" si="39"/>
        <v>51049.654499999997</v>
      </c>
    </row>
    <row r="64" spans="1:21" ht="12.75" customHeight="1">
      <c r="A64" s="64" t="s">
        <v>218</v>
      </c>
      <c r="B64" s="18" t="s">
        <v>83</v>
      </c>
      <c r="C64" s="64" t="s">
        <v>84</v>
      </c>
      <c r="D64" s="10"/>
      <c r="E64" s="31">
        <v>24063</v>
      </c>
      <c r="F64" s="50">
        <f>SUM(E64/1000)</f>
        <v>24.062999999999999</v>
      </c>
      <c r="G64" s="50">
        <v>165.21</v>
      </c>
      <c r="H64" s="123">
        <f t="shared" si="40"/>
        <v>3.97544823</v>
      </c>
      <c r="I64" s="34">
        <v>0</v>
      </c>
      <c r="J64" s="34">
        <v>0</v>
      </c>
      <c r="K64" s="34">
        <v>0</v>
      </c>
      <c r="L64" s="34">
        <v>0</v>
      </c>
      <c r="M64" s="34">
        <f>F64*G64</f>
        <v>3975.44823</v>
      </c>
      <c r="N64" s="34">
        <v>0</v>
      </c>
      <c r="O64" s="34">
        <v>0</v>
      </c>
      <c r="P64" s="34">
        <v>0</v>
      </c>
      <c r="Q64" s="34">
        <v>0</v>
      </c>
      <c r="R64" s="34">
        <v>0</v>
      </c>
      <c r="S64" s="34">
        <v>0</v>
      </c>
      <c r="T64" s="34">
        <v>0</v>
      </c>
      <c r="U64" s="34">
        <f t="shared" si="39"/>
        <v>3975.44823</v>
      </c>
    </row>
    <row r="65" spans="1:21">
      <c r="A65" s="64" t="s">
        <v>219</v>
      </c>
      <c r="B65" s="18" t="s">
        <v>85</v>
      </c>
      <c r="C65" s="64" t="s">
        <v>86</v>
      </c>
      <c r="D65" s="10" t="s">
        <v>33</v>
      </c>
      <c r="E65" s="31">
        <v>2730</v>
      </c>
      <c r="F65" s="50">
        <f>SUM(E65/100)</f>
        <v>27.3</v>
      </c>
      <c r="G65" s="50">
        <v>2074.63</v>
      </c>
      <c r="H65" s="123">
        <f t="shared" si="40"/>
        <v>56.637399000000002</v>
      </c>
      <c r="I65" s="34">
        <v>0</v>
      </c>
      <c r="J65" s="34">
        <v>0</v>
      </c>
      <c r="K65" s="34">
        <v>0</v>
      </c>
      <c r="L65" s="34">
        <v>0</v>
      </c>
      <c r="M65" s="34">
        <f>F65*G65</f>
        <v>56637.399000000005</v>
      </c>
      <c r="N65" s="34">
        <v>0</v>
      </c>
      <c r="O65" s="34">
        <v>0</v>
      </c>
      <c r="P65" s="34">
        <v>0</v>
      </c>
      <c r="Q65" s="34">
        <v>0</v>
      </c>
      <c r="R65" s="34">
        <v>0</v>
      </c>
      <c r="S65" s="34">
        <v>0</v>
      </c>
      <c r="T65" s="34">
        <v>0</v>
      </c>
      <c r="U65" s="34">
        <f t="shared" si="39"/>
        <v>56637.399000000005</v>
      </c>
    </row>
    <row r="66" spans="1:21">
      <c r="A66" s="64"/>
      <c r="B66" s="19" t="s">
        <v>116</v>
      </c>
      <c r="C66" s="64" t="s">
        <v>38</v>
      </c>
      <c r="D66" s="10"/>
      <c r="E66" s="31">
        <v>21.4</v>
      </c>
      <c r="F66" s="50">
        <f>SUM(E66)</f>
        <v>21.4</v>
      </c>
      <c r="G66" s="50">
        <v>45.32</v>
      </c>
      <c r="H66" s="123">
        <f t="shared" si="40"/>
        <v>0.96984799999999993</v>
      </c>
      <c r="I66" s="34">
        <v>0</v>
      </c>
      <c r="J66" s="34">
        <v>0</v>
      </c>
      <c r="K66" s="34">
        <v>0</v>
      </c>
      <c r="L66" s="34">
        <v>0</v>
      </c>
      <c r="M66" s="34">
        <f>F66*G66</f>
        <v>969.84799999999996</v>
      </c>
      <c r="N66" s="34">
        <v>0</v>
      </c>
      <c r="O66" s="34">
        <v>0</v>
      </c>
      <c r="P66" s="34">
        <v>0</v>
      </c>
      <c r="Q66" s="34">
        <v>0</v>
      </c>
      <c r="R66" s="34">
        <v>0</v>
      </c>
      <c r="S66" s="34">
        <v>0</v>
      </c>
      <c r="T66" s="34">
        <v>0</v>
      </c>
      <c r="U66" s="34">
        <f t="shared" si="39"/>
        <v>969.84799999999996</v>
      </c>
    </row>
    <row r="67" spans="1:21" ht="25.5">
      <c r="A67" s="162"/>
      <c r="B67" s="19" t="s">
        <v>117</v>
      </c>
      <c r="C67" s="64" t="s">
        <v>38</v>
      </c>
      <c r="D67" s="10"/>
      <c r="E67" s="31">
        <v>21.4</v>
      </c>
      <c r="F67" s="50">
        <f>SUM(E67)</f>
        <v>21.4</v>
      </c>
      <c r="G67" s="50">
        <v>42.28</v>
      </c>
      <c r="H67" s="123">
        <f t="shared" si="40"/>
        <v>0.90479199999999993</v>
      </c>
      <c r="I67" s="34">
        <v>0</v>
      </c>
      <c r="J67" s="34">
        <v>0</v>
      </c>
      <c r="K67" s="34">
        <v>0</v>
      </c>
      <c r="L67" s="34">
        <v>0</v>
      </c>
      <c r="M67" s="34">
        <f>F67*G67</f>
        <v>904.79199999999992</v>
      </c>
      <c r="N67" s="34">
        <v>0</v>
      </c>
      <c r="O67" s="34">
        <v>0</v>
      </c>
      <c r="P67" s="34">
        <v>0</v>
      </c>
      <c r="Q67" s="34">
        <v>0</v>
      </c>
      <c r="R67" s="34">
        <v>0</v>
      </c>
      <c r="S67" s="34">
        <v>0</v>
      </c>
      <c r="T67" s="34">
        <v>0</v>
      </c>
      <c r="U67" s="34">
        <f t="shared" si="39"/>
        <v>904.79199999999992</v>
      </c>
    </row>
    <row r="68" spans="1:21" ht="12.75" customHeight="1">
      <c r="A68" s="64"/>
      <c r="B68" s="19" t="s">
        <v>118</v>
      </c>
      <c r="C68" s="64"/>
      <c r="D68" s="10"/>
      <c r="E68" s="67"/>
      <c r="F68" s="147">
        <v>1</v>
      </c>
      <c r="G68" s="50">
        <v>5600</v>
      </c>
      <c r="H68" s="123">
        <f t="shared" si="40"/>
        <v>5.6</v>
      </c>
      <c r="I68" s="34">
        <f>F68*G68</f>
        <v>5600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  <c r="Q68" s="34">
        <v>0</v>
      </c>
      <c r="R68" s="34">
        <v>0</v>
      </c>
      <c r="S68" s="34">
        <v>0</v>
      </c>
      <c r="T68" s="34">
        <v>0</v>
      </c>
      <c r="U68" s="34">
        <f t="shared" si="39"/>
        <v>5600</v>
      </c>
    </row>
    <row r="69" spans="1:21" ht="12.75" customHeight="1">
      <c r="A69" s="64" t="s">
        <v>220</v>
      </c>
      <c r="B69" s="10" t="s">
        <v>87</v>
      </c>
      <c r="C69" s="64" t="s">
        <v>88</v>
      </c>
      <c r="D69" s="10" t="s">
        <v>33</v>
      </c>
      <c r="E69" s="65">
        <v>10</v>
      </c>
      <c r="F69" s="32">
        <f>SUM(E69)</f>
        <v>10</v>
      </c>
      <c r="G69" s="50">
        <v>49.88</v>
      </c>
      <c r="H69" s="123">
        <f t="shared" si="40"/>
        <v>0.49880000000000002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34">
        <v>0</v>
      </c>
      <c r="Q69" s="34">
        <f>G69*10</f>
        <v>498.8</v>
      </c>
      <c r="R69" s="34">
        <v>0</v>
      </c>
      <c r="S69" s="34">
        <v>0</v>
      </c>
      <c r="T69" s="34">
        <v>0</v>
      </c>
      <c r="U69" s="34">
        <f t="shared" si="39"/>
        <v>498.8</v>
      </c>
    </row>
    <row r="70" spans="1:21">
      <c r="A70" s="64"/>
      <c r="B70" s="20" t="s">
        <v>89</v>
      </c>
      <c r="C70" s="64"/>
      <c r="D70" s="10"/>
      <c r="E70" s="65"/>
      <c r="F70" s="50"/>
      <c r="G70" s="50"/>
      <c r="H70" s="123" t="s">
        <v>44</v>
      </c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</row>
    <row r="71" spans="1:21">
      <c r="A71" s="64" t="s">
        <v>221</v>
      </c>
      <c r="B71" s="10" t="s">
        <v>90</v>
      </c>
      <c r="C71" s="64" t="s">
        <v>91</v>
      </c>
      <c r="D71" s="10"/>
      <c r="E71" s="65">
        <v>160</v>
      </c>
      <c r="F71" s="50">
        <v>16</v>
      </c>
      <c r="G71" s="50">
        <v>501.62</v>
      </c>
      <c r="H71" s="123">
        <f t="shared" si="40"/>
        <v>8.0259199999999993</v>
      </c>
      <c r="I71" s="34">
        <v>0</v>
      </c>
      <c r="J71" s="34">
        <v>0</v>
      </c>
      <c r="K71" s="34">
        <f>G71*1.2</f>
        <v>601.94399999999996</v>
      </c>
      <c r="L71" s="34">
        <f>G71*0.7</f>
        <v>351.13399999999996</v>
      </c>
      <c r="M71" s="34">
        <v>0</v>
      </c>
      <c r="N71" s="34">
        <f>G71*(2.5+0.6+0.3)</f>
        <v>1705.508</v>
      </c>
      <c r="O71" s="34">
        <v>0</v>
      </c>
      <c r="P71" s="34">
        <f>G71*0.2</f>
        <v>100.32400000000001</v>
      </c>
      <c r="Q71" s="34">
        <f>G71*0.2</f>
        <v>100.32400000000001</v>
      </c>
      <c r="R71" s="34">
        <v>0</v>
      </c>
      <c r="S71" s="34">
        <v>0</v>
      </c>
      <c r="T71" s="34">
        <v>0</v>
      </c>
      <c r="U71" s="34">
        <f t="shared" si="39"/>
        <v>2859.2340000000004</v>
      </c>
    </row>
    <row r="72" spans="1:21">
      <c r="A72" s="64" t="s">
        <v>222</v>
      </c>
      <c r="B72" s="10" t="s">
        <v>94</v>
      </c>
      <c r="C72" s="64" t="s">
        <v>66</v>
      </c>
      <c r="D72" s="10"/>
      <c r="E72" s="65">
        <v>1</v>
      </c>
      <c r="F72" s="32">
        <f>SUM(E72)</f>
        <v>1</v>
      </c>
      <c r="G72" s="50">
        <v>358.51</v>
      </c>
      <c r="H72" s="123">
        <f t="shared" si="40"/>
        <v>0.35851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  <c r="Q72" s="34">
        <v>0</v>
      </c>
      <c r="R72" s="34">
        <v>0</v>
      </c>
      <c r="S72" s="34">
        <v>0</v>
      </c>
      <c r="T72" s="34">
        <v>0</v>
      </c>
      <c r="U72" s="34">
        <f t="shared" si="39"/>
        <v>0</v>
      </c>
    </row>
    <row r="73" spans="1:21">
      <c r="A73" s="64" t="s">
        <v>223</v>
      </c>
      <c r="B73" s="10" t="s">
        <v>92</v>
      </c>
      <c r="C73" s="64" t="s">
        <v>35</v>
      </c>
      <c r="D73" s="10"/>
      <c r="E73" s="65">
        <v>3</v>
      </c>
      <c r="F73" s="50">
        <v>3</v>
      </c>
      <c r="G73" s="50">
        <v>99.85</v>
      </c>
      <c r="H73" s="123">
        <f>F73*G73/1000</f>
        <v>0.29954999999999993</v>
      </c>
      <c r="I73" s="34">
        <v>0</v>
      </c>
      <c r="J73" s="34">
        <v>0</v>
      </c>
      <c r="K73" s="34">
        <v>0</v>
      </c>
      <c r="L73" s="34">
        <f>G73*3</f>
        <v>299.54999999999995</v>
      </c>
      <c r="M73" s="34">
        <v>0</v>
      </c>
      <c r="N73" s="34">
        <f>G73</f>
        <v>99.85</v>
      </c>
      <c r="O73" s="34">
        <v>0</v>
      </c>
      <c r="P73" s="34">
        <v>0</v>
      </c>
      <c r="Q73" s="34">
        <v>0</v>
      </c>
      <c r="R73" s="34">
        <v>0</v>
      </c>
      <c r="S73" s="34">
        <v>0</v>
      </c>
      <c r="T73" s="34">
        <v>0</v>
      </c>
      <c r="U73" s="34">
        <f t="shared" si="39"/>
        <v>399.4</v>
      </c>
    </row>
    <row r="74" spans="1:21">
      <c r="A74" s="64" t="s">
        <v>224</v>
      </c>
      <c r="B74" s="10" t="s">
        <v>93</v>
      </c>
      <c r="C74" s="64" t="s">
        <v>35</v>
      </c>
      <c r="D74" s="10"/>
      <c r="E74" s="65">
        <v>2</v>
      </c>
      <c r="F74" s="50">
        <v>2</v>
      </c>
      <c r="G74" s="50">
        <v>120.26</v>
      </c>
      <c r="H74" s="123">
        <f>F74*G74/1000</f>
        <v>0.24052000000000001</v>
      </c>
      <c r="I74" s="34">
        <v>0</v>
      </c>
      <c r="J74" s="34">
        <v>0</v>
      </c>
      <c r="K74" s="34">
        <v>0</v>
      </c>
      <c r="L74" s="34">
        <v>0</v>
      </c>
      <c r="M74" s="34">
        <v>0</v>
      </c>
      <c r="N74" s="34">
        <f>G74*3</f>
        <v>360.78000000000003</v>
      </c>
      <c r="O74" s="34">
        <v>0</v>
      </c>
      <c r="P74" s="34">
        <v>0</v>
      </c>
      <c r="Q74" s="34">
        <v>0</v>
      </c>
      <c r="R74" s="34">
        <v>0</v>
      </c>
      <c r="S74" s="34">
        <v>0</v>
      </c>
      <c r="T74" s="34">
        <v>0</v>
      </c>
      <c r="U74" s="34">
        <f t="shared" si="39"/>
        <v>360.78000000000003</v>
      </c>
    </row>
    <row r="75" spans="1:21">
      <c r="A75" s="64" t="s">
        <v>259</v>
      </c>
      <c r="B75" s="10" t="s">
        <v>274</v>
      </c>
      <c r="C75" s="64" t="s">
        <v>66</v>
      </c>
      <c r="D75" s="10"/>
      <c r="E75" s="65">
        <v>1</v>
      </c>
      <c r="F75" s="32">
        <f>SUM(E75)</f>
        <v>1</v>
      </c>
      <c r="G75" s="50">
        <v>911.85</v>
      </c>
      <c r="H75" s="123">
        <f t="shared" ref="H75" si="41">SUM(F75*G75/1000)</f>
        <v>0.91185000000000005</v>
      </c>
      <c r="I75" s="34">
        <v>0</v>
      </c>
      <c r="J75" s="34">
        <v>0</v>
      </c>
      <c r="K75" s="34">
        <v>0</v>
      </c>
      <c r="L75" s="34">
        <v>0</v>
      </c>
      <c r="M75" s="34">
        <v>0</v>
      </c>
      <c r="N75" s="34">
        <v>0</v>
      </c>
      <c r="O75" s="34">
        <v>0</v>
      </c>
      <c r="P75" s="34">
        <v>0</v>
      </c>
      <c r="Q75" s="34">
        <v>0</v>
      </c>
      <c r="R75" s="34">
        <v>0</v>
      </c>
      <c r="S75" s="34">
        <v>0</v>
      </c>
      <c r="T75" s="34">
        <v>0</v>
      </c>
      <c r="U75" s="34">
        <f t="shared" ref="U75" si="42">SUM(I75:T75)</f>
        <v>0</v>
      </c>
    </row>
    <row r="76" spans="1:21">
      <c r="A76" s="64"/>
      <c r="B76" s="68" t="s">
        <v>95</v>
      </c>
      <c r="C76" s="64"/>
      <c r="D76" s="10"/>
      <c r="E76" s="65"/>
      <c r="F76" s="50"/>
      <c r="G76" s="50" t="s">
        <v>44</v>
      </c>
      <c r="H76" s="123" t="s">
        <v>44</v>
      </c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</row>
    <row r="77" spans="1:21" s="3" customFormat="1">
      <c r="A77" s="66" t="s">
        <v>96</v>
      </c>
      <c r="B77" s="69" t="s">
        <v>97</v>
      </c>
      <c r="C77" s="66" t="s">
        <v>86</v>
      </c>
      <c r="D77" s="18"/>
      <c r="E77" s="70"/>
      <c r="F77" s="51">
        <v>0.6</v>
      </c>
      <c r="G77" s="51">
        <v>2759.44</v>
      </c>
      <c r="H77" s="123">
        <f t="shared" si="40"/>
        <v>1.655664</v>
      </c>
      <c r="I77" s="49">
        <v>0</v>
      </c>
      <c r="J77" s="49">
        <v>0</v>
      </c>
      <c r="K77" s="49">
        <v>0</v>
      </c>
      <c r="L77" s="49">
        <v>0</v>
      </c>
      <c r="M77" s="49">
        <v>0</v>
      </c>
      <c r="N77" s="49">
        <v>0</v>
      </c>
      <c r="O77" s="49">
        <v>0</v>
      </c>
      <c r="P77" s="49">
        <v>0</v>
      </c>
      <c r="Q77" s="49">
        <v>0</v>
      </c>
      <c r="R77" s="49">
        <v>0</v>
      </c>
      <c r="S77" s="49">
        <v>0</v>
      </c>
      <c r="T77" s="49">
        <v>0</v>
      </c>
      <c r="U77" s="34">
        <f t="shared" si="39"/>
        <v>0</v>
      </c>
    </row>
    <row r="78" spans="1:21" s="24" customFormat="1">
      <c r="A78" s="71"/>
      <c r="B78" s="23" t="s">
        <v>28</v>
      </c>
      <c r="C78" s="72"/>
      <c r="D78" s="73"/>
      <c r="E78" s="74"/>
      <c r="F78" s="56"/>
      <c r="G78" s="56"/>
      <c r="H78" s="75">
        <f>SUM(H54:H77)</f>
        <v>181.74382075399996</v>
      </c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>
        <f>SUM(U54:U77)</f>
        <v>151192.62075399995</v>
      </c>
    </row>
    <row r="79" spans="1:21">
      <c r="A79" s="157" t="s">
        <v>145</v>
      </c>
      <c r="B79" s="12" t="s">
        <v>146</v>
      </c>
      <c r="C79" s="76"/>
      <c r="D79" s="77"/>
      <c r="E79" s="130"/>
      <c r="F79" s="78">
        <v>1</v>
      </c>
      <c r="G79" s="79">
        <v>17508</v>
      </c>
      <c r="H79" s="123">
        <f>G79*F79/1000</f>
        <v>17.507999999999999</v>
      </c>
      <c r="I79" s="34">
        <v>0</v>
      </c>
      <c r="J79" s="34">
        <v>0</v>
      </c>
      <c r="K79" s="34">
        <v>0</v>
      </c>
      <c r="L79" s="34">
        <v>0</v>
      </c>
      <c r="M79" s="35">
        <v>0</v>
      </c>
      <c r="N79" s="35">
        <v>17508</v>
      </c>
      <c r="O79" s="34">
        <v>0</v>
      </c>
      <c r="P79" s="131">
        <v>0</v>
      </c>
      <c r="Q79" s="131">
        <v>0</v>
      </c>
      <c r="R79" s="131">
        <v>0</v>
      </c>
      <c r="S79" s="131">
        <v>0</v>
      </c>
      <c r="T79" s="131">
        <v>0</v>
      </c>
      <c r="U79" s="131">
        <f>SUM(I79:T79)</f>
        <v>17508</v>
      </c>
    </row>
    <row r="80" spans="1:21" ht="12.75" customHeight="1">
      <c r="A80" s="158"/>
      <c r="B80" s="13" t="s">
        <v>98</v>
      </c>
      <c r="C80" s="64" t="s">
        <v>99</v>
      </c>
      <c r="D80" s="80"/>
      <c r="E80" s="50">
        <v>4394.8999999999996</v>
      </c>
      <c r="F80" s="50">
        <f>SUM(E80*12)</f>
        <v>52738.799999999996</v>
      </c>
      <c r="G80" s="81">
        <v>2.1</v>
      </c>
      <c r="H80" s="123">
        <f>SUM(F80*G80/1000)</f>
        <v>110.75148</v>
      </c>
      <c r="I80" s="34">
        <f>F80/12*G80</f>
        <v>9229.2899999999991</v>
      </c>
      <c r="J80" s="34">
        <f>F80/12*G80</f>
        <v>9229.2899999999991</v>
      </c>
      <c r="K80" s="34">
        <f>F80/12*G80</f>
        <v>9229.2899999999991</v>
      </c>
      <c r="L80" s="34">
        <f>F80/12*G80</f>
        <v>9229.2899999999991</v>
      </c>
      <c r="M80" s="35">
        <f>F80/12*G80</f>
        <v>9229.2899999999991</v>
      </c>
      <c r="N80" s="35">
        <f>F80/12*G80</f>
        <v>9229.2899999999991</v>
      </c>
      <c r="O80" s="34">
        <f>F80/12*G80</f>
        <v>9229.2899999999991</v>
      </c>
      <c r="P80" s="131">
        <f>F80/12*G80</f>
        <v>9229.2899999999991</v>
      </c>
      <c r="Q80" s="131">
        <f>F80/12*G80</f>
        <v>9229.2899999999991</v>
      </c>
      <c r="R80" s="131">
        <f>F80/12*G80</f>
        <v>9229.2899999999991</v>
      </c>
      <c r="S80" s="131">
        <f>F80/12*G80</f>
        <v>9229.2899999999991</v>
      </c>
      <c r="T80" s="131">
        <f>F80/12*G80</f>
        <v>9229.2899999999991</v>
      </c>
      <c r="U80" s="131">
        <f>SUM(I80:T80)</f>
        <v>110751.47999999997</v>
      </c>
    </row>
    <row r="81" spans="1:26" s="22" customFormat="1">
      <c r="A81" s="82"/>
      <c r="B81" s="23" t="s">
        <v>28</v>
      </c>
      <c r="C81" s="83"/>
      <c r="D81" s="84"/>
      <c r="E81" s="85"/>
      <c r="F81" s="41"/>
      <c r="G81" s="86"/>
      <c r="H81" s="42">
        <f>SUM(H79:H80)</f>
        <v>128.25948</v>
      </c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>
        <f>SUM(U79:U80)</f>
        <v>128259.47999999997</v>
      </c>
    </row>
    <row r="82" spans="1:26" ht="25.5">
      <c r="A82" s="87"/>
      <c r="B82" s="10" t="s">
        <v>100</v>
      </c>
      <c r="C82" s="64"/>
      <c r="D82" s="21"/>
      <c r="E82" s="31">
        <f>E80</f>
        <v>4394.8999999999996</v>
      </c>
      <c r="F82" s="50">
        <f>E82*12</f>
        <v>52738.799999999996</v>
      </c>
      <c r="G82" s="50">
        <v>1.63</v>
      </c>
      <c r="H82" s="123">
        <f>F82*G82/1000</f>
        <v>85.964243999999994</v>
      </c>
      <c r="I82" s="34">
        <f>F82/12*G82</f>
        <v>7163.686999999999</v>
      </c>
      <c r="J82" s="34">
        <f>F82/12*G82</f>
        <v>7163.686999999999</v>
      </c>
      <c r="K82" s="34">
        <f>F82/12*G82</f>
        <v>7163.686999999999</v>
      </c>
      <c r="L82" s="34">
        <f>F82/12*G82</f>
        <v>7163.686999999999</v>
      </c>
      <c r="M82" s="34">
        <f>F82/12*G82</f>
        <v>7163.686999999999</v>
      </c>
      <c r="N82" s="34">
        <f>F82/12*G82</f>
        <v>7163.686999999999</v>
      </c>
      <c r="O82" s="34">
        <f>F82/12*G82</f>
        <v>7163.686999999999</v>
      </c>
      <c r="P82" s="34">
        <f>F82/12*G82</f>
        <v>7163.686999999999</v>
      </c>
      <c r="Q82" s="34">
        <f>F82/12*G82</f>
        <v>7163.686999999999</v>
      </c>
      <c r="R82" s="34">
        <f>F82/12*G82</f>
        <v>7163.686999999999</v>
      </c>
      <c r="S82" s="34">
        <f>F82/12*G82</f>
        <v>7163.686999999999</v>
      </c>
      <c r="T82" s="34">
        <f>F82/12*G82</f>
        <v>7163.686999999999</v>
      </c>
      <c r="U82" s="131">
        <f>SUM(I82:T82)</f>
        <v>85964.244000000006</v>
      </c>
      <c r="W82" s="176"/>
      <c r="X82" s="176"/>
      <c r="Y82" s="176"/>
      <c r="Z82" s="176"/>
    </row>
    <row r="83" spans="1:26" s="22" customFormat="1">
      <c r="A83" s="82"/>
      <c r="B83" s="88" t="s">
        <v>101</v>
      </c>
      <c r="C83" s="89"/>
      <c r="D83" s="88"/>
      <c r="E83" s="41"/>
      <c r="F83" s="41"/>
      <c r="G83" s="41"/>
      <c r="H83" s="75">
        <f>SUM(H82)</f>
        <v>85.964243999999994</v>
      </c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126">
        <f>SUM(U82)</f>
        <v>85964.244000000006</v>
      </c>
    </row>
    <row r="84" spans="1:26" s="22" customFormat="1">
      <c r="A84" s="82"/>
      <c r="B84" s="88" t="s">
        <v>102</v>
      </c>
      <c r="C84" s="90"/>
      <c r="D84" s="91"/>
      <c r="E84" s="92"/>
      <c r="F84" s="92"/>
      <c r="G84" s="92"/>
      <c r="H84" s="75">
        <f>SUM(H83+H81+H78+H52+H39+H31+H21)</f>
        <v>1086.9371867893333</v>
      </c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126">
        <f>SUM(U83+U81+U78+U52+U39+U31+U21)</f>
        <v>1052267.6495893332</v>
      </c>
    </row>
    <row r="85" spans="1:26">
      <c r="A85" s="87"/>
      <c r="B85" s="21" t="s">
        <v>103</v>
      </c>
      <c r="C85" s="64"/>
      <c r="D85" s="21"/>
      <c r="E85" s="50"/>
      <c r="F85" s="50"/>
      <c r="G85" s="50" t="s">
        <v>104</v>
      </c>
      <c r="H85" s="93">
        <f>E82</f>
        <v>4394.8999999999996</v>
      </c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</row>
    <row r="86" spans="1:26" s="22" customFormat="1">
      <c r="A86" s="82"/>
      <c r="B86" s="91" t="s">
        <v>105</v>
      </c>
      <c r="C86" s="90"/>
      <c r="D86" s="91"/>
      <c r="E86" s="92"/>
      <c r="F86" s="92"/>
      <c r="G86" s="92"/>
      <c r="H86" s="94">
        <f>SUM(H84/H85/12*1000)</f>
        <v>20.609820223238554</v>
      </c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127"/>
    </row>
    <row r="87" spans="1:26">
      <c r="A87" s="87"/>
      <c r="B87" s="21"/>
      <c r="C87" s="64"/>
      <c r="D87" s="21"/>
      <c r="E87" s="50"/>
      <c r="F87" s="50"/>
      <c r="G87" s="50"/>
      <c r="H87" s="95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128"/>
    </row>
    <row r="88" spans="1:26">
      <c r="A88" s="87"/>
      <c r="B88" s="68" t="s">
        <v>106</v>
      </c>
      <c r="C88" s="64"/>
      <c r="D88" s="21"/>
      <c r="E88" s="50"/>
      <c r="F88" s="50"/>
      <c r="G88" s="50"/>
      <c r="H88" s="50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</row>
    <row r="89" spans="1:26" s="132" customFormat="1" ht="25.5">
      <c r="A89" s="137" t="s">
        <v>123</v>
      </c>
      <c r="B89" s="138" t="s">
        <v>150</v>
      </c>
      <c r="C89" s="133" t="s">
        <v>151</v>
      </c>
      <c r="D89" s="139"/>
      <c r="E89" s="140"/>
      <c r="F89" s="140">
        <v>1</v>
      </c>
      <c r="G89" s="140">
        <v>383.01</v>
      </c>
      <c r="H89" s="140">
        <f>F89*G89/1000</f>
        <v>0.38301000000000002</v>
      </c>
      <c r="I89" s="34">
        <f>G89</f>
        <v>383.01</v>
      </c>
      <c r="J89" s="34">
        <v>0</v>
      </c>
      <c r="K89" s="34">
        <v>0</v>
      </c>
      <c r="L89" s="34">
        <v>0</v>
      </c>
      <c r="M89" s="34">
        <v>0</v>
      </c>
      <c r="N89" s="34">
        <v>0</v>
      </c>
      <c r="O89" s="34">
        <v>0</v>
      </c>
      <c r="P89" s="34">
        <v>0</v>
      </c>
      <c r="Q89" s="34">
        <v>0</v>
      </c>
      <c r="R89" s="34">
        <v>0</v>
      </c>
      <c r="S89" s="34">
        <v>0</v>
      </c>
      <c r="T89" s="34">
        <v>0</v>
      </c>
      <c r="U89" s="34">
        <f>SUM(I89:T89)</f>
        <v>383.01</v>
      </c>
    </row>
    <row r="90" spans="1:26" s="132" customFormat="1" ht="25.5">
      <c r="A90" s="137" t="s">
        <v>123</v>
      </c>
      <c r="B90" s="138" t="s">
        <v>124</v>
      </c>
      <c r="C90" s="135" t="s">
        <v>35</v>
      </c>
      <c r="D90" s="139"/>
      <c r="E90" s="140"/>
      <c r="F90" s="140">
        <v>3</v>
      </c>
      <c r="G90" s="140">
        <v>1835.8</v>
      </c>
      <c r="H90" s="140">
        <f>F90*G90/1000</f>
        <v>5.5073999999999996</v>
      </c>
      <c r="I90" s="34">
        <f>G90*2</f>
        <v>3671.6</v>
      </c>
      <c r="J90" s="34">
        <f>G90*1</f>
        <v>1835.8</v>
      </c>
      <c r="K90" s="34">
        <v>0</v>
      </c>
      <c r="L90" s="34">
        <v>0</v>
      </c>
      <c r="M90" s="34">
        <v>0</v>
      </c>
      <c r="N90" s="34">
        <v>0</v>
      </c>
      <c r="O90" s="34">
        <v>0</v>
      </c>
      <c r="P90" s="34">
        <v>0</v>
      </c>
      <c r="Q90" s="34">
        <v>0</v>
      </c>
      <c r="R90" s="34">
        <v>0</v>
      </c>
      <c r="S90" s="34">
        <v>0</v>
      </c>
      <c r="T90" s="34">
        <v>0</v>
      </c>
      <c r="U90" s="34">
        <f t="shared" ref="U90:U114" si="43">SUM(I90:T90)</f>
        <v>5507.4</v>
      </c>
    </row>
    <row r="91" spans="1:26" s="132" customFormat="1" ht="25.5">
      <c r="A91" s="135" t="s">
        <v>225</v>
      </c>
      <c r="B91" s="134" t="s">
        <v>122</v>
      </c>
      <c r="C91" s="135" t="s">
        <v>35</v>
      </c>
      <c r="D91" s="139"/>
      <c r="E91" s="140"/>
      <c r="F91" s="140">
        <v>7</v>
      </c>
      <c r="G91" s="140">
        <v>79.09</v>
      </c>
      <c r="H91" s="140">
        <f>F91*G91/1000</f>
        <v>0.55362999999999996</v>
      </c>
      <c r="I91" s="34">
        <f>G91</f>
        <v>79.09</v>
      </c>
      <c r="J91" s="34">
        <f>G91*1</f>
        <v>79.09</v>
      </c>
      <c r="K91" s="34">
        <v>0</v>
      </c>
      <c r="L91" s="34">
        <v>0</v>
      </c>
      <c r="M91" s="34">
        <v>0</v>
      </c>
      <c r="N91" s="34">
        <f>G91</f>
        <v>79.09</v>
      </c>
      <c r="O91" s="34">
        <v>0</v>
      </c>
      <c r="P91" s="34">
        <v>0</v>
      </c>
      <c r="Q91" s="34">
        <v>0</v>
      </c>
      <c r="R91" s="34">
        <f>G91*2</f>
        <v>158.18</v>
      </c>
      <c r="S91" s="34">
        <f>G91</f>
        <v>79.09</v>
      </c>
      <c r="T91" s="34">
        <f>G91</f>
        <v>79.09</v>
      </c>
      <c r="U91" s="34">
        <f t="shared" si="43"/>
        <v>553.63000000000011</v>
      </c>
    </row>
    <row r="92" spans="1:26" s="132" customFormat="1" ht="25.5">
      <c r="A92" s="136" t="s">
        <v>226</v>
      </c>
      <c r="B92" s="134" t="s">
        <v>139</v>
      </c>
      <c r="C92" s="136" t="s">
        <v>66</v>
      </c>
      <c r="D92" s="139"/>
      <c r="E92" s="140"/>
      <c r="F92" s="140">
        <v>948</v>
      </c>
      <c r="G92" s="140">
        <v>50.68</v>
      </c>
      <c r="H92" s="141">
        <f>G92*F92/1000</f>
        <v>48.044640000000001</v>
      </c>
      <c r="I92" s="34">
        <f>G92*79</f>
        <v>4003.72</v>
      </c>
      <c r="J92" s="34">
        <f>G92*79</f>
        <v>4003.72</v>
      </c>
      <c r="K92" s="34">
        <f>G92*79</f>
        <v>4003.72</v>
      </c>
      <c r="L92" s="34">
        <f>G92*79</f>
        <v>4003.72</v>
      </c>
      <c r="M92" s="34">
        <f>G92*79</f>
        <v>4003.72</v>
      </c>
      <c r="N92" s="34">
        <f>G92*79</f>
        <v>4003.72</v>
      </c>
      <c r="O92" s="34">
        <f>G92*79</f>
        <v>4003.72</v>
      </c>
      <c r="P92" s="34">
        <f>G92*79</f>
        <v>4003.72</v>
      </c>
      <c r="Q92" s="34">
        <f>G92*79</f>
        <v>4003.72</v>
      </c>
      <c r="R92" s="34">
        <f>G92*79</f>
        <v>4003.72</v>
      </c>
      <c r="S92" s="34">
        <f>G92*79</f>
        <v>4003.72</v>
      </c>
      <c r="T92" s="34">
        <f>G92*79</f>
        <v>4003.72</v>
      </c>
      <c r="U92" s="34">
        <f t="shared" si="43"/>
        <v>48044.640000000007</v>
      </c>
    </row>
    <row r="93" spans="1:26" s="132" customFormat="1" ht="25.5">
      <c r="A93" s="136" t="s">
        <v>227</v>
      </c>
      <c r="B93" s="134" t="s">
        <v>148</v>
      </c>
      <c r="C93" s="136" t="s">
        <v>66</v>
      </c>
      <c r="D93" s="133"/>
      <c r="E93" s="142"/>
      <c r="F93" s="142">
        <v>4</v>
      </c>
      <c r="G93" s="142">
        <v>180.15</v>
      </c>
      <c r="H93" s="143">
        <f>G93*F93/1000</f>
        <v>0.72060000000000002</v>
      </c>
      <c r="I93" s="34">
        <f>G93*1</f>
        <v>180.15</v>
      </c>
      <c r="J93" s="34">
        <f>G93*1</f>
        <v>180.15</v>
      </c>
      <c r="K93" s="34">
        <v>0</v>
      </c>
      <c r="L93" s="34">
        <v>0</v>
      </c>
      <c r="M93" s="34">
        <v>0</v>
      </c>
      <c r="N93" s="34">
        <v>0</v>
      </c>
      <c r="O93" s="34">
        <v>0</v>
      </c>
      <c r="P93" s="34">
        <v>0</v>
      </c>
      <c r="Q93" s="34">
        <f>G93</f>
        <v>180.15</v>
      </c>
      <c r="R93" s="34">
        <v>0</v>
      </c>
      <c r="S93" s="34">
        <f>G93</f>
        <v>180.15</v>
      </c>
      <c r="T93" s="34">
        <v>0</v>
      </c>
      <c r="U93" s="34">
        <f t="shared" si="43"/>
        <v>720.6</v>
      </c>
    </row>
    <row r="94" spans="1:26" s="132" customFormat="1" ht="25.5">
      <c r="A94" s="136" t="s">
        <v>228</v>
      </c>
      <c r="B94" s="134" t="s">
        <v>159</v>
      </c>
      <c r="C94" s="144" t="s">
        <v>160</v>
      </c>
      <c r="D94" s="139"/>
      <c r="E94" s="140"/>
      <c r="F94" s="140">
        <v>1</v>
      </c>
      <c r="G94" s="140">
        <v>172.17</v>
      </c>
      <c r="H94" s="143">
        <f>G94*F94/1000</f>
        <v>0.17216999999999999</v>
      </c>
      <c r="I94" s="34">
        <v>0</v>
      </c>
      <c r="J94" s="34">
        <f>G94</f>
        <v>172.17</v>
      </c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  <c r="Q94" s="34">
        <v>0</v>
      </c>
      <c r="R94" s="34">
        <v>0</v>
      </c>
      <c r="S94" s="34">
        <v>0</v>
      </c>
      <c r="T94" s="34">
        <v>0</v>
      </c>
      <c r="U94" s="34">
        <f t="shared" si="43"/>
        <v>172.17</v>
      </c>
    </row>
    <row r="95" spans="1:26" s="132" customFormat="1" ht="25.5">
      <c r="A95" s="136" t="s">
        <v>229</v>
      </c>
      <c r="B95" s="134" t="s">
        <v>156</v>
      </c>
      <c r="C95" s="136" t="s">
        <v>157</v>
      </c>
      <c r="D95" s="133"/>
      <c r="E95" s="142"/>
      <c r="F95" s="142">
        <v>2</v>
      </c>
      <c r="G95" s="142">
        <v>195.95</v>
      </c>
      <c r="H95" s="143">
        <f>G95*F95/1000</f>
        <v>0.39189999999999997</v>
      </c>
      <c r="I95" s="34">
        <v>0</v>
      </c>
      <c r="J95" s="34">
        <f>G95*2</f>
        <v>391.9</v>
      </c>
      <c r="K95" s="34">
        <v>0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  <c r="Q95" s="34">
        <v>0</v>
      </c>
      <c r="R95" s="34">
        <v>0</v>
      </c>
      <c r="S95" s="34">
        <v>0</v>
      </c>
      <c r="T95" s="34">
        <v>0</v>
      </c>
      <c r="U95" s="34">
        <f t="shared" si="43"/>
        <v>391.9</v>
      </c>
    </row>
    <row r="96" spans="1:26" ht="25.5">
      <c r="A96" s="144" t="s">
        <v>230</v>
      </c>
      <c r="B96" s="134" t="s">
        <v>142</v>
      </c>
      <c r="C96" s="118" t="s">
        <v>140</v>
      </c>
      <c r="D96" s="119"/>
      <c r="E96" s="65"/>
      <c r="F96" s="120">
        <v>5</v>
      </c>
      <c r="G96" s="65">
        <v>559.62</v>
      </c>
      <c r="H96" s="121">
        <f>G96*F96/1000</f>
        <v>2.7980999999999998</v>
      </c>
      <c r="I96" s="34">
        <v>0</v>
      </c>
      <c r="J96" s="34">
        <v>0</v>
      </c>
      <c r="K96" s="34">
        <f>G96*3</f>
        <v>1678.8600000000001</v>
      </c>
      <c r="L96" s="34">
        <v>0</v>
      </c>
      <c r="M96" s="34">
        <f>G96</f>
        <v>559.62</v>
      </c>
      <c r="N96" s="34">
        <v>0</v>
      </c>
      <c r="O96" s="34">
        <v>0</v>
      </c>
      <c r="P96" s="34">
        <v>0</v>
      </c>
      <c r="Q96" s="34">
        <v>0</v>
      </c>
      <c r="R96" s="34">
        <v>0</v>
      </c>
      <c r="S96" s="34">
        <v>0</v>
      </c>
      <c r="T96" s="34">
        <f>G96</f>
        <v>559.62</v>
      </c>
      <c r="U96" s="34">
        <f t="shared" si="43"/>
        <v>2798.1</v>
      </c>
    </row>
    <row r="97" spans="1:27" ht="25.5">
      <c r="A97" s="135" t="s">
        <v>121</v>
      </c>
      <c r="B97" s="134" t="s">
        <v>248</v>
      </c>
      <c r="C97" s="64" t="s">
        <v>137</v>
      </c>
      <c r="D97" s="21"/>
      <c r="E97" s="50"/>
      <c r="F97" s="50">
        <v>38</v>
      </c>
      <c r="G97" s="50">
        <v>1206</v>
      </c>
      <c r="H97" s="123">
        <f t="shared" ref="H97" si="44">G97*F97/1000</f>
        <v>45.828000000000003</v>
      </c>
      <c r="I97" s="34">
        <v>0</v>
      </c>
      <c r="J97" s="34">
        <v>0</v>
      </c>
      <c r="K97" s="34">
        <v>0</v>
      </c>
      <c r="L97" s="34">
        <v>0</v>
      </c>
      <c r="M97" s="34">
        <f>G97*(28+10)</f>
        <v>45828</v>
      </c>
      <c r="N97" s="34">
        <v>0</v>
      </c>
      <c r="O97" s="34">
        <v>0</v>
      </c>
      <c r="P97" s="34">
        <v>0</v>
      </c>
      <c r="Q97" s="34">
        <v>0</v>
      </c>
      <c r="R97" s="34">
        <v>0</v>
      </c>
      <c r="S97" s="34">
        <v>0</v>
      </c>
      <c r="T97" s="34">
        <v>0</v>
      </c>
      <c r="U97" s="34">
        <f t="shared" si="43"/>
        <v>45828</v>
      </c>
    </row>
    <row r="98" spans="1:27" ht="25.5">
      <c r="A98" s="135" t="s">
        <v>121</v>
      </c>
      <c r="B98" s="134" t="s">
        <v>249</v>
      </c>
      <c r="C98" s="64" t="s">
        <v>137</v>
      </c>
      <c r="D98" s="21"/>
      <c r="E98" s="50"/>
      <c r="F98" s="50">
        <v>17</v>
      </c>
      <c r="G98" s="50">
        <v>1146</v>
      </c>
      <c r="H98" s="123">
        <f t="shared" ref="H98:H104" si="45">G98*F98/1000</f>
        <v>19.481999999999999</v>
      </c>
      <c r="I98" s="34">
        <v>0</v>
      </c>
      <c r="J98" s="34">
        <v>0</v>
      </c>
      <c r="K98" s="34">
        <v>0</v>
      </c>
      <c r="L98" s="34">
        <v>0</v>
      </c>
      <c r="M98" s="34">
        <f>G98*(4+10+3)</f>
        <v>19482</v>
      </c>
      <c r="N98" s="34">
        <v>0</v>
      </c>
      <c r="O98" s="34">
        <v>0</v>
      </c>
      <c r="P98" s="34">
        <v>0</v>
      </c>
      <c r="Q98" s="34">
        <v>0</v>
      </c>
      <c r="R98" s="34">
        <v>0</v>
      </c>
      <c r="S98" s="34">
        <v>0</v>
      </c>
      <c r="T98" s="34">
        <v>0</v>
      </c>
      <c r="U98" s="34">
        <f t="shared" si="43"/>
        <v>19482</v>
      </c>
    </row>
    <row r="99" spans="1:27" ht="25.5">
      <c r="A99" s="135" t="s">
        <v>121</v>
      </c>
      <c r="B99" s="134" t="s">
        <v>250</v>
      </c>
      <c r="C99" s="64" t="s">
        <v>137</v>
      </c>
      <c r="D99" s="21"/>
      <c r="E99" s="50"/>
      <c r="F99" s="50">
        <v>2</v>
      </c>
      <c r="G99" s="50">
        <v>1272</v>
      </c>
      <c r="H99" s="123">
        <f t="shared" ref="H99" si="46">G99*F99/1000</f>
        <v>2.544</v>
      </c>
      <c r="I99" s="34">
        <v>0</v>
      </c>
      <c r="J99" s="34">
        <v>0</v>
      </c>
      <c r="K99" s="34">
        <v>0</v>
      </c>
      <c r="L99" s="34">
        <v>0</v>
      </c>
      <c r="M99" s="34">
        <f>G99*2</f>
        <v>2544</v>
      </c>
      <c r="N99" s="34">
        <v>0</v>
      </c>
      <c r="O99" s="34">
        <v>0</v>
      </c>
      <c r="P99" s="34">
        <v>0</v>
      </c>
      <c r="Q99" s="34">
        <v>0</v>
      </c>
      <c r="R99" s="34">
        <v>0</v>
      </c>
      <c r="S99" s="34">
        <v>0</v>
      </c>
      <c r="T99" s="34">
        <v>0</v>
      </c>
      <c r="U99" s="34">
        <f t="shared" si="43"/>
        <v>2544</v>
      </c>
    </row>
    <row r="100" spans="1:27" ht="38.25">
      <c r="A100" s="117" t="s">
        <v>231</v>
      </c>
      <c r="B100" s="146" t="s">
        <v>175</v>
      </c>
      <c r="C100" s="117" t="s">
        <v>176</v>
      </c>
      <c r="D100" s="21"/>
      <c r="E100" s="50"/>
      <c r="F100" s="50">
        <v>2</v>
      </c>
      <c r="G100" s="50">
        <v>51.39</v>
      </c>
      <c r="H100" s="123">
        <f t="shared" si="45"/>
        <v>0.10278</v>
      </c>
      <c r="I100" s="34">
        <v>0</v>
      </c>
      <c r="J100" s="34">
        <v>0</v>
      </c>
      <c r="K100" s="34">
        <v>0</v>
      </c>
      <c r="L100" s="34">
        <v>0</v>
      </c>
      <c r="M100" s="34">
        <f>G100*2</f>
        <v>102.78</v>
      </c>
      <c r="N100" s="34">
        <v>0</v>
      </c>
      <c r="O100" s="34">
        <v>0</v>
      </c>
      <c r="P100" s="34">
        <v>0</v>
      </c>
      <c r="Q100" s="34">
        <v>0</v>
      </c>
      <c r="R100" s="34">
        <v>0</v>
      </c>
      <c r="S100" s="34">
        <v>0</v>
      </c>
      <c r="T100" s="34">
        <v>0</v>
      </c>
      <c r="U100" s="34">
        <f t="shared" si="43"/>
        <v>102.78</v>
      </c>
    </row>
    <row r="101" spans="1:27" s="132" customFormat="1" ht="25.5">
      <c r="A101" s="136" t="s">
        <v>232</v>
      </c>
      <c r="B101" s="134" t="s">
        <v>177</v>
      </c>
      <c r="C101" s="136" t="s">
        <v>140</v>
      </c>
      <c r="D101" s="133"/>
      <c r="E101" s="142"/>
      <c r="F101" s="142">
        <v>1</v>
      </c>
      <c r="G101" s="142">
        <v>223.25</v>
      </c>
      <c r="H101" s="143">
        <f t="shared" si="45"/>
        <v>0.22325</v>
      </c>
      <c r="I101" s="34">
        <v>0</v>
      </c>
      <c r="J101" s="34">
        <v>0</v>
      </c>
      <c r="K101" s="34">
        <v>0</v>
      </c>
      <c r="L101" s="34">
        <v>0</v>
      </c>
      <c r="M101" s="34">
        <f>G101</f>
        <v>223.25</v>
      </c>
      <c r="N101" s="34">
        <v>0</v>
      </c>
      <c r="O101" s="34">
        <v>0</v>
      </c>
      <c r="P101" s="34">
        <v>0</v>
      </c>
      <c r="Q101" s="34">
        <v>0</v>
      </c>
      <c r="R101" s="34">
        <v>0</v>
      </c>
      <c r="S101" s="34">
        <v>0</v>
      </c>
      <c r="T101" s="34">
        <v>0</v>
      </c>
      <c r="U101" s="34">
        <f t="shared" si="43"/>
        <v>223.25</v>
      </c>
    </row>
    <row r="102" spans="1:27" s="132" customFormat="1" ht="25.5">
      <c r="A102" s="136" t="s">
        <v>233</v>
      </c>
      <c r="B102" s="134" t="s">
        <v>178</v>
      </c>
      <c r="C102" s="136" t="s">
        <v>140</v>
      </c>
      <c r="D102" s="133"/>
      <c r="E102" s="142"/>
      <c r="F102" s="142">
        <v>1</v>
      </c>
      <c r="G102" s="142">
        <v>290.67</v>
      </c>
      <c r="H102" s="143">
        <f t="shared" si="45"/>
        <v>0.29067000000000004</v>
      </c>
      <c r="I102" s="34">
        <v>0</v>
      </c>
      <c r="J102" s="34">
        <v>0</v>
      </c>
      <c r="K102" s="34">
        <v>0</v>
      </c>
      <c r="L102" s="34">
        <v>0</v>
      </c>
      <c r="M102" s="34">
        <f>G102</f>
        <v>290.67</v>
      </c>
      <c r="N102" s="34">
        <v>0</v>
      </c>
      <c r="O102" s="34">
        <v>0</v>
      </c>
      <c r="P102" s="34">
        <v>0</v>
      </c>
      <c r="Q102" s="34">
        <v>0</v>
      </c>
      <c r="R102" s="34">
        <v>0</v>
      </c>
      <c r="S102" s="34">
        <v>0</v>
      </c>
      <c r="T102" s="34">
        <v>0</v>
      </c>
      <c r="U102" s="34">
        <f t="shared" si="43"/>
        <v>290.67</v>
      </c>
    </row>
    <row r="103" spans="1:27" s="132" customFormat="1" ht="25.5">
      <c r="A103" s="144" t="s">
        <v>155</v>
      </c>
      <c r="B103" s="134" t="s">
        <v>154</v>
      </c>
      <c r="C103" s="118" t="s">
        <v>140</v>
      </c>
      <c r="D103" s="119"/>
      <c r="E103" s="65"/>
      <c r="F103" s="120">
        <v>1</v>
      </c>
      <c r="G103" s="65">
        <v>762.37</v>
      </c>
      <c r="H103" s="121">
        <f t="shared" si="45"/>
        <v>0.76236999999999999</v>
      </c>
      <c r="I103" s="34">
        <v>0</v>
      </c>
      <c r="J103" s="34">
        <v>0</v>
      </c>
      <c r="K103" s="34">
        <v>0</v>
      </c>
      <c r="L103" s="34">
        <v>0</v>
      </c>
      <c r="M103" s="34">
        <f>G103</f>
        <v>762.37</v>
      </c>
      <c r="N103" s="34">
        <v>0</v>
      </c>
      <c r="O103" s="34">
        <v>0</v>
      </c>
      <c r="P103" s="34">
        <v>0</v>
      </c>
      <c r="Q103" s="34">
        <v>0</v>
      </c>
      <c r="R103" s="34">
        <v>0</v>
      </c>
      <c r="S103" s="34">
        <v>0</v>
      </c>
      <c r="T103" s="34">
        <v>0</v>
      </c>
      <c r="U103" s="34">
        <f t="shared" si="43"/>
        <v>762.37</v>
      </c>
    </row>
    <row r="104" spans="1:27" ht="25.5">
      <c r="A104" s="144" t="s">
        <v>234</v>
      </c>
      <c r="B104" s="134" t="s">
        <v>179</v>
      </c>
      <c r="C104" s="118" t="s">
        <v>140</v>
      </c>
      <c r="D104" s="119"/>
      <c r="E104" s="65"/>
      <c r="F104" s="120">
        <v>4</v>
      </c>
      <c r="G104" s="65">
        <v>476.76</v>
      </c>
      <c r="H104" s="121">
        <f t="shared" si="45"/>
        <v>1.9070400000000001</v>
      </c>
      <c r="I104" s="34">
        <v>0</v>
      </c>
      <c r="J104" s="34">
        <v>0</v>
      </c>
      <c r="K104" s="34">
        <v>0</v>
      </c>
      <c r="L104" s="34">
        <v>0</v>
      </c>
      <c r="M104" s="34">
        <f>G104</f>
        <v>476.76</v>
      </c>
      <c r="N104" s="34">
        <v>0</v>
      </c>
      <c r="O104" s="34">
        <v>0</v>
      </c>
      <c r="P104" s="34">
        <v>0</v>
      </c>
      <c r="Q104" s="34">
        <v>0</v>
      </c>
      <c r="R104" s="34">
        <f>G104</f>
        <v>476.76</v>
      </c>
      <c r="S104" s="34">
        <f>G104*2</f>
        <v>953.52</v>
      </c>
      <c r="T104" s="34">
        <v>0</v>
      </c>
      <c r="U104" s="34">
        <f t="shared" si="43"/>
        <v>1907.04</v>
      </c>
    </row>
    <row r="105" spans="1:27">
      <c r="A105" s="136" t="s">
        <v>235</v>
      </c>
      <c r="B105" s="134" t="s">
        <v>180</v>
      </c>
      <c r="C105" s="117" t="s">
        <v>147</v>
      </c>
      <c r="D105" s="119"/>
      <c r="E105" s="65"/>
      <c r="F105" s="120">
        <v>0.01</v>
      </c>
      <c r="G105" s="65">
        <v>7033.13</v>
      </c>
      <c r="H105" s="121">
        <f t="shared" ref="H105:H106" si="47">G105*F105/1000</f>
        <v>7.0331299999999999E-2</v>
      </c>
      <c r="I105" s="34">
        <v>0</v>
      </c>
      <c r="J105" s="34">
        <v>0</v>
      </c>
      <c r="K105" s="34">
        <v>0</v>
      </c>
      <c r="L105" s="34">
        <v>0</v>
      </c>
      <c r="M105" s="34">
        <f>G105*0.01</f>
        <v>70.331299999999999</v>
      </c>
      <c r="N105" s="34">
        <v>0</v>
      </c>
      <c r="O105" s="34">
        <v>0</v>
      </c>
      <c r="P105" s="34">
        <v>0</v>
      </c>
      <c r="Q105" s="34">
        <v>0</v>
      </c>
      <c r="R105" s="34">
        <v>0</v>
      </c>
      <c r="S105" s="34">
        <v>0</v>
      </c>
      <c r="T105" s="34">
        <v>0</v>
      </c>
      <c r="U105" s="34">
        <f t="shared" si="43"/>
        <v>70.331299999999999</v>
      </c>
    </row>
    <row r="106" spans="1:27">
      <c r="A106" s="160" t="s">
        <v>236</v>
      </c>
      <c r="B106" s="161" t="s">
        <v>182</v>
      </c>
      <c r="C106" s="160" t="s">
        <v>183</v>
      </c>
      <c r="D106" s="21"/>
      <c r="E106" s="50"/>
      <c r="F106" s="50">
        <f>58/3</f>
        <v>19.333333333333332</v>
      </c>
      <c r="G106" s="50">
        <v>1063.47</v>
      </c>
      <c r="H106" s="123">
        <f t="shared" si="47"/>
        <v>20.560419999999997</v>
      </c>
      <c r="I106" s="34">
        <v>0</v>
      </c>
      <c r="J106" s="34">
        <v>0</v>
      </c>
      <c r="K106" s="34">
        <v>0</v>
      </c>
      <c r="L106" s="34">
        <v>0</v>
      </c>
      <c r="M106" s="34">
        <v>0</v>
      </c>
      <c r="N106" s="34">
        <v>0</v>
      </c>
      <c r="O106" s="34">
        <f>G106*((3+6+7)/3)</f>
        <v>5671.84</v>
      </c>
      <c r="P106" s="34">
        <f>G106*((3+3+3+3)/3)</f>
        <v>4253.88</v>
      </c>
      <c r="Q106" s="34">
        <f>G106*((3+3+3+3+3)/3)</f>
        <v>5317.35</v>
      </c>
      <c r="R106" s="34">
        <f>G106*((3+3+3+3)/3)</f>
        <v>4253.88</v>
      </c>
      <c r="S106" s="34">
        <f>G106</f>
        <v>1063.47</v>
      </c>
      <c r="T106" s="34">
        <v>0</v>
      </c>
      <c r="U106" s="34">
        <f t="shared" si="43"/>
        <v>20560.420000000002</v>
      </c>
    </row>
    <row r="107" spans="1:27" ht="25.5">
      <c r="A107" s="136" t="s">
        <v>209</v>
      </c>
      <c r="B107" s="134" t="s">
        <v>138</v>
      </c>
      <c r="C107" s="117" t="s">
        <v>63</v>
      </c>
      <c r="D107" s="21"/>
      <c r="E107" s="50"/>
      <c r="F107" s="50">
        <v>7.0000000000000007E-2</v>
      </c>
      <c r="G107" s="50">
        <v>3397.65</v>
      </c>
      <c r="H107" s="123">
        <f>G107*F107/1000</f>
        <v>0.23783550000000003</v>
      </c>
      <c r="I107" s="34">
        <v>0</v>
      </c>
      <c r="J107" s="34">
        <v>0</v>
      </c>
      <c r="K107" s="34">
        <v>0</v>
      </c>
      <c r="L107" s="34">
        <v>0</v>
      </c>
      <c r="M107" s="34">
        <v>0</v>
      </c>
      <c r="N107" s="34">
        <v>0</v>
      </c>
      <c r="O107" s="34">
        <f>G107*0.01</f>
        <v>33.976500000000001</v>
      </c>
      <c r="P107" s="34">
        <f>G107*0.02</f>
        <v>67.953000000000003</v>
      </c>
      <c r="Q107" s="34">
        <f>G107*0.01</f>
        <v>33.976500000000001</v>
      </c>
      <c r="R107" s="34">
        <f>G107*0.02</f>
        <v>67.953000000000003</v>
      </c>
      <c r="S107" s="34">
        <v>0</v>
      </c>
      <c r="T107" s="34">
        <f>G107*0.01</f>
        <v>33.976500000000001</v>
      </c>
      <c r="U107" s="34">
        <f t="shared" si="43"/>
        <v>237.83550000000002</v>
      </c>
    </row>
    <row r="108" spans="1:27" ht="25.5" customHeight="1">
      <c r="A108" s="117" t="s">
        <v>237</v>
      </c>
      <c r="B108" s="146" t="s">
        <v>238</v>
      </c>
      <c r="C108" s="117" t="s">
        <v>137</v>
      </c>
      <c r="D108" s="21"/>
      <c r="E108" s="50"/>
      <c r="F108" s="50">
        <v>4</v>
      </c>
      <c r="G108" s="140">
        <v>664.36</v>
      </c>
      <c r="H108" s="123">
        <f>G108*F108/1000</f>
        <v>2.6574400000000002</v>
      </c>
      <c r="I108" s="34">
        <v>0</v>
      </c>
      <c r="J108" s="34">
        <v>0</v>
      </c>
      <c r="K108" s="34">
        <v>0</v>
      </c>
      <c r="L108" s="34">
        <v>0</v>
      </c>
      <c r="M108" s="34">
        <v>0</v>
      </c>
      <c r="N108" s="34">
        <v>0</v>
      </c>
      <c r="O108" s="34">
        <v>0</v>
      </c>
      <c r="P108" s="34">
        <f>G108*2</f>
        <v>1328.72</v>
      </c>
      <c r="Q108" s="34">
        <v>0</v>
      </c>
      <c r="R108" s="34">
        <f>G108*2</f>
        <v>1328.72</v>
      </c>
      <c r="S108" s="34">
        <v>0</v>
      </c>
      <c r="T108" s="34">
        <v>0</v>
      </c>
      <c r="U108" s="34">
        <f t="shared" si="43"/>
        <v>2657.44</v>
      </c>
    </row>
    <row r="109" spans="1:27" ht="12.75" customHeight="1">
      <c r="A109" s="136" t="s">
        <v>240</v>
      </c>
      <c r="B109" s="134" t="s">
        <v>241</v>
      </c>
      <c r="C109" s="136" t="s">
        <v>140</v>
      </c>
      <c r="D109" s="21"/>
      <c r="E109" s="50"/>
      <c r="F109" s="50">
        <v>1</v>
      </c>
      <c r="G109" s="140">
        <v>454.22</v>
      </c>
      <c r="H109" s="123">
        <f>G109*F109/1000</f>
        <v>0.45422000000000001</v>
      </c>
      <c r="I109" s="34">
        <v>0</v>
      </c>
      <c r="J109" s="34">
        <v>0</v>
      </c>
      <c r="K109" s="34">
        <v>0</v>
      </c>
      <c r="L109" s="34">
        <v>0</v>
      </c>
      <c r="M109" s="34">
        <v>0</v>
      </c>
      <c r="N109" s="34">
        <v>0</v>
      </c>
      <c r="O109" s="34">
        <v>0</v>
      </c>
      <c r="P109" s="34">
        <f>G109</f>
        <v>454.22</v>
      </c>
      <c r="Q109" s="34">
        <v>0</v>
      </c>
      <c r="R109" s="34">
        <v>0</v>
      </c>
      <c r="S109" s="34">
        <v>0</v>
      </c>
      <c r="T109" s="34">
        <v>0</v>
      </c>
      <c r="U109" s="34">
        <f t="shared" si="43"/>
        <v>454.22</v>
      </c>
    </row>
    <row r="110" spans="1:27">
      <c r="A110" s="117" t="s">
        <v>239</v>
      </c>
      <c r="B110" s="146" t="s">
        <v>242</v>
      </c>
      <c r="C110" s="117" t="s">
        <v>66</v>
      </c>
      <c r="D110" s="21"/>
      <c r="E110" s="50"/>
      <c r="F110" s="50">
        <v>1</v>
      </c>
      <c r="G110" s="50">
        <v>45.79</v>
      </c>
      <c r="H110" s="123">
        <f t="shared" ref="H110:H115" si="48">G110*F110/1000</f>
        <v>4.5789999999999997E-2</v>
      </c>
      <c r="I110" s="34">
        <v>0</v>
      </c>
      <c r="J110" s="34">
        <v>0</v>
      </c>
      <c r="K110" s="34">
        <v>0</v>
      </c>
      <c r="L110" s="34">
        <v>0</v>
      </c>
      <c r="M110" s="34">
        <v>0</v>
      </c>
      <c r="N110" s="34">
        <v>0</v>
      </c>
      <c r="O110" s="34">
        <v>0</v>
      </c>
      <c r="P110" s="34">
        <f>G110</f>
        <v>45.79</v>
      </c>
      <c r="Q110" s="34">
        <v>0</v>
      </c>
      <c r="R110" s="34">
        <v>0</v>
      </c>
      <c r="S110" s="34">
        <v>0</v>
      </c>
      <c r="T110" s="34">
        <v>0</v>
      </c>
      <c r="U110" s="34">
        <f t="shared" si="43"/>
        <v>45.79</v>
      </c>
      <c r="V110" s="163"/>
      <c r="W110" s="163"/>
      <c r="X110" s="163"/>
      <c r="Y110" s="163"/>
      <c r="Z110" s="163"/>
      <c r="AA110" s="163"/>
    </row>
    <row r="111" spans="1:27" ht="12.75" customHeight="1">
      <c r="A111" s="117" t="s">
        <v>239</v>
      </c>
      <c r="B111" s="146" t="s">
        <v>243</v>
      </c>
      <c r="C111" s="117" t="s">
        <v>66</v>
      </c>
      <c r="D111" s="21"/>
      <c r="E111" s="50"/>
      <c r="F111" s="50">
        <v>2</v>
      </c>
      <c r="G111" s="50">
        <v>78.89</v>
      </c>
      <c r="H111" s="123">
        <f t="shared" si="48"/>
        <v>0.15778</v>
      </c>
      <c r="I111" s="34">
        <v>0</v>
      </c>
      <c r="J111" s="34">
        <v>0</v>
      </c>
      <c r="K111" s="34">
        <v>0</v>
      </c>
      <c r="L111" s="34">
        <v>0</v>
      </c>
      <c r="M111" s="34">
        <v>0</v>
      </c>
      <c r="N111" s="34">
        <v>0</v>
      </c>
      <c r="O111" s="34">
        <v>0</v>
      </c>
      <c r="P111" s="34">
        <f>G111</f>
        <v>78.89</v>
      </c>
      <c r="Q111" s="34">
        <v>0</v>
      </c>
      <c r="R111" s="34">
        <f>G111</f>
        <v>78.89</v>
      </c>
      <c r="S111" s="34">
        <v>0</v>
      </c>
      <c r="T111" s="34">
        <v>0</v>
      </c>
      <c r="U111" s="34">
        <f t="shared" si="43"/>
        <v>157.78</v>
      </c>
    </row>
    <row r="112" spans="1:27" ht="12.75" customHeight="1">
      <c r="A112" s="117" t="s">
        <v>239</v>
      </c>
      <c r="B112" s="146" t="s">
        <v>244</v>
      </c>
      <c r="C112" s="117" t="s">
        <v>66</v>
      </c>
      <c r="D112" s="21"/>
      <c r="E112" s="50"/>
      <c r="F112" s="50">
        <v>2</v>
      </c>
      <c r="G112" s="50">
        <v>19.059999999999999</v>
      </c>
      <c r="H112" s="123">
        <f t="shared" si="48"/>
        <v>3.8119999999999994E-2</v>
      </c>
      <c r="I112" s="34">
        <v>0</v>
      </c>
      <c r="J112" s="34">
        <v>0</v>
      </c>
      <c r="K112" s="34">
        <v>0</v>
      </c>
      <c r="L112" s="34">
        <v>0</v>
      </c>
      <c r="M112" s="34">
        <v>0</v>
      </c>
      <c r="N112" s="34">
        <v>0</v>
      </c>
      <c r="O112" s="34">
        <v>0</v>
      </c>
      <c r="P112" s="34">
        <f>G112*2</f>
        <v>38.119999999999997</v>
      </c>
      <c r="Q112" s="34">
        <v>0</v>
      </c>
      <c r="R112" s="34">
        <v>0</v>
      </c>
      <c r="S112" s="34">
        <v>0</v>
      </c>
      <c r="T112" s="34">
        <v>0</v>
      </c>
      <c r="U112" s="34">
        <f t="shared" si="43"/>
        <v>38.119999999999997</v>
      </c>
    </row>
    <row r="113" spans="1:27" ht="25.5">
      <c r="A113" s="117" t="s">
        <v>245</v>
      </c>
      <c r="B113" s="146" t="s">
        <v>246</v>
      </c>
      <c r="C113" s="164" t="s">
        <v>247</v>
      </c>
      <c r="D113" s="21"/>
      <c r="E113" s="50"/>
      <c r="F113" s="50">
        <v>1</v>
      </c>
      <c r="G113" s="50">
        <f>228.27</f>
        <v>228.27</v>
      </c>
      <c r="H113" s="123">
        <f t="shared" si="48"/>
        <v>0.22827</v>
      </c>
      <c r="I113" s="34">
        <v>0</v>
      </c>
      <c r="J113" s="34">
        <v>0</v>
      </c>
      <c r="K113" s="34">
        <v>0</v>
      </c>
      <c r="L113" s="34">
        <v>0</v>
      </c>
      <c r="M113" s="34">
        <v>0</v>
      </c>
      <c r="N113" s="34">
        <v>0</v>
      </c>
      <c r="O113" s="34">
        <v>0</v>
      </c>
      <c r="P113" s="34">
        <f>G113</f>
        <v>228.27</v>
      </c>
      <c r="Q113" s="34">
        <v>0</v>
      </c>
      <c r="R113" s="34">
        <v>0</v>
      </c>
      <c r="S113" s="34">
        <v>0</v>
      </c>
      <c r="T113" s="34">
        <v>0</v>
      </c>
      <c r="U113" s="34">
        <f t="shared" si="43"/>
        <v>228.27</v>
      </c>
    </row>
    <row r="114" spans="1:27" ht="25.5">
      <c r="A114" s="135" t="s">
        <v>121</v>
      </c>
      <c r="B114" s="134" t="s">
        <v>251</v>
      </c>
      <c r="C114" s="64" t="s">
        <v>137</v>
      </c>
      <c r="D114" s="21"/>
      <c r="E114" s="50"/>
      <c r="F114" s="50">
        <v>12</v>
      </c>
      <c r="G114" s="50">
        <v>1187</v>
      </c>
      <c r="H114" s="123">
        <f t="shared" si="48"/>
        <v>14.244</v>
      </c>
      <c r="I114" s="34">
        <v>0</v>
      </c>
      <c r="J114" s="34">
        <v>0</v>
      </c>
      <c r="K114" s="34">
        <v>0</v>
      </c>
      <c r="L114" s="34">
        <v>0</v>
      </c>
      <c r="M114" s="34">
        <v>0</v>
      </c>
      <c r="N114" s="34">
        <v>0</v>
      </c>
      <c r="O114" s="34">
        <v>0</v>
      </c>
      <c r="P114" s="34">
        <f>G114*8</f>
        <v>9496</v>
      </c>
      <c r="Q114" s="34">
        <v>0</v>
      </c>
      <c r="R114" s="34">
        <v>0</v>
      </c>
      <c r="S114" s="34">
        <v>0</v>
      </c>
      <c r="T114" s="34">
        <f>G114*4</f>
        <v>4748</v>
      </c>
      <c r="U114" s="34">
        <f t="shared" si="43"/>
        <v>14244</v>
      </c>
    </row>
    <row r="115" spans="1:27" ht="25.5">
      <c r="A115" s="117" t="s">
        <v>239</v>
      </c>
      <c r="B115" s="146" t="s">
        <v>273</v>
      </c>
      <c r="C115" s="117" t="s">
        <v>66</v>
      </c>
      <c r="D115" s="21"/>
      <c r="E115" s="50"/>
      <c r="F115" s="50">
        <v>2</v>
      </c>
      <c r="G115" s="50">
        <v>29282.880000000001</v>
      </c>
      <c r="H115" s="123">
        <f t="shared" si="48"/>
        <v>58.565760000000004</v>
      </c>
      <c r="I115" s="34">
        <v>0</v>
      </c>
      <c r="J115" s="34">
        <v>0</v>
      </c>
      <c r="K115" s="34">
        <v>0</v>
      </c>
      <c r="L115" s="34">
        <v>0</v>
      </c>
      <c r="M115" s="34">
        <v>0</v>
      </c>
      <c r="N115" s="34">
        <v>0</v>
      </c>
      <c r="O115" s="34">
        <v>0</v>
      </c>
      <c r="P115" s="34">
        <f>G115*2</f>
        <v>58565.760000000002</v>
      </c>
      <c r="Q115" s="34">
        <v>0</v>
      </c>
      <c r="R115" s="34">
        <v>0</v>
      </c>
      <c r="S115" s="34">
        <v>0</v>
      </c>
      <c r="T115" s="34">
        <v>0</v>
      </c>
      <c r="U115" s="34">
        <f t="shared" ref="U115" si="49">SUM(I115:T115)</f>
        <v>58565.760000000002</v>
      </c>
      <c r="V115" s="163"/>
      <c r="W115" s="163"/>
      <c r="X115" s="163"/>
      <c r="Y115" s="163"/>
      <c r="Z115" s="163"/>
      <c r="AA115" s="163"/>
    </row>
    <row r="116" spans="1:27" ht="25.5" customHeight="1">
      <c r="A116" s="135" t="s">
        <v>121</v>
      </c>
      <c r="B116" s="134" t="s">
        <v>252</v>
      </c>
      <c r="C116" s="64" t="s">
        <v>137</v>
      </c>
      <c r="D116" s="21"/>
      <c r="E116" s="50"/>
      <c r="F116" s="50">
        <v>1.5</v>
      </c>
      <c r="G116" s="50">
        <v>2121</v>
      </c>
      <c r="H116" s="123">
        <f t="shared" ref="H116" si="50">G116*F116/1000</f>
        <v>3.1815000000000002</v>
      </c>
      <c r="I116" s="34">
        <v>0</v>
      </c>
      <c r="J116" s="34">
        <v>0</v>
      </c>
      <c r="K116" s="34">
        <v>0</v>
      </c>
      <c r="L116" s="34">
        <v>0</v>
      </c>
      <c r="M116" s="34">
        <v>0</v>
      </c>
      <c r="N116" s="34">
        <v>0</v>
      </c>
      <c r="O116" s="34">
        <v>0</v>
      </c>
      <c r="P116" s="34">
        <v>0</v>
      </c>
      <c r="Q116" s="34">
        <f>G116*1.5</f>
        <v>3181.5</v>
      </c>
      <c r="R116" s="34">
        <v>0</v>
      </c>
      <c r="S116" s="34">
        <v>0</v>
      </c>
      <c r="T116" s="34">
        <v>0</v>
      </c>
      <c r="U116" s="34">
        <f t="shared" ref="U116:U127" si="51">SUM(I116:T116)</f>
        <v>3181.5</v>
      </c>
    </row>
    <row r="117" spans="1:27" ht="12.75" customHeight="1">
      <c r="A117" s="135"/>
      <c r="B117" s="134" t="s">
        <v>253</v>
      </c>
      <c r="C117" s="64" t="s">
        <v>66</v>
      </c>
      <c r="D117" s="21"/>
      <c r="E117" s="50"/>
      <c r="F117" s="50">
        <v>1</v>
      </c>
      <c r="G117" s="50">
        <v>470</v>
      </c>
      <c r="H117" s="123">
        <v>0.47</v>
      </c>
      <c r="I117" s="34">
        <v>0</v>
      </c>
      <c r="J117" s="34">
        <v>0</v>
      </c>
      <c r="K117" s="34">
        <v>0</v>
      </c>
      <c r="L117" s="34">
        <v>0</v>
      </c>
      <c r="M117" s="34">
        <v>0</v>
      </c>
      <c r="N117" s="34">
        <v>0</v>
      </c>
      <c r="O117" s="34">
        <v>0</v>
      </c>
      <c r="P117" s="34">
        <v>0</v>
      </c>
      <c r="Q117" s="34">
        <v>0</v>
      </c>
      <c r="R117" s="34">
        <f>G117</f>
        <v>470</v>
      </c>
      <c r="S117" s="34">
        <v>0</v>
      </c>
      <c r="T117" s="34">
        <v>0</v>
      </c>
      <c r="U117" s="34">
        <f t="shared" si="51"/>
        <v>470</v>
      </c>
    </row>
    <row r="118" spans="1:27" ht="12.75" customHeight="1">
      <c r="A118" s="117" t="s">
        <v>239</v>
      </c>
      <c r="B118" s="146" t="s">
        <v>255</v>
      </c>
      <c r="C118" s="117" t="s">
        <v>66</v>
      </c>
      <c r="D118" s="21"/>
      <c r="E118" s="50"/>
      <c r="F118" s="50">
        <v>1</v>
      </c>
      <c r="G118" s="50">
        <v>53.17</v>
      </c>
      <c r="H118" s="123">
        <f t="shared" ref="H118:H127" si="52">G118*F118/1000</f>
        <v>5.3170000000000002E-2</v>
      </c>
      <c r="I118" s="34">
        <v>0</v>
      </c>
      <c r="J118" s="34">
        <v>0</v>
      </c>
      <c r="K118" s="34">
        <v>0</v>
      </c>
      <c r="L118" s="34">
        <v>0</v>
      </c>
      <c r="M118" s="34">
        <v>0</v>
      </c>
      <c r="N118" s="34">
        <v>0</v>
      </c>
      <c r="O118" s="34">
        <v>0</v>
      </c>
      <c r="P118" s="34">
        <v>0</v>
      </c>
      <c r="Q118" s="34">
        <v>0</v>
      </c>
      <c r="R118" s="34">
        <f>G118</f>
        <v>53.17</v>
      </c>
      <c r="S118" s="34">
        <v>0</v>
      </c>
      <c r="T118" s="34">
        <v>0</v>
      </c>
      <c r="U118" s="34">
        <f t="shared" si="51"/>
        <v>53.17</v>
      </c>
    </row>
    <row r="119" spans="1:27" ht="12.75" customHeight="1">
      <c r="A119" s="117" t="s">
        <v>239</v>
      </c>
      <c r="B119" s="146" t="s">
        <v>254</v>
      </c>
      <c r="C119" s="117" t="s">
        <v>66</v>
      </c>
      <c r="D119" s="21"/>
      <c r="E119" s="50"/>
      <c r="F119" s="50">
        <v>2</v>
      </c>
      <c r="G119" s="50">
        <v>109.73</v>
      </c>
      <c r="H119" s="123">
        <f t="shared" si="52"/>
        <v>0.21946000000000002</v>
      </c>
      <c r="I119" s="34">
        <v>0</v>
      </c>
      <c r="J119" s="34">
        <v>0</v>
      </c>
      <c r="K119" s="34">
        <v>0</v>
      </c>
      <c r="L119" s="34">
        <v>0</v>
      </c>
      <c r="M119" s="34">
        <v>0</v>
      </c>
      <c r="N119" s="34">
        <v>0</v>
      </c>
      <c r="O119" s="34">
        <v>0</v>
      </c>
      <c r="P119" s="34">
        <v>0</v>
      </c>
      <c r="Q119" s="34">
        <v>0</v>
      </c>
      <c r="R119" s="34">
        <f>G119*2</f>
        <v>219.46</v>
      </c>
      <c r="S119" s="34">
        <v>0</v>
      </c>
      <c r="T119" s="34">
        <v>0</v>
      </c>
      <c r="U119" s="34">
        <f t="shared" si="51"/>
        <v>219.46</v>
      </c>
    </row>
    <row r="120" spans="1:27" ht="25.5" customHeight="1">
      <c r="A120" s="117" t="s">
        <v>267</v>
      </c>
      <c r="B120" s="146" t="s">
        <v>265</v>
      </c>
      <c r="C120" s="117" t="s">
        <v>266</v>
      </c>
      <c r="D120" s="21"/>
      <c r="E120" s="50"/>
      <c r="F120" s="50">
        <f>15/10</f>
        <v>1.5</v>
      </c>
      <c r="G120" s="50">
        <v>99.06</v>
      </c>
      <c r="H120" s="123">
        <f t="shared" si="52"/>
        <v>0.14859</v>
      </c>
      <c r="I120" s="34">
        <v>0</v>
      </c>
      <c r="J120" s="34">
        <v>0</v>
      </c>
      <c r="K120" s="34">
        <v>0</v>
      </c>
      <c r="L120" s="34">
        <v>0</v>
      </c>
      <c r="M120" s="34">
        <v>0</v>
      </c>
      <c r="N120" s="34">
        <v>0</v>
      </c>
      <c r="O120" s="34">
        <v>0</v>
      </c>
      <c r="P120" s="34">
        <v>0</v>
      </c>
      <c r="Q120" s="34">
        <v>0</v>
      </c>
      <c r="R120" s="34">
        <f>G120*F120</f>
        <v>148.59</v>
      </c>
      <c r="S120" s="34">
        <v>0</v>
      </c>
      <c r="T120" s="34">
        <v>0</v>
      </c>
      <c r="U120" s="34">
        <f t="shared" si="51"/>
        <v>148.59</v>
      </c>
    </row>
    <row r="121" spans="1:27" ht="12.75" customHeight="1">
      <c r="A121" s="164" t="s">
        <v>270</v>
      </c>
      <c r="B121" s="146" t="s">
        <v>268</v>
      </c>
      <c r="C121" s="117" t="s">
        <v>269</v>
      </c>
      <c r="D121" s="21"/>
      <c r="E121" s="50"/>
      <c r="F121" s="50">
        <v>15</v>
      </c>
      <c r="G121" s="50">
        <v>83.63</v>
      </c>
      <c r="H121" s="123">
        <f t="shared" si="52"/>
        <v>1.2544499999999998</v>
      </c>
      <c r="I121" s="34">
        <v>0</v>
      </c>
      <c r="J121" s="34">
        <v>0</v>
      </c>
      <c r="K121" s="34">
        <v>0</v>
      </c>
      <c r="L121" s="34">
        <v>0</v>
      </c>
      <c r="M121" s="34">
        <v>0</v>
      </c>
      <c r="N121" s="34">
        <v>0</v>
      </c>
      <c r="O121" s="34">
        <v>0</v>
      </c>
      <c r="P121" s="34">
        <v>0</v>
      </c>
      <c r="Q121" s="34">
        <v>0</v>
      </c>
      <c r="R121" s="34">
        <f>G121*15</f>
        <v>1254.4499999999998</v>
      </c>
      <c r="S121" s="34">
        <v>0</v>
      </c>
      <c r="T121" s="34">
        <v>0</v>
      </c>
      <c r="U121" s="34">
        <f t="shared" si="51"/>
        <v>1254.4499999999998</v>
      </c>
    </row>
    <row r="122" spans="1:27" ht="12.75" customHeight="1">
      <c r="A122" s="164" t="s">
        <v>256</v>
      </c>
      <c r="B122" s="146" t="s">
        <v>257</v>
      </c>
      <c r="C122" s="117" t="s">
        <v>66</v>
      </c>
      <c r="D122" s="21"/>
      <c r="E122" s="50"/>
      <c r="F122" s="50">
        <v>1</v>
      </c>
      <c r="G122" s="50">
        <v>2179.33</v>
      </c>
      <c r="H122" s="123">
        <f t="shared" si="52"/>
        <v>2.1793299999999998</v>
      </c>
      <c r="I122" s="34">
        <v>0</v>
      </c>
      <c r="J122" s="34">
        <v>0</v>
      </c>
      <c r="K122" s="34">
        <v>0</v>
      </c>
      <c r="L122" s="34">
        <v>0</v>
      </c>
      <c r="M122" s="34">
        <v>0</v>
      </c>
      <c r="N122" s="34">
        <v>0</v>
      </c>
      <c r="O122" s="34">
        <v>0</v>
      </c>
      <c r="P122" s="34">
        <v>0</v>
      </c>
      <c r="Q122" s="34">
        <v>0</v>
      </c>
      <c r="R122" s="34">
        <f>G122</f>
        <v>2179.33</v>
      </c>
      <c r="S122" s="34">
        <v>0</v>
      </c>
      <c r="T122" s="34">
        <v>0</v>
      </c>
      <c r="U122" s="34">
        <f t="shared" si="51"/>
        <v>2179.33</v>
      </c>
    </row>
    <row r="123" spans="1:27" ht="12.75" customHeight="1">
      <c r="A123" s="117" t="s">
        <v>259</v>
      </c>
      <c r="B123" s="146" t="s">
        <v>258</v>
      </c>
      <c r="C123" s="117" t="s">
        <v>66</v>
      </c>
      <c r="D123" s="21"/>
      <c r="E123" s="50"/>
      <c r="F123" s="50">
        <v>5</v>
      </c>
      <c r="G123" s="50">
        <v>1061.4100000000001</v>
      </c>
      <c r="H123" s="123">
        <f t="shared" si="52"/>
        <v>5.3070500000000003</v>
      </c>
      <c r="I123" s="34">
        <v>0</v>
      </c>
      <c r="J123" s="34">
        <v>0</v>
      </c>
      <c r="K123" s="34">
        <v>0</v>
      </c>
      <c r="L123" s="34">
        <v>0</v>
      </c>
      <c r="M123" s="34">
        <v>0</v>
      </c>
      <c r="N123" s="34">
        <v>0</v>
      </c>
      <c r="O123" s="34">
        <v>0</v>
      </c>
      <c r="P123" s="34">
        <v>0</v>
      </c>
      <c r="Q123" s="34">
        <v>0</v>
      </c>
      <c r="R123" s="34">
        <f>G123*(4+1)</f>
        <v>5307.05</v>
      </c>
      <c r="S123" s="34">
        <v>0</v>
      </c>
      <c r="T123" s="34">
        <v>0</v>
      </c>
      <c r="U123" s="34">
        <f t="shared" si="51"/>
        <v>5307.05</v>
      </c>
    </row>
    <row r="124" spans="1:27" ht="12.75" customHeight="1">
      <c r="A124" s="137" t="s">
        <v>261</v>
      </c>
      <c r="B124" s="165" t="s">
        <v>260</v>
      </c>
      <c r="C124" s="136" t="s">
        <v>66</v>
      </c>
      <c r="D124" s="21"/>
      <c r="E124" s="50"/>
      <c r="F124" s="50">
        <v>1</v>
      </c>
      <c r="G124" s="50">
        <v>179.96</v>
      </c>
      <c r="H124" s="123">
        <f t="shared" si="52"/>
        <v>0.17996000000000001</v>
      </c>
      <c r="I124" s="34">
        <v>0</v>
      </c>
      <c r="J124" s="34">
        <v>0</v>
      </c>
      <c r="K124" s="34">
        <v>0</v>
      </c>
      <c r="L124" s="34">
        <v>0</v>
      </c>
      <c r="M124" s="34">
        <v>0</v>
      </c>
      <c r="N124" s="34">
        <v>0</v>
      </c>
      <c r="O124" s="34">
        <v>0</v>
      </c>
      <c r="P124" s="34">
        <v>0</v>
      </c>
      <c r="Q124" s="34">
        <v>0</v>
      </c>
      <c r="R124" s="34">
        <f>G124</f>
        <v>179.96</v>
      </c>
      <c r="S124" s="34">
        <v>0</v>
      </c>
      <c r="T124" s="34">
        <v>0</v>
      </c>
      <c r="U124" s="34">
        <f t="shared" si="51"/>
        <v>179.96</v>
      </c>
    </row>
    <row r="125" spans="1:27" ht="38.25" customHeight="1">
      <c r="A125" s="166" t="s">
        <v>263</v>
      </c>
      <c r="B125" s="146" t="s">
        <v>262</v>
      </c>
      <c r="C125" s="117" t="s">
        <v>153</v>
      </c>
      <c r="D125" s="21"/>
      <c r="E125" s="50"/>
      <c r="F125" s="50">
        <f>0.3/10</f>
        <v>0.03</v>
      </c>
      <c r="G125" s="50">
        <v>9750.4599999999991</v>
      </c>
      <c r="H125" s="123">
        <f t="shared" si="52"/>
        <v>0.29251379999999993</v>
      </c>
      <c r="I125" s="34">
        <v>0</v>
      </c>
      <c r="J125" s="34">
        <v>0</v>
      </c>
      <c r="K125" s="34">
        <v>0</v>
      </c>
      <c r="L125" s="34">
        <v>0</v>
      </c>
      <c r="M125" s="34">
        <v>0</v>
      </c>
      <c r="N125" s="34">
        <v>0</v>
      </c>
      <c r="O125" s="34">
        <v>0</v>
      </c>
      <c r="P125" s="34">
        <v>0</v>
      </c>
      <c r="Q125" s="34">
        <v>0</v>
      </c>
      <c r="R125" s="34">
        <f>G125*F125</f>
        <v>292.51379999999995</v>
      </c>
      <c r="S125" s="34">
        <v>0</v>
      </c>
      <c r="T125" s="34">
        <v>0</v>
      </c>
      <c r="U125" s="34">
        <f t="shared" si="51"/>
        <v>292.51379999999995</v>
      </c>
    </row>
    <row r="126" spans="1:27" ht="25.5" customHeight="1">
      <c r="A126" s="137" t="s">
        <v>264</v>
      </c>
      <c r="B126" s="134" t="s">
        <v>152</v>
      </c>
      <c r="C126" s="144" t="s">
        <v>153</v>
      </c>
      <c r="D126" s="21"/>
      <c r="E126" s="50"/>
      <c r="F126" s="50">
        <f>(0.273+0.519)/10</f>
        <v>7.9200000000000007E-2</v>
      </c>
      <c r="G126" s="50">
        <v>8916.31</v>
      </c>
      <c r="H126" s="123">
        <f t="shared" si="52"/>
        <v>0.70617175199999993</v>
      </c>
      <c r="I126" s="34">
        <v>0</v>
      </c>
      <c r="J126" s="34">
        <v>0</v>
      </c>
      <c r="K126" s="34">
        <v>0</v>
      </c>
      <c r="L126" s="34">
        <v>0</v>
      </c>
      <c r="M126" s="34">
        <v>0</v>
      </c>
      <c r="N126" s="34">
        <v>0</v>
      </c>
      <c r="O126" s="34">
        <v>0</v>
      </c>
      <c r="P126" s="34">
        <v>0</v>
      </c>
      <c r="Q126" s="34">
        <v>0</v>
      </c>
      <c r="R126" s="34">
        <f>G126*(0.273/10)</f>
        <v>243.41526300000001</v>
      </c>
      <c r="S126" s="34">
        <v>0</v>
      </c>
      <c r="T126" s="34">
        <f>G126*(0.519/10)</f>
        <v>462.75648899999999</v>
      </c>
      <c r="U126" s="34">
        <f t="shared" si="51"/>
        <v>706.17175199999997</v>
      </c>
    </row>
    <row r="127" spans="1:27" ht="12.75" customHeight="1">
      <c r="A127" s="144" t="s">
        <v>234</v>
      </c>
      <c r="B127" s="134" t="s">
        <v>275</v>
      </c>
      <c r="C127" s="136" t="s">
        <v>140</v>
      </c>
      <c r="D127" s="21"/>
      <c r="E127" s="50"/>
      <c r="F127" s="50">
        <v>1</v>
      </c>
      <c r="G127" s="50">
        <v>730.54</v>
      </c>
      <c r="H127" s="123">
        <f t="shared" si="52"/>
        <v>0.73053999999999997</v>
      </c>
      <c r="I127" s="34">
        <v>0</v>
      </c>
      <c r="J127" s="34">
        <v>0</v>
      </c>
      <c r="K127" s="34">
        <v>0</v>
      </c>
      <c r="L127" s="34">
        <v>0</v>
      </c>
      <c r="M127" s="34">
        <v>0</v>
      </c>
      <c r="N127" s="34">
        <v>0</v>
      </c>
      <c r="O127" s="34">
        <v>0</v>
      </c>
      <c r="P127" s="34">
        <v>0</v>
      </c>
      <c r="Q127" s="34">
        <v>0</v>
      </c>
      <c r="R127" s="34">
        <v>0</v>
      </c>
      <c r="S127" s="34">
        <v>0</v>
      </c>
      <c r="T127" s="34">
        <f>G127</f>
        <v>730.54</v>
      </c>
      <c r="U127" s="34">
        <f t="shared" si="51"/>
        <v>730.54</v>
      </c>
    </row>
    <row r="128" spans="1:27" s="22" customFormat="1">
      <c r="A128" s="96"/>
      <c r="B128" s="97" t="s">
        <v>107</v>
      </c>
      <c r="C128" s="96"/>
      <c r="D128" s="96"/>
      <c r="E128" s="92"/>
      <c r="F128" s="92"/>
      <c r="G128" s="92"/>
      <c r="H128" s="42">
        <f>SUM(H89:H127)</f>
        <v>241.69426235199995</v>
      </c>
      <c r="I128" s="92"/>
      <c r="J128" s="92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41">
        <f>SUM(U89:U127)</f>
        <v>241694.26235199996</v>
      </c>
    </row>
    <row r="129" spans="1:21">
      <c r="A129" s="98"/>
      <c r="B129" s="99"/>
      <c r="C129" s="98"/>
      <c r="D129" s="98"/>
      <c r="E129" s="50"/>
      <c r="F129" s="50"/>
      <c r="G129" s="50"/>
      <c r="H129" s="100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129"/>
    </row>
    <row r="130" spans="1:21" ht="12" customHeight="1">
      <c r="A130" s="87"/>
      <c r="B130" s="20" t="s">
        <v>108</v>
      </c>
      <c r="C130" s="64"/>
      <c r="D130" s="21"/>
      <c r="E130" s="50"/>
      <c r="F130" s="50"/>
      <c r="G130" s="50"/>
      <c r="H130" s="101">
        <f>H128/E131/12*1000</f>
        <v>4.5828547929038956</v>
      </c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129"/>
    </row>
    <row r="131" spans="1:21" s="22" customFormat="1">
      <c r="A131" s="102"/>
      <c r="B131" s="103" t="s">
        <v>109</v>
      </c>
      <c r="C131" s="104"/>
      <c r="D131" s="103"/>
      <c r="E131" s="159">
        <v>4394.8999999999996</v>
      </c>
      <c r="F131" s="105">
        <f>SUM(E131*12)</f>
        <v>52738.799999999996</v>
      </c>
      <c r="G131" s="106">
        <f>H86+H130</f>
        <v>25.192675016142449</v>
      </c>
      <c r="H131" s="107">
        <f>SUM(F131*G131/1000)</f>
        <v>1328.6314491413334</v>
      </c>
      <c r="I131" s="92">
        <f t="shared" ref="I131:O131" si="53">SUM(I11:I130)</f>
        <v>106981.07147366664</v>
      </c>
      <c r="J131" s="92">
        <f t="shared" si="53"/>
        <v>88920.481473666659</v>
      </c>
      <c r="K131" s="92">
        <f t="shared" si="53"/>
        <v>86082.552333666667</v>
      </c>
      <c r="L131" s="92">
        <f t="shared" si="53"/>
        <v>94959.632333666668</v>
      </c>
      <c r="M131" s="92">
        <f t="shared" si="53"/>
        <v>271017.47339838889</v>
      </c>
      <c r="N131" s="92">
        <f t="shared" si="53"/>
        <v>83365.813390888885</v>
      </c>
      <c r="O131" s="92">
        <f t="shared" si="53"/>
        <v>69096.001890888889</v>
      </c>
      <c r="P131" s="92">
        <f>SUM(P11:P130)</f>
        <v>148555.3123908889</v>
      </c>
      <c r="Q131" s="92">
        <f>SUM(Q11:Q130)</f>
        <v>82319.392565388887</v>
      </c>
      <c r="R131" s="92">
        <f>SUM(R11:R130)</f>
        <v>83710.847893888902</v>
      </c>
      <c r="S131" s="92">
        <f>SUM(S11:S130)</f>
        <v>86077.978333666659</v>
      </c>
      <c r="T131" s="92">
        <f>SUM(T11:T130)</f>
        <v>92875.35446266667</v>
      </c>
      <c r="U131" s="41">
        <f>U84+U128</f>
        <v>1293961.9119413332</v>
      </c>
    </row>
    <row r="132" spans="1:21">
      <c r="A132" s="109"/>
      <c r="B132" s="109"/>
      <c r="C132" s="109"/>
      <c r="D132" s="109"/>
      <c r="E132" s="108"/>
      <c r="F132" s="108"/>
      <c r="G132" s="108"/>
      <c r="H132" s="108"/>
      <c r="I132" s="108"/>
      <c r="J132" s="108"/>
      <c r="K132" s="108"/>
      <c r="L132" s="108"/>
      <c r="M132" s="109"/>
      <c r="N132" s="108"/>
      <c r="O132" s="109"/>
      <c r="P132" s="109"/>
      <c r="Q132" s="109"/>
      <c r="R132" s="109"/>
      <c r="S132" s="109"/>
      <c r="T132" s="109"/>
      <c r="U132" s="109"/>
    </row>
    <row r="133" spans="1:21">
      <c r="A133" s="109"/>
      <c r="B133" s="109"/>
      <c r="C133" s="109"/>
      <c r="D133" s="109"/>
      <c r="E133" s="108"/>
      <c r="F133" s="108"/>
      <c r="G133" s="108"/>
      <c r="H133" s="108"/>
      <c r="I133" s="108"/>
      <c r="J133" s="110"/>
      <c r="K133" s="111"/>
      <c r="L133" s="110"/>
      <c r="M133" s="108"/>
      <c r="N133" s="109"/>
      <c r="O133" s="109"/>
      <c r="P133" s="109"/>
      <c r="Q133" s="109"/>
      <c r="R133" s="109"/>
      <c r="S133" s="109"/>
      <c r="T133" s="109"/>
      <c r="U133" s="109"/>
    </row>
    <row r="134" spans="1:21" ht="45">
      <c r="A134" s="109"/>
      <c r="B134" s="116" t="s">
        <v>158</v>
      </c>
      <c r="C134" s="167">
        <v>636628.06000000006</v>
      </c>
      <c r="D134" s="168"/>
      <c r="E134" s="168"/>
      <c r="F134" s="169"/>
      <c r="G134" s="108"/>
      <c r="H134" s="108"/>
      <c r="I134" s="108"/>
      <c r="J134" s="110"/>
      <c r="K134" s="111"/>
      <c r="L134" s="110"/>
      <c r="M134" s="108"/>
      <c r="N134" s="109"/>
      <c r="O134" s="109"/>
      <c r="P134" s="109"/>
      <c r="Q134" s="109"/>
      <c r="R134" s="109"/>
      <c r="S134" s="109"/>
      <c r="T134" s="109"/>
      <c r="U134" s="109"/>
    </row>
    <row r="135" spans="1:21" ht="30">
      <c r="A135" s="109"/>
      <c r="B135" s="116" t="s">
        <v>162</v>
      </c>
      <c r="C135" s="167">
        <f>96652.7*12</f>
        <v>1159832.3999999999</v>
      </c>
      <c r="D135" s="168"/>
      <c r="E135" s="168"/>
      <c r="F135" s="169"/>
      <c r="G135" s="108"/>
      <c r="H135" s="108"/>
      <c r="I135" s="108"/>
      <c r="J135" s="110"/>
      <c r="K135" s="111"/>
      <c r="L135" s="110"/>
      <c r="M135" s="108"/>
      <c r="N135" s="109"/>
      <c r="O135" s="109"/>
      <c r="P135" s="109"/>
      <c r="Q135" s="109"/>
      <c r="R135" s="109"/>
      <c r="S135" s="109"/>
      <c r="T135" s="109"/>
      <c r="U135" s="109"/>
    </row>
    <row r="136" spans="1:21" ht="30" customHeight="1">
      <c r="A136" s="109"/>
      <c r="B136" s="116" t="s">
        <v>163</v>
      </c>
      <c r="C136" s="167">
        <f>SUM(U131-U128)</f>
        <v>1052267.6495893332</v>
      </c>
      <c r="D136" s="168"/>
      <c r="E136" s="168"/>
      <c r="F136" s="169"/>
      <c r="G136" s="108"/>
      <c r="H136" s="108"/>
      <c r="I136" s="108"/>
      <c r="J136" s="110"/>
      <c r="K136" s="111"/>
      <c r="L136" s="110"/>
      <c r="M136" s="108"/>
      <c r="N136" s="109"/>
      <c r="O136" s="109"/>
      <c r="P136" s="109"/>
      <c r="Q136" s="109"/>
      <c r="R136" s="109"/>
      <c r="S136" s="109"/>
      <c r="T136" s="109"/>
      <c r="U136" s="109"/>
    </row>
    <row r="137" spans="1:21" ht="30" customHeight="1">
      <c r="A137" s="109"/>
      <c r="B137" s="116" t="s">
        <v>164</v>
      </c>
      <c r="C137" s="167">
        <f>SUM(U128)</f>
        <v>241694.26235199996</v>
      </c>
      <c r="D137" s="168"/>
      <c r="E137" s="168"/>
      <c r="F137" s="169"/>
      <c r="G137" s="108"/>
      <c r="H137" s="108"/>
      <c r="I137" s="108"/>
      <c r="J137" s="110"/>
      <c r="K137" s="111"/>
      <c r="L137" s="110"/>
      <c r="M137" s="108"/>
      <c r="N137" s="109"/>
      <c r="O137" s="109"/>
      <c r="P137" s="109"/>
      <c r="Q137" s="109"/>
      <c r="R137" s="109"/>
      <c r="S137" s="109"/>
      <c r="T137" s="109"/>
      <c r="U137" s="109"/>
    </row>
    <row r="138" spans="1:21" ht="23.25" customHeight="1">
      <c r="A138" s="109"/>
      <c r="B138" s="122" t="s">
        <v>165</v>
      </c>
      <c r="C138" s="167">
        <f>95505.57+91770.64+104156.16+93693.46+102033.34+90343.32+83046.96+103073.66+105159.58+87894.57+88259.22+99101.16</f>
        <v>1144037.6399999999</v>
      </c>
      <c r="D138" s="168"/>
      <c r="E138" s="168"/>
      <c r="F138" s="169"/>
      <c r="G138" s="109"/>
      <c r="I138" s="112" t="s">
        <v>125</v>
      </c>
      <c r="J138" s="113"/>
      <c r="K138" s="114"/>
      <c r="L138" s="115"/>
      <c r="M138" s="112"/>
      <c r="N138" s="112"/>
      <c r="O138" s="109"/>
      <c r="P138" s="109"/>
      <c r="Q138" s="109"/>
      <c r="R138" s="109"/>
      <c r="S138" s="109"/>
      <c r="T138" s="109"/>
      <c r="U138" s="109"/>
    </row>
    <row r="139" spans="1:21" ht="78.75">
      <c r="A139" s="109"/>
      <c r="B139" s="145" t="s">
        <v>271</v>
      </c>
      <c r="C139" s="173">
        <v>197635.84</v>
      </c>
      <c r="D139" s="174"/>
      <c r="E139" s="174"/>
      <c r="F139" s="175"/>
      <c r="G139" s="109"/>
      <c r="H139" s="109"/>
      <c r="I139" s="109"/>
      <c r="J139" s="109"/>
      <c r="K139" s="109"/>
      <c r="L139" s="109"/>
      <c r="M139" s="109"/>
      <c r="N139" s="109"/>
      <c r="O139" s="109"/>
      <c r="P139" s="109"/>
      <c r="Q139" s="109"/>
      <c r="R139" s="109"/>
      <c r="S139" s="109"/>
      <c r="T139" s="109"/>
      <c r="U139" s="109"/>
    </row>
    <row r="140" spans="1:21" ht="45">
      <c r="A140" s="109"/>
      <c r="B140" s="116" t="s">
        <v>272</v>
      </c>
      <c r="C140" s="170">
        <f>SUM(U131-C135)+C134</f>
        <v>770757.57194133336</v>
      </c>
      <c r="D140" s="171"/>
      <c r="E140" s="171"/>
      <c r="F140" s="172"/>
      <c r="G140" s="109"/>
      <c r="H140" s="109"/>
      <c r="I140" s="109"/>
      <c r="J140" s="109"/>
      <c r="K140" s="109"/>
      <c r="L140" s="109"/>
      <c r="M140" s="109"/>
      <c r="N140" s="109"/>
      <c r="O140" s="109"/>
      <c r="P140" s="109"/>
      <c r="Q140" s="109"/>
      <c r="R140" s="109"/>
      <c r="S140" s="109"/>
      <c r="T140" s="109"/>
      <c r="U140" s="109"/>
    </row>
    <row r="142" spans="1:21">
      <c r="J142" s="5"/>
      <c r="K142" s="6"/>
      <c r="L142" s="6"/>
      <c r="M142" s="4"/>
    </row>
    <row r="143" spans="1:21">
      <c r="G143" s="7"/>
      <c r="H143" s="7"/>
    </row>
    <row r="144" spans="1:21">
      <c r="G144" s="8"/>
    </row>
  </sheetData>
  <mergeCells count="12">
    <mergeCell ref="W82:Z82"/>
    <mergeCell ref="B3:L3"/>
    <mergeCell ref="B4:L4"/>
    <mergeCell ref="B5:L5"/>
    <mergeCell ref="B6:L6"/>
    <mergeCell ref="C134:F134"/>
    <mergeCell ref="C140:F140"/>
    <mergeCell ref="C135:F135"/>
    <mergeCell ref="C136:F136"/>
    <mergeCell ref="C137:F137"/>
    <mergeCell ref="C138:F138"/>
    <mergeCell ref="C139:F139"/>
  </mergeCells>
  <pageMargins left="0.31496062992125984" right="0.31496062992125984" top="0.15748031496062992" bottom="0.19685039370078741" header="0.15748031496062992" footer="0.15748031496062992"/>
  <pageSetup paperSize="9" scale="5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Сов.,16</vt:lpstr>
      <vt:lpstr>'Сов.,16'!Область_печати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Партнёр</dc:creator>
  <cp:lastModifiedBy>user</cp:lastModifiedBy>
  <cp:lastPrinted>2018-09-04T06:32:32Z</cp:lastPrinted>
  <dcterms:created xsi:type="dcterms:W3CDTF">2014-02-05T12:20:20Z</dcterms:created>
  <dcterms:modified xsi:type="dcterms:W3CDTF">2018-09-04T06:33:12Z</dcterms:modified>
</cp:coreProperties>
</file>