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540" windowWidth="15480" windowHeight="11280" activeTab="12"/>
  </bookViews>
  <sheets>
    <sheet name="01.17" sheetId="18" r:id="rId1"/>
    <sheet name="02.17" sheetId="19" r:id="rId2"/>
    <sheet name="03.17" sheetId="20" r:id="rId3"/>
    <sheet name="04.17" sheetId="21" r:id="rId4"/>
    <sheet name="05.17" sheetId="22" r:id="rId5"/>
    <sheet name="06.17" sheetId="23" r:id="rId6"/>
    <sheet name="07.17" sheetId="24" r:id="rId7"/>
    <sheet name="08.17" sheetId="25" r:id="rId8"/>
    <sheet name="09.17" sheetId="26" r:id="rId9"/>
    <sheet name="10.17" sheetId="27" r:id="rId10"/>
    <sheet name="10а.17" sheetId="17" r:id="rId11"/>
    <sheet name="11.17" sheetId="28" r:id="rId12"/>
    <sheet name="12.17" sheetId="29" r:id="rId13"/>
  </sheets>
  <definedNames>
    <definedName name="_xlnm._FilterDatabase" localSheetId="0" hidden="1">'01.17'!$I$12:$I$71</definedName>
    <definedName name="_xlnm._FilterDatabase" localSheetId="1" hidden="1">'02.17'!$I$12:$I$71</definedName>
    <definedName name="_xlnm._FilterDatabase" localSheetId="2" hidden="1">'03.17'!$I$12:$I$71</definedName>
    <definedName name="_xlnm._FilterDatabase" localSheetId="3" hidden="1">'04.17'!$I$12:$I$71</definedName>
    <definedName name="_xlnm._FilterDatabase" localSheetId="4" hidden="1">'05.17'!$I$12:$I$71</definedName>
    <definedName name="_xlnm._FilterDatabase" localSheetId="5" hidden="1">'06.17'!$I$12:$I$71</definedName>
    <definedName name="_xlnm._FilterDatabase" localSheetId="6" hidden="1">'07.17'!$I$12:$I$71</definedName>
    <definedName name="_xlnm._FilterDatabase" localSheetId="7" hidden="1">'08.17'!$I$12:$I$71</definedName>
    <definedName name="_xlnm._FilterDatabase" localSheetId="8" hidden="1">'09.17'!$I$12:$I$71</definedName>
    <definedName name="_xlnm._FilterDatabase" localSheetId="9" hidden="1">'10.17'!$I$12:$I$71</definedName>
    <definedName name="_xlnm._FilterDatabase" localSheetId="10" hidden="1">'10а.17'!$I$12:$I$71</definedName>
    <definedName name="_xlnm._FilterDatabase" localSheetId="11" hidden="1">'11.17'!$I$12:$I$71</definedName>
    <definedName name="_xlnm._FilterDatabase" localSheetId="12" hidden="1">'12.17'!$I$12:$I$71</definedName>
    <definedName name="_xlnm.Print_Titles" localSheetId="4">'05.17'!$12:$13</definedName>
    <definedName name="_xlnm.Print_Area" localSheetId="0">'01.17'!$A$1:$I$111</definedName>
    <definedName name="_xlnm.Print_Area" localSheetId="1">'02.17'!$A$1:$I$114</definedName>
    <definedName name="_xlnm.Print_Area" localSheetId="2">'03.17'!$A$1:$I$112</definedName>
    <definedName name="_xlnm.Print_Area" localSheetId="3">'04.17'!$A$1:$I$120</definedName>
    <definedName name="_xlnm.Print_Area" localSheetId="4">'05.17'!$A$1:$I$119</definedName>
    <definedName name="_xlnm.Print_Area" localSheetId="5">'06.17'!$A$1:$I$120</definedName>
    <definedName name="_xlnm.Print_Area" localSheetId="6">'07.17'!$A$1:$I$117</definedName>
    <definedName name="_xlnm.Print_Area" localSheetId="7">'08.17'!$A$1:$I$115</definedName>
    <definedName name="_xlnm.Print_Area" localSheetId="8">'09.17'!$A$1:$I$120</definedName>
    <definedName name="_xlnm.Print_Area" localSheetId="9">'10.17'!$A$1:$I$121</definedName>
    <definedName name="_xlnm.Print_Area" localSheetId="10">'10а.17'!$A$1:$I$120</definedName>
    <definedName name="_xlnm.Print_Area" localSheetId="11">'11.17'!$A$1:$I$118</definedName>
    <definedName name="_xlnm.Print_Area" localSheetId="12">'12.17'!$A$1:$I$115</definedName>
  </definedNames>
  <calcPr calcId="125725"/>
</workbook>
</file>

<file path=xl/calcChain.xml><?xml version="1.0" encoding="utf-8"?>
<calcChain xmlns="http://schemas.openxmlformats.org/spreadsheetml/2006/main">
  <c r="I83" i="29"/>
  <c r="I83" i="28"/>
  <c r="H43" i="21"/>
  <c r="F43"/>
  <c r="I43" s="1"/>
  <c r="I43" i="20"/>
  <c r="F43"/>
  <c r="H43" s="1"/>
  <c r="I83" i="19"/>
  <c r="I83" i="18"/>
  <c r="I91" i="29" l="1"/>
  <c r="I90"/>
  <c r="I89"/>
  <c r="H90"/>
  <c r="F89"/>
  <c r="H89" s="1"/>
  <c r="I88"/>
  <c r="H88"/>
  <c r="I87"/>
  <c r="I65"/>
  <c r="H91"/>
  <c r="H87"/>
  <c r="I86"/>
  <c r="H86"/>
  <c r="I85"/>
  <c r="H85"/>
  <c r="F82"/>
  <c r="I82" s="1"/>
  <c r="F81"/>
  <c r="H81" s="1"/>
  <c r="H79"/>
  <c r="H77"/>
  <c r="F76"/>
  <c r="H76" s="1"/>
  <c r="I74"/>
  <c r="H74"/>
  <c r="I72"/>
  <c r="F72"/>
  <c r="H72" s="1"/>
  <c r="F71"/>
  <c r="H71" s="1"/>
  <c r="F70"/>
  <c r="I70" s="1"/>
  <c r="F69"/>
  <c r="H69" s="1"/>
  <c r="F68"/>
  <c r="I68" s="1"/>
  <c r="F67"/>
  <c r="H67" s="1"/>
  <c r="H66"/>
  <c r="H65"/>
  <c r="H63"/>
  <c r="F62"/>
  <c r="I62" s="1"/>
  <c r="H60"/>
  <c r="F59"/>
  <c r="I59" s="1"/>
  <c r="F58"/>
  <c r="H58" s="1"/>
  <c r="F57"/>
  <c r="H57" s="1"/>
  <c r="I54"/>
  <c r="F54"/>
  <c r="H54" s="1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I35"/>
  <c r="H35"/>
  <c r="I34"/>
  <c r="F33"/>
  <c r="I33" s="1"/>
  <c r="F32"/>
  <c r="I32" s="1"/>
  <c r="F31"/>
  <c r="I31" s="1"/>
  <c r="F28"/>
  <c r="I28" s="1"/>
  <c r="F27"/>
  <c r="H27" s="1"/>
  <c r="F26"/>
  <c r="I26" s="1"/>
  <c r="I25"/>
  <c r="H25"/>
  <c r="F24"/>
  <c r="I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94" i="28"/>
  <c r="H94"/>
  <c r="H93"/>
  <c r="I91"/>
  <c r="I89"/>
  <c r="H90"/>
  <c r="H89"/>
  <c r="I88"/>
  <c r="I65"/>
  <c r="I93"/>
  <c r="I92"/>
  <c r="H92"/>
  <c r="H91"/>
  <c r="I90"/>
  <c r="H88"/>
  <c r="I87"/>
  <c r="H87"/>
  <c r="I86"/>
  <c r="H86"/>
  <c r="I85"/>
  <c r="H85"/>
  <c r="F82"/>
  <c r="H82" s="1"/>
  <c r="H81"/>
  <c r="F81"/>
  <c r="I81" s="1"/>
  <c r="H79"/>
  <c r="H77"/>
  <c r="H76"/>
  <c r="F76"/>
  <c r="I74"/>
  <c r="H74"/>
  <c r="I72"/>
  <c r="F72"/>
  <c r="H72" s="1"/>
  <c r="F71"/>
  <c r="I71" s="1"/>
  <c r="F70"/>
  <c r="H70" s="1"/>
  <c r="F69"/>
  <c r="I69" s="1"/>
  <c r="F68"/>
  <c r="H68" s="1"/>
  <c r="F67"/>
  <c r="I67" s="1"/>
  <c r="H66"/>
  <c r="H65"/>
  <c r="H63"/>
  <c r="F62"/>
  <c r="H62" s="1"/>
  <c r="H60"/>
  <c r="F59"/>
  <c r="H59" s="1"/>
  <c r="F58"/>
  <c r="I58" s="1"/>
  <c r="F57"/>
  <c r="H57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I44"/>
  <c r="H44"/>
  <c r="F43"/>
  <c r="H43" s="1"/>
  <c r="F42"/>
  <c r="I42" s="1"/>
  <c r="F41"/>
  <c r="H41" s="1"/>
  <c r="F40"/>
  <c r="I40" s="1"/>
  <c r="I39"/>
  <c r="H39"/>
  <c r="H37"/>
  <c r="H36"/>
  <c r="I35"/>
  <c r="H35"/>
  <c r="I34"/>
  <c r="F33"/>
  <c r="I33" s="1"/>
  <c r="F32"/>
  <c r="H32" s="1"/>
  <c r="F31"/>
  <c r="I31" s="1"/>
  <c r="F28"/>
  <c r="H28" s="1"/>
  <c r="F27"/>
  <c r="I27" s="1"/>
  <c r="F26"/>
  <c r="H26" s="1"/>
  <c r="I25"/>
  <c r="H25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96" i="27"/>
  <c r="G97"/>
  <c r="H97" s="1"/>
  <c r="H96"/>
  <c r="F96"/>
  <c r="I95"/>
  <c r="I94"/>
  <c r="I93"/>
  <c r="H95"/>
  <c r="H94"/>
  <c r="H93"/>
  <c r="I91"/>
  <c r="H22" i="28" l="1"/>
  <c r="I97" i="27"/>
  <c r="H27" i="28"/>
  <c r="H71"/>
  <c r="H50"/>
  <c r="H67"/>
  <c r="I92" i="29"/>
  <c r="H24"/>
  <c r="H33"/>
  <c r="H31"/>
  <c r="H18"/>
  <c r="I18"/>
  <c r="H16"/>
  <c r="I17"/>
  <c r="H19"/>
  <c r="I20"/>
  <c r="H21"/>
  <c r="I22"/>
  <c r="H23"/>
  <c r="H26"/>
  <c r="I27"/>
  <c r="H28"/>
  <c r="H32"/>
  <c r="I40"/>
  <c r="H41"/>
  <c r="I42"/>
  <c r="H43"/>
  <c r="I46"/>
  <c r="H47"/>
  <c r="I48"/>
  <c r="H49"/>
  <c r="I50"/>
  <c r="H51"/>
  <c r="I52"/>
  <c r="I58"/>
  <c r="H59"/>
  <c r="H62"/>
  <c r="I67"/>
  <c r="H68"/>
  <c r="I69"/>
  <c r="H70"/>
  <c r="I71"/>
  <c r="I81"/>
  <c r="H82"/>
  <c r="H17" i="28"/>
  <c r="H20"/>
  <c r="H24"/>
  <c r="H46"/>
  <c r="H69"/>
  <c r="H58"/>
  <c r="H48"/>
  <c r="H52"/>
  <c r="H33"/>
  <c r="H31"/>
  <c r="H42"/>
  <c r="H40"/>
  <c r="I18"/>
  <c r="H18"/>
  <c r="I21"/>
  <c r="I26"/>
  <c r="I32"/>
  <c r="I41"/>
  <c r="I59"/>
  <c r="I68"/>
  <c r="I70"/>
  <c r="I16"/>
  <c r="I19"/>
  <c r="I23"/>
  <c r="I28"/>
  <c r="I43"/>
  <c r="I47"/>
  <c r="I49"/>
  <c r="I51"/>
  <c r="I62"/>
  <c r="I82"/>
  <c r="I95"/>
  <c r="I94" i="29" l="1"/>
  <c r="I97" i="28"/>
  <c r="H91" i="27" l="1"/>
  <c r="I90"/>
  <c r="I89"/>
  <c r="I88"/>
  <c r="I87"/>
  <c r="I65"/>
  <c r="I92" l="1"/>
  <c r="H92"/>
  <c r="H90"/>
  <c r="F89"/>
  <c r="H89" s="1"/>
  <c r="H88"/>
  <c r="H87"/>
  <c r="I86"/>
  <c r="I98" s="1"/>
  <c r="H86"/>
  <c r="I85"/>
  <c r="H85"/>
  <c r="F82"/>
  <c r="H82" s="1"/>
  <c r="F81"/>
  <c r="I81" s="1"/>
  <c r="H79"/>
  <c r="H77"/>
  <c r="F76"/>
  <c r="H76" s="1"/>
  <c r="I74"/>
  <c r="H74"/>
  <c r="I72"/>
  <c r="F72"/>
  <c r="H72" s="1"/>
  <c r="F71"/>
  <c r="I71" s="1"/>
  <c r="F70"/>
  <c r="H70" s="1"/>
  <c r="F69"/>
  <c r="I69" s="1"/>
  <c r="F68"/>
  <c r="H68" s="1"/>
  <c r="F67"/>
  <c r="I67" s="1"/>
  <c r="H66"/>
  <c r="H65"/>
  <c r="H63"/>
  <c r="F62"/>
  <c r="H62" s="1"/>
  <c r="H60"/>
  <c r="F59"/>
  <c r="H59" s="1"/>
  <c r="F58"/>
  <c r="I58" s="1"/>
  <c r="F57"/>
  <c r="H57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I44"/>
  <c r="H44"/>
  <c r="F43"/>
  <c r="H43" s="1"/>
  <c r="F42"/>
  <c r="I42" s="1"/>
  <c r="F41"/>
  <c r="H41" s="1"/>
  <c r="F40"/>
  <c r="I40" s="1"/>
  <c r="I39"/>
  <c r="H39"/>
  <c r="H37"/>
  <c r="H36"/>
  <c r="I35"/>
  <c r="H35"/>
  <c r="I34"/>
  <c r="F33"/>
  <c r="I33" s="1"/>
  <c r="F32"/>
  <c r="H32" s="1"/>
  <c r="F31"/>
  <c r="I31" s="1"/>
  <c r="F28"/>
  <c r="I28" s="1"/>
  <c r="F27"/>
  <c r="I27" s="1"/>
  <c r="F26"/>
  <c r="H26" s="1"/>
  <c r="I25"/>
  <c r="H25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86" i="26"/>
  <c r="I96"/>
  <c r="I95"/>
  <c r="H96"/>
  <c r="H95"/>
  <c r="I94"/>
  <c r="H94"/>
  <c r="I93"/>
  <c r="H93"/>
  <c r="I92"/>
  <c r="H92"/>
  <c r="I90"/>
  <c r="I91"/>
  <c r="H91"/>
  <c r="F90"/>
  <c r="H90" s="1"/>
  <c r="H89"/>
  <c r="I88"/>
  <c r="I87"/>
  <c r="H88"/>
  <c r="H87"/>
  <c r="H86"/>
  <c r="H28" i="27" l="1"/>
  <c r="I18"/>
  <c r="H18"/>
  <c r="I16"/>
  <c r="H17"/>
  <c r="I19"/>
  <c r="H20"/>
  <c r="I21"/>
  <c r="H22"/>
  <c r="I23"/>
  <c r="H24"/>
  <c r="I26"/>
  <c r="H27"/>
  <c r="H31"/>
  <c r="I32"/>
  <c r="H33"/>
  <c r="H40"/>
  <c r="I41"/>
  <c r="H42"/>
  <c r="I43"/>
  <c r="H46"/>
  <c r="I47"/>
  <c r="H48"/>
  <c r="I49"/>
  <c r="H50"/>
  <c r="I51"/>
  <c r="H52"/>
  <c r="H58"/>
  <c r="I59"/>
  <c r="I62"/>
  <c r="H67"/>
  <c r="I68"/>
  <c r="H69"/>
  <c r="I70"/>
  <c r="H71"/>
  <c r="H81"/>
  <c r="I82"/>
  <c r="I85" i="26"/>
  <c r="I97" s="1"/>
  <c r="H85"/>
  <c r="I72"/>
  <c r="I65"/>
  <c r="I89"/>
  <c r="F82"/>
  <c r="H82" s="1"/>
  <c r="F81"/>
  <c r="I81" s="1"/>
  <c r="H79"/>
  <c r="H77"/>
  <c r="F76"/>
  <c r="H76" s="1"/>
  <c r="I74"/>
  <c r="H74"/>
  <c r="F72"/>
  <c r="H72" s="1"/>
  <c r="F71"/>
  <c r="H71" s="1"/>
  <c r="F70"/>
  <c r="I70" s="1"/>
  <c r="F69"/>
  <c r="H69" s="1"/>
  <c r="F68"/>
  <c r="I68" s="1"/>
  <c r="F67"/>
  <c r="H67" s="1"/>
  <c r="H66"/>
  <c r="H65"/>
  <c r="H63"/>
  <c r="F62"/>
  <c r="I62" s="1"/>
  <c r="H60"/>
  <c r="F59"/>
  <c r="I59" s="1"/>
  <c r="F58"/>
  <c r="H58" s="1"/>
  <c r="F57"/>
  <c r="H57" s="1"/>
  <c r="I54"/>
  <c r="F54"/>
  <c r="H54" s="1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I35"/>
  <c r="H35"/>
  <c r="I34"/>
  <c r="F33"/>
  <c r="H33" s="1"/>
  <c r="F32"/>
  <c r="I32" s="1"/>
  <c r="F31"/>
  <c r="H31" s="1"/>
  <c r="F28"/>
  <c r="I28" s="1"/>
  <c r="F27"/>
  <c r="H27" s="1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90" i="25"/>
  <c r="I91"/>
  <c r="I89"/>
  <c r="H91"/>
  <c r="F90"/>
  <c r="H90" s="1"/>
  <c r="H89"/>
  <c r="H88"/>
  <c r="I87"/>
  <c r="I86"/>
  <c r="H87"/>
  <c r="H86"/>
  <c r="I88"/>
  <c r="I85"/>
  <c r="H85"/>
  <c r="F82"/>
  <c r="I82" s="1"/>
  <c r="F81"/>
  <c r="I81" s="1"/>
  <c r="H79"/>
  <c r="H77"/>
  <c r="F76"/>
  <c r="H76" s="1"/>
  <c r="I74"/>
  <c r="H74"/>
  <c r="F72"/>
  <c r="H72" s="1"/>
  <c r="F71"/>
  <c r="H71" s="1"/>
  <c r="F70"/>
  <c r="I70" s="1"/>
  <c r="F69"/>
  <c r="H69" s="1"/>
  <c r="F68"/>
  <c r="I68" s="1"/>
  <c r="F67"/>
  <c r="H67" s="1"/>
  <c r="H66"/>
  <c r="I65"/>
  <c r="H65"/>
  <c r="H63"/>
  <c r="F62"/>
  <c r="I62" s="1"/>
  <c r="H60"/>
  <c r="F59"/>
  <c r="I59" s="1"/>
  <c r="F58"/>
  <c r="H58" s="1"/>
  <c r="F57"/>
  <c r="H57" s="1"/>
  <c r="I54"/>
  <c r="F54"/>
  <c r="H54" s="1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I35"/>
  <c r="H35"/>
  <c r="I34"/>
  <c r="F33"/>
  <c r="H33" s="1"/>
  <c r="F32"/>
  <c r="I32" s="1"/>
  <c r="F31"/>
  <c r="H31" s="1"/>
  <c r="F28"/>
  <c r="I28" s="1"/>
  <c r="F27"/>
  <c r="H27" s="1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89" i="24"/>
  <c r="H89"/>
  <c r="I92"/>
  <c r="I91"/>
  <c r="I93"/>
  <c r="I90"/>
  <c r="H93"/>
  <c r="H92"/>
  <c r="H91"/>
  <c r="F91"/>
  <c r="H90"/>
  <c r="I88"/>
  <c r="H88"/>
  <c r="I87"/>
  <c r="I85"/>
  <c r="H87"/>
  <c r="H86"/>
  <c r="H85"/>
  <c r="I74"/>
  <c r="I65"/>
  <c r="I86"/>
  <c r="F82"/>
  <c r="H82" s="1"/>
  <c r="F81"/>
  <c r="I81" s="1"/>
  <c r="H79"/>
  <c r="H77"/>
  <c r="F76"/>
  <c r="H76" s="1"/>
  <c r="H74"/>
  <c r="F72"/>
  <c r="H72" s="1"/>
  <c r="F71"/>
  <c r="I71" s="1"/>
  <c r="F70"/>
  <c r="H70" s="1"/>
  <c r="F69"/>
  <c r="I69" s="1"/>
  <c r="F68"/>
  <c r="H68" s="1"/>
  <c r="F67"/>
  <c r="I67" s="1"/>
  <c r="H66"/>
  <c r="H65"/>
  <c r="H63"/>
  <c r="F62"/>
  <c r="H62" s="1"/>
  <c r="H60"/>
  <c r="F59"/>
  <c r="H59" s="1"/>
  <c r="F58"/>
  <c r="I58" s="1"/>
  <c r="F57"/>
  <c r="H57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I44"/>
  <c r="H44"/>
  <c r="F43"/>
  <c r="H43" s="1"/>
  <c r="F42"/>
  <c r="I42" s="1"/>
  <c r="F41"/>
  <c r="H41" s="1"/>
  <c r="F40"/>
  <c r="I40" s="1"/>
  <c r="I39"/>
  <c r="H39"/>
  <c r="H37"/>
  <c r="H36"/>
  <c r="I35"/>
  <c r="H35"/>
  <c r="I34"/>
  <c r="F33"/>
  <c r="I33" s="1"/>
  <c r="F32"/>
  <c r="H32" s="1"/>
  <c r="F31"/>
  <c r="I31" s="1"/>
  <c r="F28"/>
  <c r="H28" s="1"/>
  <c r="F27"/>
  <c r="I27" s="1"/>
  <c r="F26"/>
  <c r="H26" s="1"/>
  <c r="I25"/>
  <c r="H25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96" i="23"/>
  <c r="I95"/>
  <c r="I94"/>
  <c r="I93"/>
  <c r="I92"/>
  <c r="I91"/>
  <c r="I90"/>
  <c r="H96"/>
  <c r="H95"/>
  <c r="F95"/>
  <c r="H94"/>
  <c r="F94"/>
  <c r="H93"/>
  <c r="H92"/>
  <c r="H91"/>
  <c r="H90"/>
  <c r="H89"/>
  <c r="I88"/>
  <c r="F88"/>
  <c r="H88" s="1"/>
  <c r="I87"/>
  <c r="H87"/>
  <c r="I85"/>
  <c r="I86"/>
  <c r="H86"/>
  <c r="H85"/>
  <c r="I65"/>
  <c r="I89"/>
  <c r="F82"/>
  <c r="H82" s="1"/>
  <c r="F81"/>
  <c r="I81" s="1"/>
  <c r="H79"/>
  <c r="H77"/>
  <c r="F76"/>
  <c r="H76" s="1"/>
  <c r="H74"/>
  <c r="F72"/>
  <c r="H72" s="1"/>
  <c r="F71"/>
  <c r="I71" s="1"/>
  <c r="F70"/>
  <c r="H70" s="1"/>
  <c r="F69"/>
  <c r="I69" s="1"/>
  <c r="F68"/>
  <c r="H68" s="1"/>
  <c r="F67"/>
  <c r="I67" s="1"/>
  <c r="H66"/>
  <c r="H65"/>
  <c r="H63"/>
  <c r="F62"/>
  <c r="H62" s="1"/>
  <c r="H60"/>
  <c r="F59"/>
  <c r="H59" s="1"/>
  <c r="F58"/>
  <c r="I58" s="1"/>
  <c r="F57"/>
  <c r="H57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I44"/>
  <c r="H44"/>
  <c r="F43"/>
  <c r="H43" s="1"/>
  <c r="F42"/>
  <c r="I42" s="1"/>
  <c r="F41"/>
  <c r="H41" s="1"/>
  <c r="F40"/>
  <c r="I40" s="1"/>
  <c r="I39"/>
  <c r="H39"/>
  <c r="H37"/>
  <c r="H36"/>
  <c r="I35"/>
  <c r="H35"/>
  <c r="I34"/>
  <c r="F33"/>
  <c r="I33" s="1"/>
  <c r="F32"/>
  <c r="H32" s="1"/>
  <c r="F31"/>
  <c r="I31" s="1"/>
  <c r="F28"/>
  <c r="H28" s="1"/>
  <c r="F27"/>
  <c r="I27" s="1"/>
  <c r="F26"/>
  <c r="H26" s="1"/>
  <c r="I25"/>
  <c r="H25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I95" i="22"/>
  <c r="I94"/>
  <c r="I93"/>
  <c r="I92"/>
  <c r="I91"/>
  <c r="H95"/>
  <c r="H94"/>
  <c r="H93"/>
  <c r="H92"/>
  <c r="H91"/>
  <c r="I90"/>
  <c r="I89"/>
  <c r="I88"/>
  <c r="F90"/>
  <c r="H90" s="1"/>
  <c r="H89"/>
  <c r="H88"/>
  <c r="H87"/>
  <c r="I86"/>
  <c r="I85"/>
  <c r="H86"/>
  <c r="H85"/>
  <c r="I34"/>
  <c r="I35"/>
  <c r="I25"/>
  <c r="I87"/>
  <c r="F82"/>
  <c r="H82" s="1"/>
  <c r="F81"/>
  <c r="I81" s="1"/>
  <c r="H79"/>
  <c r="H77"/>
  <c r="F76"/>
  <c r="H76" s="1"/>
  <c r="H74"/>
  <c r="F72"/>
  <c r="H72" s="1"/>
  <c r="F71"/>
  <c r="H71" s="1"/>
  <c r="F70"/>
  <c r="H70" s="1"/>
  <c r="F69"/>
  <c r="H69" s="1"/>
  <c r="F68"/>
  <c r="H68" s="1"/>
  <c r="F67"/>
  <c r="H67" s="1"/>
  <c r="H66"/>
  <c r="I65"/>
  <c r="H65"/>
  <c r="H63"/>
  <c r="F62"/>
  <c r="I62" s="1"/>
  <c r="H60"/>
  <c r="H59"/>
  <c r="F59"/>
  <c r="I59" s="1"/>
  <c r="F58"/>
  <c r="H58" s="1"/>
  <c r="F57"/>
  <c r="H57" s="1"/>
  <c r="I54"/>
  <c r="F54"/>
  <c r="H54" s="1"/>
  <c r="I53"/>
  <c r="H53"/>
  <c r="F52"/>
  <c r="H52" s="1"/>
  <c r="F51"/>
  <c r="I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H35"/>
  <c r="F33"/>
  <c r="H33" s="1"/>
  <c r="F32"/>
  <c r="H32" s="1"/>
  <c r="F31"/>
  <c r="H31" s="1"/>
  <c r="F28"/>
  <c r="H28" s="1"/>
  <c r="F27"/>
  <c r="I27" s="1"/>
  <c r="F26"/>
  <c r="H26" s="1"/>
  <c r="H25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6" i="21"/>
  <c r="I96"/>
  <c r="I90"/>
  <c r="I91"/>
  <c r="I92"/>
  <c r="I93"/>
  <c r="I89"/>
  <c r="I88"/>
  <c r="H96"/>
  <c r="F96"/>
  <c r="F95"/>
  <c r="H95" s="1"/>
  <c r="H94"/>
  <c r="F94"/>
  <c r="I94" s="1"/>
  <c r="H93"/>
  <c r="H92"/>
  <c r="H91"/>
  <c r="H90"/>
  <c r="H89"/>
  <c r="H88"/>
  <c r="I92" i="25" l="1"/>
  <c r="I95" i="21"/>
  <c r="I97" i="23"/>
  <c r="I83" i="27"/>
  <c r="I100" s="1"/>
  <c r="H69" i="23"/>
  <c r="H81"/>
  <c r="H18" i="26"/>
  <c r="I18"/>
  <c r="H16"/>
  <c r="I17"/>
  <c r="H19"/>
  <c r="I20"/>
  <c r="H21"/>
  <c r="I22"/>
  <c r="H23"/>
  <c r="I24"/>
  <c r="H26"/>
  <c r="I27"/>
  <c r="H28"/>
  <c r="I31"/>
  <c r="H32"/>
  <c r="I33"/>
  <c r="I40"/>
  <c r="H41"/>
  <c r="I42"/>
  <c r="H43"/>
  <c r="I46"/>
  <c r="I83" s="1"/>
  <c r="H47"/>
  <c r="I48"/>
  <c r="H49"/>
  <c r="I50"/>
  <c r="H51"/>
  <c r="I52"/>
  <c r="I58"/>
  <c r="H59"/>
  <c r="H62"/>
  <c r="I67"/>
  <c r="H68"/>
  <c r="I69"/>
  <c r="H70"/>
  <c r="I71"/>
  <c r="H81"/>
  <c r="I82"/>
  <c r="H82" i="25"/>
  <c r="H18"/>
  <c r="I18"/>
  <c r="H16"/>
  <c r="I17"/>
  <c r="H19"/>
  <c r="I20"/>
  <c r="H21"/>
  <c r="I22"/>
  <c r="H23"/>
  <c r="I24"/>
  <c r="H26"/>
  <c r="I27"/>
  <c r="H28"/>
  <c r="I31"/>
  <c r="H32"/>
  <c r="I33"/>
  <c r="I40"/>
  <c r="H41"/>
  <c r="I42"/>
  <c r="H43"/>
  <c r="I46"/>
  <c r="H47"/>
  <c r="I48"/>
  <c r="H49"/>
  <c r="I50"/>
  <c r="H51"/>
  <c r="I52"/>
  <c r="I58"/>
  <c r="H59"/>
  <c r="H62"/>
  <c r="I67"/>
  <c r="H68"/>
  <c r="I69"/>
  <c r="H70"/>
  <c r="I71"/>
  <c r="H81"/>
  <c r="H33" i="24"/>
  <c r="I94"/>
  <c r="I18"/>
  <c r="H18"/>
  <c r="I16"/>
  <c r="H17"/>
  <c r="I19"/>
  <c r="H20"/>
  <c r="I21"/>
  <c r="H22"/>
  <c r="I23"/>
  <c r="H24"/>
  <c r="I26"/>
  <c r="H27"/>
  <c r="I28"/>
  <c r="H31"/>
  <c r="I32"/>
  <c r="H40"/>
  <c r="I41"/>
  <c r="H42"/>
  <c r="I43"/>
  <c r="H46"/>
  <c r="I47"/>
  <c r="H48"/>
  <c r="I49"/>
  <c r="H50"/>
  <c r="I51"/>
  <c r="H52"/>
  <c r="H58"/>
  <c r="I59"/>
  <c r="I62"/>
  <c r="H67"/>
  <c r="I68"/>
  <c r="H69"/>
  <c r="I70"/>
  <c r="H71"/>
  <c r="H81"/>
  <c r="I82"/>
  <c r="H67" i="23"/>
  <c r="H71"/>
  <c r="I18"/>
  <c r="H18"/>
  <c r="I16"/>
  <c r="H17"/>
  <c r="I19"/>
  <c r="H20"/>
  <c r="I21"/>
  <c r="H22"/>
  <c r="I23"/>
  <c r="H24"/>
  <c r="I26"/>
  <c r="H27"/>
  <c r="I28"/>
  <c r="H31"/>
  <c r="I32"/>
  <c r="H33"/>
  <c r="H40"/>
  <c r="I41"/>
  <c r="H42"/>
  <c r="I43"/>
  <c r="H46"/>
  <c r="I47"/>
  <c r="H48"/>
  <c r="I49"/>
  <c r="H50"/>
  <c r="I51"/>
  <c r="H52"/>
  <c r="H58"/>
  <c r="I59"/>
  <c r="I62"/>
  <c r="I68"/>
  <c r="I70"/>
  <c r="I82"/>
  <c r="H21" i="22"/>
  <c r="H81"/>
  <c r="I19"/>
  <c r="I23"/>
  <c r="I31"/>
  <c r="I33"/>
  <c r="I48"/>
  <c r="I46"/>
  <c r="I71"/>
  <c r="I69"/>
  <c r="I22"/>
  <c r="I32"/>
  <c r="I49"/>
  <c r="I47"/>
  <c r="I67"/>
  <c r="I70"/>
  <c r="I68"/>
  <c r="H62"/>
  <c r="H51"/>
  <c r="H43"/>
  <c r="H41"/>
  <c r="H17"/>
  <c r="H27"/>
  <c r="I18"/>
  <c r="H18"/>
  <c r="I16"/>
  <c r="I20"/>
  <c r="I24"/>
  <c r="I26"/>
  <c r="I28"/>
  <c r="I40"/>
  <c r="I42"/>
  <c r="I50"/>
  <c r="I52"/>
  <c r="I58"/>
  <c r="I82"/>
  <c r="I96"/>
  <c r="I83" i="25" l="1"/>
  <c r="I94" s="1"/>
  <c r="I83" i="24"/>
  <c r="I96" s="1"/>
  <c r="I83" i="23"/>
  <c r="I99" i="26"/>
  <c r="I99" i="23"/>
  <c r="I83" i="22"/>
  <c r="I98" s="1"/>
  <c r="I87" i="21" l="1"/>
  <c r="H87"/>
  <c r="I85"/>
  <c r="I97" s="1"/>
  <c r="H86"/>
  <c r="H85"/>
  <c r="F82"/>
  <c r="I82" s="1"/>
  <c r="F81"/>
  <c r="I81" s="1"/>
  <c r="H79"/>
  <c r="H77"/>
  <c r="F76"/>
  <c r="H76" s="1"/>
  <c r="H74"/>
  <c r="F72"/>
  <c r="H72" s="1"/>
  <c r="F71"/>
  <c r="H71" s="1"/>
  <c r="F70"/>
  <c r="H70" s="1"/>
  <c r="F69"/>
  <c r="H69" s="1"/>
  <c r="F68"/>
  <c r="H68" s="1"/>
  <c r="F67"/>
  <c r="H67" s="1"/>
  <c r="H66"/>
  <c r="I65"/>
  <c r="H65"/>
  <c r="H63"/>
  <c r="F62"/>
  <c r="I62" s="1"/>
  <c r="H60"/>
  <c r="F59"/>
  <c r="I59" s="1"/>
  <c r="F58"/>
  <c r="H58" s="1"/>
  <c r="F57"/>
  <c r="H57" s="1"/>
  <c r="I54"/>
  <c r="F54"/>
  <c r="H54" s="1"/>
  <c r="I53"/>
  <c r="H53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2"/>
  <c r="H42" s="1"/>
  <c r="F41"/>
  <c r="I41" s="1"/>
  <c r="F40"/>
  <c r="H40" s="1"/>
  <c r="I39"/>
  <c r="H39"/>
  <c r="H37"/>
  <c r="H36"/>
  <c r="H35"/>
  <c r="F33"/>
  <c r="H33" s="1"/>
  <c r="F32"/>
  <c r="H32" s="1"/>
  <c r="F31"/>
  <c r="H31" s="1"/>
  <c r="F28"/>
  <c r="H28" s="1"/>
  <c r="F27"/>
  <c r="I27" s="1"/>
  <c r="F26"/>
  <c r="H26" s="1"/>
  <c r="H25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7" i="20"/>
  <c r="H88"/>
  <c r="F87"/>
  <c r="H87" s="1"/>
  <c r="I53"/>
  <c r="I88"/>
  <c r="I86"/>
  <c r="H86"/>
  <c r="I85"/>
  <c r="H85"/>
  <c r="F82"/>
  <c r="I82" s="1"/>
  <c r="F81"/>
  <c r="H81" s="1"/>
  <c r="H79"/>
  <c r="H77"/>
  <c r="F76"/>
  <c r="H76" s="1"/>
  <c r="H74"/>
  <c r="F72"/>
  <c r="H72" s="1"/>
  <c r="F71"/>
  <c r="H71" s="1"/>
  <c r="F70"/>
  <c r="H70" s="1"/>
  <c r="F69"/>
  <c r="H69" s="1"/>
  <c r="F68"/>
  <c r="H68" s="1"/>
  <c r="F67"/>
  <c r="H67" s="1"/>
  <c r="H66"/>
  <c r="I65"/>
  <c r="H65"/>
  <c r="H63"/>
  <c r="F62"/>
  <c r="H62" s="1"/>
  <c r="H60"/>
  <c r="F59"/>
  <c r="H59" s="1"/>
  <c r="F58"/>
  <c r="I58" s="1"/>
  <c r="F57"/>
  <c r="H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2"/>
  <c r="H42" s="1"/>
  <c r="F41"/>
  <c r="I41" s="1"/>
  <c r="F40"/>
  <c r="H40" s="1"/>
  <c r="I39"/>
  <c r="H39"/>
  <c r="H37"/>
  <c r="H36"/>
  <c r="H35"/>
  <c r="F33"/>
  <c r="H33" s="1"/>
  <c r="F32"/>
  <c r="H32" s="1"/>
  <c r="F31"/>
  <c r="H31" s="1"/>
  <c r="F28"/>
  <c r="H28" s="1"/>
  <c r="F27"/>
  <c r="I27" s="1"/>
  <c r="F26"/>
  <c r="H26" s="1"/>
  <c r="H25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9" i="19"/>
  <c r="I90"/>
  <c r="I88"/>
  <c r="I87"/>
  <c r="I91" s="1"/>
  <c r="I86"/>
  <c r="I85"/>
  <c r="H90"/>
  <c r="H89"/>
  <c r="H88"/>
  <c r="H87"/>
  <c r="H86"/>
  <c r="H85"/>
  <c r="F82"/>
  <c r="I82" s="1"/>
  <c r="F81"/>
  <c r="H81" s="1"/>
  <c r="H79"/>
  <c r="H77"/>
  <c r="F76"/>
  <c r="H76" s="1"/>
  <c r="H74"/>
  <c r="F72"/>
  <c r="H72" s="1"/>
  <c r="F71"/>
  <c r="H71" s="1"/>
  <c r="F70"/>
  <c r="H70" s="1"/>
  <c r="F69"/>
  <c r="H69" s="1"/>
  <c r="F68"/>
  <c r="H68" s="1"/>
  <c r="F67"/>
  <c r="H67" s="1"/>
  <c r="H66"/>
  <c r="I65"/>
  <c r="H65"/>
  <c r="H63"/>
  <c r="F62"/>
  <c r="H62" s="1"/>
  <c r="H60"/>
  <c r="F59"/>
  <c r="H59" s="1"/>
  <c r="F58"/>
  <c r="I58" s="1"/>
  <c r="F57"/>
  <c r="H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F40"/>
  <c r="H40" s="1"/>
  <c r="I39"/>
  <c r="H39"/>
  <c r="H37"/>
  <c r="H36"/>
  <c r="H35"/>
  <c r="F33"/>
  <c r="H33" s="1"/>
  <c r="F32"/>
  <c r="H32" s="1"/>
  <c r="F31"/>
  <c r="H31" s="1"/>
  <c r="F28"/>
  <c r="H28" s="1"/>
  <c r="F27"/>
  <c r="I27" s="1"/>
  <c r="F26"/>
  <c r="H26" s="1"/>
  <c r="H25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7" i="18"/>
  <c r="H87"/>
  <c r="I86"/>
  <c r="H86"/>
  <c r="I85"/>
  <c r="I88" s="1"/>
  <c r="H85"/>
  <c r="F82"/>
  <c r="F81"/>
  <c r="H81" s="1"/>
  <c r="H74"/>
  <c r="H79"/>
  <c r="H77"/>
  <c r="F76"/>
  <c r="H76" s="1"/>
  <c r="F72"/>
  <c r="H72" s="1"/>
  <c r="F71"/>
  <c r="H71" s="1"/>
  <c r="F70"/>
  <c r="H70" s="1"/>
  <c r="F69"/>
  <c r="H69" s="1"/>
  <c r="F68"/>
  <c r="H68" s="1"/>
  <c r="F67"/>
  <c r="H67" s="1"/>
  <c r="H66"/>
  <c r="I65"/>
  <c r="H65"/>
  <c r="H63"/>
  <c r="F62"/>
  <c r="I62" s="1"/>
  <c r="H60"/>
  <c r="F59"/>
  <c r="I59" s="1"/>
  <c r="F58"/>
  <c r="H58" s="1"/>
  <c r="F57"/>
  <c r="H57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F40"/>
  <c r="I40" s="1"/>
  <c r="I39"/>
  <c r="H39"/>
  <c r="H37"/>
  <c r="H36"/>
  <c r="H35"/>
  <c r="F33"/>
  <c r="H33" s="1"/>
  <c r="F32"/>
  <c r="H32" s="1"/>
  <c r="F31"/>
  <c r="H31" s="1"/>
  <c r="F28"/>
  <c r="H28" s="1"/>
  <c r="F27"/>
  <c r="H27" s="1"/>
  <c r="F26"/>
  <c r="H26" s="1"/>
  <c r="H25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H82" i="21" l="1"/>
  <c r="I52"/>
  <c r="I89" i="20"/>
  <c r="I51" i="21"/>
  <c r="I18"/>
  <c r="H18"/>
  <c r="I16"/>
  <c r="H17"/>
  <c r="I20"/>
  <c r="H21"/>
  <c r="I24"/>
  <c r="I26"/>
  <c r="H27"/>
  <c r="I28"/>
  <c r="I40"/>
  <c r="H41"/>
  <c r="I42"/>
  <c r="I50"/>
  <c r="I58"/>
  <c r="H59"/>
  <c r="H62"/>
  <c r="H81"/>
  <c r="I18" i="20"/>
  <c r="H18"/>
  <c r="I16"/>
  <c r="H17"/>
  <c r="I20"/>
  <c r="H21"/>
  <c r="I24"/>
  <c r="I26"/>
  <c r="H27"/>
  <c r="I28"/>
  <c r="I40"/>
  <c r="H41"/>
  <c r="I42"/>
  <c r="I50"/>
  <c r="H58"/>
  <c r="I59"/>
  <c r="I62"/>
  <c r="I81"/>
  <c r="H82"/>
  <c r="I18" i="19"/>
  <c r="H18"/>
  <c r="I16"/>
  <c r="H17"/>
  <c r="I20"/>
  <c r="H21"/>
  <c r="I24"/>
  <c r="I26"/>
  <c r="H27"/>
  <c r="I28"/>
  <c r="I40"/>
  <c r="H41"/>
  <c r="I42"/>
  <c r="H43"/>
  <c r="I50"/>
  <c r="H58"/>
  <c r="I59"/>
  <c r="I62"/>
  <c r="I81"/>
  <c r="H82"/>
  <c r="H17" i="18"/>
  <c r="H59"/>
  <c r="H82"/>
  <c r="I82"/>
  <c r="I81"/>
  <c r="H62"/>
  <c r="I58"/>
  <c r="I50"/>
  <c r="H40"/>
  <c r="I41"/>
  <c r="H42"/>
  <c r="I43"/>
  <c r="I28"/>
  <c r="I27"/>
  <c r="I18"/>
  <c r="H18"/>
  <c r="I16"/>
  <c r="I20"/>
  <c r="H21"/>
  <c r="I24"/>
  <c r="I26"/>
  <c r="I93" i="19" l="1"/>
  <c r="I83" i="21"/>
  <c r="I99" s="1"/>
  <c r="I83" i="20"/>
  <c r="I91" s="1"/>
  <c r="I90" i="18"/>
  <c r="G85" i="17" l="1"/>
  <c r="H85" s="1"/>
  <c r="I83"/>
  <c r="E32"/>
  <c r="I85" l="1"/>
  <c r="I97" s="1"/>
  <c r="I99" s="1"/>
</calcChain>
</file>

<file path=xl/sharedStrings.xml><?xml version="1.0" encoding="utf-8"?>
<sst xmlns="http://schemas.openxmlformats.org/spreadsheetml/2006/main" count="2941" uniqueCount="271">
  <si>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</si>
  <si>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</si>
  <si>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</si>
  <si>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</si>
  <si>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</si>
  <si>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</si>
  <si>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</si>
  <si>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</si>
  <si>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</si>
  <si>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</si>
  <si>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</si>
  <si>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</si>
  <si>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</si>
  <si>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</si>
  <si>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</si>
  <si>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</si>
  <si>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</si>
  <si>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</si>
  <si>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</si>
  <si>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</si>
  <si>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</si>
  <si>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</si>
  <si>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</si>
  <si>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</si>
  <si>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</si>
  <si>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</si>
  <si>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</si>
  <si>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</si>
  <si>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</si>
  <si>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</si>
  <si>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</si>
  <si>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</si>
  <si>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</si>
  <si>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</si>
  <si>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</si>
  <si>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</si>
  <si>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</si>
  <si>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</si>
  <si>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</si>
  <si>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</si>
  <si>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</si>
  <si>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</si>
  <si>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</si>
  <si>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</si>
  <si>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</si>
  <si>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</si>
  <si>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</si>
  <si>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</si>
  <si>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</si>
  <si>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</si>
  <si>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</si>
  <si>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</si>
  <si>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</si>
  <si>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Итого годовые затраты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</si>
  <si>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</si>
  <si>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</si>
  <si>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</si>
  <si>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</si>
  <si>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</si>
  <si>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</si>
  <si>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</si>
  <si>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</si>
  <si>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 xml:space="preserve"> Прочие услуги</t>
  </si>
  <si>
    <t>Работы по текущему ремонту и по заявкам</t>
  </si>
  <si>
    <t>Содержание  общего  имущества  МКД</t>
  </si>
  <si>
    <t>5. Настоящий Акт составлен в 2 экземплярах, имеющих одинаковую юридическую силу, по одному для каждой из Сторон</t>
  </si>
  <si>
    <t>Проведение технических осмотров и мелкий ремонт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</si>
  <si>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</si>
  <si>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</si>
  <si>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</si>
  <si>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</si>
  <si>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</si>
  <si>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</si>
  <si>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</si>
  <si>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</si>
  <si>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</si>
  <si>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</si>
  <si>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</si>
  <si>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</si>
  <si>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плавкой вставки в электрощите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</si>
  <si>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</si>
  <si>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</si>
  <si>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</si>
  <si>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</si>
  <si>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</si>
  <si>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</si>
  <si>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</si>
  <si>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</si>
  <si>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</si>
  <si>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</si>
  <si>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Смена сгонов у трубопроводов диаметром до 32 мм</t>
  </si>
  <si>
    <t>Смена дверных приборов (замки навесные)</t>
  </si>
  <si>
    <t xml:space="preserve">ежедневно </t>
  </si>
  <si>
    <t xml:space="preserve">II. Уборка земельного участка </t>
  </si>
  <si>
    <t>ООО «Жилсервис»</t>
  </si>
  <si>
    <t>Влажное подметание лестничных клеток 1 этажа</t>
  </si>
  <si>
    <t>Работа автовышки</t>
  </si>
  <si>
    <t>Замена ламп ДРЛ</t>
  </si>
  <si>
    <t>Смена арматуры - вентилей и клапанов обратных муфтовых диаметром до 20 мм</t>
  </si>
  <si>
    <t>генеральный директор Куканов Ю.Л.</t>
  </si>
  <si>
    <t>3м</t>
  </si>
  <si>
    <t>1 шт</t>
  </si>
  <si>
    <t>Влажное подметание лестничных клеток 2-5 этажа</t>
  </si>
  <si>
    <t>Мытье лестничных  площадок и маршей 1-5 этаж.</t>
  </si>
  <si>
    <t>Очистка водостоков от наледи</t>
  </si>
  <si>
    <t>Дератизация</t>
  </si>
  <si>
    <t>10 м2</t>
  </si>
  <si>
    <t>Влажная протирка перил</t>
  </si>
  <si>
    <t>Влажная протирка почтовых ящиков</t>
  </si>
  <si>
    <t>Очистка внутреннего водостока</t>
  </si>
  <si>
    <t>водосток</t>
  </si>
  <si>
    <t>Снятие показаний эл.счетчика коммунального назначения</t>
  </si>
  <si>
    <t>маш/час</t>
  </si>
  <si>
    <t>Влажная протирка подоконников</t>
  </si>
  <si>
    <t>Влажная протирка отопительных приборов</t>
  </si>
  <si>
    <t>1 соединение</t>
  </si>
  <si>
    <t>Внеплановая проверка вентканалов</t>
  </si>
  <si>
    <t>100м2</t>
  </si>
  <si>
    <t>156 раз в год</t>
  </si>
  <si>
    <t>104 раза в год</t>
  </si>
  <si>
    <t xml:space="preserve">24 раза в год </t>
  </si>
  <si>
    <t>Мытье окон</t>
  </si>
  <si>
    <t>10м2</t>
  </si>
  <si>
    <t xml:space="preserve">1 раз в год     </t>
  </si>
  <si>
    <t xml:space="preserve">Влажная уборка стен </t>
  </si>
  <si>
    <t>Влажная протирка дверей</t>
  </si>
  <si>
    <t>Уборка газонов</t>
  </si>
  <si>
    <t>1000м2</t>
  </si>
  <si>
    <t>78 раз за сезон</t>
  </si>
  <si>
    <t>Уборка контейнерной площадки (16 кв.м.)</t>
  </si>
  <si>
    <t>50 раз за сезон</t>
  </si>
  <si>
    <t>155 раз за сезон</t>
  </si>
  <si>
    <t xml:space="preserve">Пескопосыпка территории: крыльца и тротуары </t>
  </si>
  <si>
    <t>Осмотр рулонной кровли</t>
  </si>
  <si>
    <t>Осмотр электросетей, арматуры и электрооборудования на чердаках, подвалах и техэтажах</t>
  </si>
  <si>
    <t>шт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</si>
  <si>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</si>
  <si>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</si>
  <si>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</si>
  <si>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</si>
  <si>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</si>
  <si>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</si>
  <si>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</si>
  <si>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</si>
  <si>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№4а по ул.Нефтяников пгт.Ярега
</t>
  </si>
  <si>
    <t>Влажная протирка шкафов для щитов и слаботочн. устройств</t>
  </si>
  <si>
    <t xml:space="preserve">1 раз в месяц   </t>
  </si>
  <si>
    <t>Очистка урн от мусора</t>
  </si>
  <si>
    <t>26 раз в сезон</t>
  </si>
  <si>
    <t>Подметание территории с усовершенствованным покрытием асф.: крыльца, контейнерн пл., проезд, тротуар</t>
  </si>
  <si>
    <t>12 раз за сезон</t>
  </si>
  <si>
    <t>Осмотр электросетей, арматуры и электооборудования на лестничных клетках</t>
  </si>
  <si>
    <t>5 раз в год</t>
  </si>
  <si>
    <t>Очистка кровли от мусора</t>
  </si>
  <si>
    <t>Очистка края кровли от слежавшегося снега со сбрасыванием сосулек (козырьки)</t>
  </si>
  <si>
    <t xml:space="preserve">6 раз за сезон </t>
  </si>
  <si>
    <t>8 раз в год</t>
  </si>
  <si>
    <t>12 раз в год</t>
  </si>
  <si>
    <t xml:space="preserve"> </t>
  </si>
  <si>
    <t>Заделка выхода на кровлю фанерой (I под.)</t>
  </si>
  <si>
    <t>Смена стекол в деревянных переплетах при площади стекла до 1,0 м2</t>
  </si>
  <si>
    <t>Внеплановый осмотр электросетей, армазуры и электрооборудования на лестничных клетках</t>
  </si>
  <si>
    <t>Смена арматуры - вентилей и клапанов обратных муфтовых диаметром до 32 мм</t>
  </si>
  <si>
    <t>Смена трубопроводов на полипропиленовые трубы PN25 диаметром 20 мм</t>
  </si>
  <si>
    <t>Смена трубопроводов на полипропиленовые трубы PN25 диаметром 25 мм</t>
  </si>
  <si>
    <t>1 сгон</t>
  </si>
  <si>
    <t>АКТ №10а</t>
  </si>
  <si>
    <t>за период с 02.10.2017 г. по 06.10.2017 г.</t>
  </si>
  <si>
    <r>
      <t xml:space="preserve">    Собственники помещений в многоквартирном доме, расположенном по адресу: пгт.Ярега, ул.Нефтяников, д.4а,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30.04.2013г. стороны, и ООО «Жилсервис»,  именуемое в дальнейшем "Исполнитель",  в лице генерального директора Куканова Юрия Леонидовича, действующего на основании Устава,  с другой стороны,  совместно именуемые "Стороны",  составили настоящий Акт о нижеследующем:</t>
    </r>
  </si>
  <si>
    <t>п.м.</t>
  </si>
  <si>
    <t>Герметизация межпанельных швов (кв.13, 28, 29, 35, 36, 44, 73, 97)</t>
  </si>
  <si>
    <t>2. Всего за период с 02.10.2017 по 06.10.2017 выполнено работ (оказано услуг) на общую сумму: 65340,91 руб.</t>
  </si>
  <si>
    <t>(шестьдесят пять тысяч триста сорок рублей 01 копейка)</t>
  </si>
  <si>
    <t>Объем</t>
  </si>
  <si>
    <t>АКТ №1</t>
  </si>
  <si>
    <t>за период с 01.01.2017 г. по 31.01.2017 г.</t>
  </si>
  <si>
    <t>III. Проведение технических осмотров и мелкий ремонт</t>
  </si>
  <si>
    <t>IV. Содержание общего имущества МКД</t>
  </si>
  <si>
    <t>V. Прочие услуги</t>
  </si>
  <si>
    <t>ежедневно 365 раз</t>
  </si>
  <si>
    <t xml:space="preserve"> - Уборка контейнерной площадки (16 кв.м.)</t>
  </si>
  <si>
    <t>Спуск воды после промывки СО в канализацию</t>
  </si>
  <si>
    <t>Итого месячные затраты</t>
  </si>
  <si>
    <t>АКТ №2</t>
  </si>
  <si>
    <t>за период с 01.02.2017 г. по 28.02.2017 г.</t>
  </si>
  <si>
    <t>Устройство хомута диаметром до 50мм</t>
  </si>
  <si>
    <t>Ремонт и регулировка доводчика (со стоимостью доводчика)</t>
  </si>
  <si>
    <t>1шт.</t>
  </si>
  <si>
    <t>АКТ №3</t>
  </si>
  <si>
    <t>за период с 01.03.2017 г. по 31.03.2017 г.</t>
  </si>
  <si>
    <t>Прочистка засоров канализации</t>
  </si>
  <si>
    <t>2. Всего за период с 01.03.2017 по 31.03.2017 выполнено работ (оказано услуг) на общую сумму: 102030,69 руб.</t>
  </si>
  <si>
    <t>(сто две тысячи тридцать рублей 69 копеек)</t>
  </si>
  <si>
    <t>АКТ №4</t>
  </si>
  <si>
    <t>за период с 01.04.2017 г. по 30.04.2017 г.</t>
  </si>
  <si>
    <t>Тройник Ду-50*90°</t>
  </si>
  <si>
    <t>Переход чугун-пластик Ду 50 с манжетой</t>
  </si>
  <si>
    <t>Муфта 110</t>
  </si>
  <si>
    <t>Разборка короба для работ ВДИС</t>
  </si>
  <si>
    <t>Восстановление короба после работ ВДИС</t>
  </si>
  <si>
    <t xml:space="preserve">Смена полипропиленовых канализационных труб 50×2000 мм </t>
  </si>
  <si>
    <t>Отвод 50×90°</t>
  </si>
  <si>
    <t>2. Всего за период с 01.04.2017 по 30.04.2017 выполнено работ (оказано услуг) на общую сумму: 106586,62 руб.</t>
  </si>
  <si>
    <t>(сто шесть тысяч пятьсот восемьдесят шесть рублей 62 копейки)</t>
  </si>
  <si>
    <t>АКТ №5</t>
  </si>
  <si>
    <t>за период с 01.05.2017 г. по 31.05.2017 г.</t>
  </si>
  <si>
    <t>Смена полиэтиленовых канализационных труб 110×2000 мм</t>
  </si>
  <si>
    <t>Переход чугун-пластик Ду 110 с манжетой</t>
  </si>
  <si>
    <t xml:space="preserve">Герметизация стыков трубопроводов    </t>
  </si>
  <si>
    <t>1 место</t>
  </si>
  <si>
    <t>Манжета 110 мм</t>
  </si>
  <si>
    <t>Смена вентилей диаметром до 32 мм (без учёта материала)</t>
  </si>
  <si>
    <t>2. Всего за период с 01.05.2017 по 31.05.2017 выполнено работ (оказано услуг) на общую сумму: 265037,71 руб.</t>
  </si>
  <si>
    <t>(двести шестьдесят пять тысяч тридцать семь рублей 71 копейка)</t>
  </si>
  <si>
    <t>АКТ №6</t>
  </si>
  <si>
    <t>за период с 01.06.2017 г. по 30.06.2017 г.</t>
  </si>
  <si>
    <t xml:space="preserve">Уплотнение сгонов с применением льняной пряди или асбестового шнура (без разборки сгонов) </t>
  </si>
  <si>
    <t>Ремонт штукатурки внугренних стен по камню известковым раствором площадью до 1 м2 толщиной слоя до 20 мм</t>
  </si>
  <si>
    <t>Ремонт отдельными местами рулонного покрытия, промазка битумными составами отдельными местами рулонного покрытия, замена 1 слоя</t>
  </si>
  <si>
    <t>Муфта разъемная с НР 32×25</t>
  </si>
  <si>
    <t>Муфта разъемная с ВР 32×25</t>
  </si>
  <si>
    <t>АКТ №7</t>
  </si>
  <si>
    <t>за период с 01.07.2017 г. по 31.07.2017 г.</t>
  </si>
  <si>
    <t>Смена вентилей диаметром до 20 мм (без учёиа материала)</t>
  </si>
  <si>
    <t>Демонтаж тепловычислителя на госповерку</t>
  </si>
  <si>
    <t>10шт</t>
  </si>
  <si>
    <t>Прочистка ливневой канализации</t>
  </si>
  <si>
    <t>Внеплановый осмотр вводных электрических щитков</t>
  </si>
  <si>
    <t>100шт</t>
  </si>
  <si>
    <t>АКТ №8</t>
  </si>
  <si>
    <t>за период с 01.08.2017 г. по 31.08.2017 г.</t>
  </si>
  <si>
    <t>Ремонт и регулировка доводчика (без стоимости доводчика)</t>
  </si>
  <si>
    <t>Простая масляная окраска ранее окрашенных входных металлических дверей (I-VIII под.)</t>
  </si>
  <si>
    <t>Поверка средств измерений: тепловычислитель СПТ943</t>
  </si>
  <si>
    <t>2. Всего за период с 01.08.2017 по 31.08.2017 выполнено работ (оказано услуг) на общую сумму: 101561,46 руб.</t>
  </si>
  <si>
    <t>(сто одна тысяча пятьсот шестьдесят один рубль 46 копеек)</t>
  </si>
  <si>
    <t>III. Содержание общего имущества МКД</t>
  </si>
  <si>
    <t>IV. Прочие услуги</t>
  </si>
  <si>
    <t>АКТ №9</t>
  </si>
  <si>
    <t>за период с 01.09.2017 г. по 30.09.2017 г.</t>
  </si>
  <si>
    <t>Монтаж тепловычислителя после госповерки</t>
  </si>
  <si>
    <t>2. Всего за период с 01.09.2017 по 30.09.2017 выполнено работ (оказано услуг) на общую сумму: 124378,83 руб.</t>
  </si>
  <si>
    <t>(сто двадцать четыре тысячи триста семьдесят восемь рублей 83 копейки)</t>
  </si>
  <si>
    <t>АКТ №10</t>
  </si>
  <si>
    <t>за период с 01.10.2017 г. по 31.10.2017 г.</t>
  </si>
  <si>
    <t>2. Всего за период с 01.06.2017 по 30.06.2017 выполнено работ (оказано услуг) на общую сумму: 169758,37 руб.</t>
  </si>
  <si>
    <t>(сто шестьдесят девять тысяч семьсот пятьдесят восемь рублей 37 копеек)</t>
  </si>
  <si>
    <t>2. Всего за период с 01.07.2017 по 31.07.2017 выполнено работ (оказано услуг) на общую сумму: 92053,26 руб.</t>
  </si>
  <si>
    <t>(девяносто две тысячи пятьдесят три рубля 26 копеек)</t>
  </si>
  <si>
    <t>Муфта ремонтная 110</t>
  </si>
  <si>
    <t>Утепление стены тамбура (VIпод.)</t>
  </si>
  <si>
    <t>руб.</t>
  </si>
  <si>
    <t>Смена трубопроводов на полипропиленовые трубы PN20 диаметром 20мм</t>
  </si>
  <si>
    <t>Заделка "шахты" после работ ВДИС</t>
  </si>
  <si>
    <t>Герметизация межпанельных швов (кв.13,28,29,35,36,44,73,97)</t>
  </si>
  <si>
    <t>2. Всего за период с 01.10.2017 по 31.10.2017 выполнено работ (оказано услуг) на общую сумму: 286770,84 руб.</t>
  </si>
  <si>
    <t>(двести восемьдесят шесть тысяч семьсот семьдесят рублей 84 копейки)</t>
  </si>
  <si>
    <t>АКТ №11</t>
  </si>
  <si>
    <t>за период с 01.11.2017 г. по 30.11.2017 г.</t>
  </si>
  <si>
    <t>АКТ №12</t>
  </si>
  <si>
    <t>за период с 01.12.2017 г. по 31.12.2017 г.</t>
  </si>
  <si>
    <r>
      <t>1. Исполнителем  предъявлены  к  приемке  следующие  оказанные  на  основании  Договора  на  содержание  и  ремонт  многоквартирного  дома  №</t>
    </r>
    <r>
      <rPr>
        <u/>
        <sz val="12"/>
        <rFont val="Times New Roman"/>
        <family val="1"/>
        <charset val="204"/>
      </rPr>
      <t xml:space="preserve">  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д.4а</t>
    </r>
  </si>
  <si>
    <t>2. Всего за период с 01.01.2017 по 31.01.2017 выполнено работ (оказано услуг) на общую сумму: 117570,67 руб.</t>
  </si>
  <si>
    <t>(сто семнадцать тысяч пятьсот семьдесят рублей 67 копеек)</t>
  </si>
  <si>
    <t>2. Всего за период с 01.02.2017 по 28.02.2017 выполнено работ (оказано услуг) на общую сумму: 113499,67 руб.</t>
  </si>
  <si>
    <t>(сто тринадцать тысяч четыреста девяносто девять рублей 67 копеек)</t>
  </si>
  <si>
    <t>15 раз за сезон</t>
  </si>
  <si>
    <t>2. Всего за период с 01.11.2017 по 30.11.2017 выполнено работ (оказано услуг) на общую сумму: 113157,61 руб.</t>
  </si>
  <si>
    <t>(сто тринадцать тысяч сто пятьдесят семь рублей 61 копейка)</t>
  </si>
  <si>
    <t>2. Всего за период с 01.12.2017 по 31.12.2017 выполнено работ (оказано услуг) на общую сумму: 119650,62 руб.</t>
  </si>
  <si>
    <t>(сто девятнадцать тысяч шестьсот пятьдесят рублей 62 копейки)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</si>
</sst>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.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0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1" fillId="3" borderId="8" xfId="0" applyFont="1" applyFill="1" applyBorder="1" applyAlignment="1">
      <alignment horizontal="left" vertical="center" wrapText="1"/>
    </xf>
    <xf numFmtId="4" fontId="11" fillId="3" borderId="8" xfId="0" applyNumberFormat="1" applyFont="1" applyFill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>
      <alignment horizontal="left" vertical="center"/>
    </xf>
    <xf numFmtId="4" fontId="11" fillId="2" borderId="15" xfId="0" applyNumberFormat="1" applyFont="1" applyFill="1" applyBorder="1" applyAlignment="1">
      <alignment horizontal="center" vertical="center"/>
    </xf>
    <xf numFmtId="4" fontId="11" fillId="2" borderId="16" xfId="0" applyNumberFormat="1" applyFont="1" applyFill="1" applyBorder="1" applyAlignment="1">
      <alignment horizontal="center" vertical="center"/>
    </xf>
    <xf numFmtId="4" fontId="11" fillId="2" borderId="17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0" fontId="11" fillId="0" borderId="18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4" fontId="11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/>
    </xf>
    <xf numFmtId="4" fontId="11" fillId="0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4" fontId="11" fillId="2" borderId="0" xfId="0" applyNumberFormat="1" applyFont="1" applyFill="1" applyBorder="1" applyAlignment="1">
      <alignment horizontal="center" vertical="center"/>
    </xf>
    <xf numFmtId="4" fontId="11" fillId="3" borderId="0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wrapText="1"/>
    </xf>
    <xf numFmtId="0" fontId="11" fillId="0" borderId="8" xfId="0" applyFont="1" applyFill="1" applyBorder="1" applyAlignment="1">
      <alignment horizontal="left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 wrapText="1"/>
    </xf>
    <xf numFmtId="4" fontId="11" fillId="0" borderId="20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21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9" fillId="2" borderId="5" xfId="0" applyNumberFormat="1" applyFont="1" applyFill="1" applyBorder="1" applyAlignment="1">
      <alignment horizontal="center" vertical="center"/>
    </xf>
    <xf numFmtId="4" fontId="19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8" fillId="0" borderId="13" xfId="0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22" xfId="0" applyFont="1" applyFill="1" applyBorder="1" applyAlignment="1">
      <alignment horizontal="center" vertical="center" wrapText="1"/>
    </xf>
    <xf numFmtId="2" fontId="14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wrapText="1"/>
    </xf>
    <xf numFmtId="4" fontId="11" fillId="0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4" fontId="11" fillId="2" borderId="6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4" fontId="11" fillId="2" borderId="19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94</v>
      </c>
      <c r="I1" s="30"/>
      <c r="J1" s="1"/>
      <c r="K1" s="1"/>
      <c r="L1" s="1"/>
      <c r="M1" s="1"/>
    </row>
    <row r="2" spans="1:13" ht="15.75" customHeight="1">
      <c r="A2" s="32" t="s">
        <v>67</v>
      </c>
      <c r="J2" s="2"/>
      <c r="K2" s="2"/>
      <c r="L2" s="2"/>
      <c r="M2" s="2"/>
    </row>
    <row r="3" spans="1:13" ht="15.75" customHeight="1">
      <c r="A3" s="191" t="s">
        <v>174</v>
      </c>
      <c r="B3" s="191"/>
      <c r="C3" s="191"/>
      <c r="D3" s="191"/>
      <c r="E3" s="191"/>
      <c r="F3" s="191"/>
      <c r="G3" s="191"/>
      <c r="H3" s="191"/>
      <c r="I3" s="191"/>
      <c r="J3" s="3"/>
      <c r="K3" s="3"/>
      <c r="L3" s="3"/>
    </row>
    <row r="4" spans="1:13" ht="31.5" customHeight="1">
      <c r="A4" s="192" t="s">
        <v>144</v>
      </c>
      <c r="B4" s="192"/>
      <c r="C4" s="192"/>
      <c r="D4" s="192"/>
      <c r="E4" s="192"/>
      <c r="F4" s="192"/>
      <c r="G4" s="192"/>
      <c r="H4" s="192"/>
      <c r="I4" s="192"/>
    </row>
    <row r="5" spans="1:13" ht="15.75" customHeight="1">
      <c r="A5" s="191" t="s">
        <v>175</v>
      </c>
      <c r="B5" s="193"/>
      <c r="C5" s="193"/>
      <c r="D5" s="193"/>
      <c r="E5" s="193"/>
      <c r="F5" s="193"/>
      <c r="G5" s="193"/>
      <c r="H5" s="193"/>
      <c r="I5" s="193"/>
      <c r="J5" s="2"/>
      <c r="K5" s="2"/>
      <c r="L5" s="2"/>
      <c r="M5" s="2"/>
    </row>
    <row r="6" spans="1:13" ht="15.75" customHeight="1">
      <c r="A6" s="2"/>
      <c r="B6" s="106"/>
      <c r="C6" s="106"/>
      <c r="D6" s="106"/>
      <c r="E6" s="106"/>
      <c r="F6" s="106"/>
      <c r="G6" s="106"/>
      <c r="H6" s="106"/>
      <c r="I6" s="34">
        <v>42766</v>
      </c>
      <c r="J6" s="2"/>
      <c r="K6" s="2"/>
      <c r="L6" s="2"/>
      <c r="M6" s="2"/>
    </row>
    <row r="7" spans="1:13" ht="15.75" customHeight="1">
      <c r="B7" s="102"/>
      <c r="C7" s="102"/>
      <c r="D7" s="102"/>
      <c r="E7" s="102"/>
      <c r="F7" s="3"/>
      <c r="G7" s="3"/>
      <c r="H7" s="3"/>
      <c r="J7" s="3"/>
      <c r="K7" s="3"/>
      <c r="L7" s="3"/>
      <c r="M7" s="3"/>
    </row>
    <row r="8" spans="1:13" ht="78.75" customHeight="1">
      <c r="A8" s="194" t="s">
        <v>168</v>
      </c>
      <c r="B8" s="194"/>
      <c r="C8" s="194"/>
      <c r="D8" s="194"/>
      <c r="E8" s="194"/>
      <c r="F8" s="194"/>
      <c r="G8" s="194"/>
      <c r="H8" s="194"/>
      <c r="I8" s="19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5" t="s">
        <v>261</v>
      </c>
      <c r="B10" s="195"/>
      <c r="C10" s="195"/>
      <c r="D10" s="195"/>
      <c r="E10" s="195"/>
      <c r="F10" s="195"/>
      <c r="G10" s="195"/>
      <c r="H10" s="195"/>
      <c r="I10" s="19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6" t="s">
        <v>61</v>
      </c>
      <c r="B14" s="196"/>
      <c r="C14" s="196"/>
      <c r="D14" s="196"/>
      <c r="E14" s="196"/>
      <c r="F14" s="196"/>
      <c r="G14" s="196"/>
      <c r="H14" s="196"/>
      <c r="I14" s="196"/>
      <c r="J14" s="8"/>
      <c r="K14" s="8"/>
      <c r="L14" s="8"/>
      <c r="M14" s="8"/>
    </row>
    <row r="15" spans="1:13" ht="15.75" customHeight="1">
      <c r="A15" s="186" t="s">
        <v>4</v>
      </c>
      <c r="B15" s="186"/>
      <c r="C15" s="186"/>
      <c r="D15" s="186"/>
      <c r="E15" s="186"/>
      <c r="F15" s="186"/>
      <c r="G15" s="186"/>
      <c r="H15" s="186"/>
      <c r="I15" s="186"/>
      <c r="J15" s="8"/>
      <c r="K15" s="8"/>
      <c r="L15" s="8"/>
      <c r="M15" s="8"/>
    </row>
    <row r="16" spans="1:13" ht="15.75" customHeight="1">
      <c r="A16" s="33">
        <v>1</v>
      </c>
      <c r="B16" s="124" t="s">
        <v>95</v>
      </c>
      <c r="C16" s="90" t="s">
        <v>117</v>
      </c>
      <c r="D16" s="124" t="s">
        <v>118</v>
      </c>
      <c r="E16" s="125">
        <v>160.5</v>
      </c>
      <c r="F16" s="126">
        <f>SUM(E16*156/100)</f>
        <v>250.38</v>
      </c>
      <c r="G16" s="126">
        <v>175.38</v>
      </c>
      <c r="H16" s="127">
        <f t="shared" ref="H16:H28" si="0">SUM(F16*G16/1000)</f>
        <v>43.9116444</v>
      </c>
      <c r="I16" s="14">
        <f>F16/12*G16</f>
        <v>3659.3036999999995</v>
      </c>
      <c r="J16" s="8"/>
      <c r="K16" s="8"/>
      <c r="L16" s="8"/>
      <c r="M16" s="8"/>
    </row>
    <row r="17" spans="1:13" ht="15.75" customHeight="1">
      <c r="A17" s="33">
        <v>2</v>
      </c>
      <c r="B17" s="124" t="s">
        <v>102</v>
      </c>
      <c r="C17" s="90" t="s">
        <v>117</v>
      </c>
      <c r="D17" s="124" t="s">
        <v>119</v>
      </c>
      <c r="E17" s="125">
        <v>642</v>
      </c>
      <c r="F17" s="126">
        <f>SUM(E17*104/100)</f>
        <v>667.68</v>
      </c>
      <c r="G17" s="126">
        <v>175.38</v>
      </c>
      <c r="H17" s="127">
        <f t="shared" si="0"/>
        <v>117.09771839999998</v>
      </c>
      <c r="I17" s="14">
        <f>F17/12*G17</f>
        <v>9758.1431999999986</v>
      </c>
      <c r="J17" s="26"/>
      <c r="K17" s="8"/>
      <c r="L17" s="8"/>
      <c r="M17" s="8"/>
    </row>
    <row r="18" spans="1:13" ht="15.75" customHeight="1">
      <c r="A18" s="33">
        <v>3</v>
      </c>
      <c r="B18" s="124" t="s">
        <v>103</v>
      </c>
      <c r="C18" s="90" t="s">
        <v>117</v>
      </c>
      <c r="D18" s="124" t="s">
        <v>120</v>
      </c>
      <c r="E18" s="125">
        <f>SUM(E16+E17)</f>
        <v>802.5</v>
      </c>
      <c r="F18" s="126">
        <f>SUM(E18*24/100)</f>
        <v>192.6</v>
      </c>
      <c r="G18" s="126">
        <v>504.5</v>
      </c>
      <c r="H18" s="127">
        <f t="shared" si="0"/>
        <v>97.166699999999992</v>
      </c>
      <c r="I18" s="14">
        <f>F18/12*G18</f>
        <v>8097.2250000000004</v>
      </c>
      <c r="J18" s="26"/>
      <c r="K18" s="8"/>
      <c r="L18" s="8"/>
      <c r="M18" s="8"/>
    </row>
    <row r="19" spans="1:13" ht="15.75" hidden="1" customHeight="1">
      <c r="A19" s="33"/>
      <c r="B19" s="124" t="s">
        <v>121</v>
      </c>
      <c r="C19" s="90" t="s">
        <v>122</v>
      </c>
      <c r="D19" s="124" t="s">
        <v>123</v>
      </c>
      <c r="E19" s="125">
        <v>38.4</v>
      </c>
      <c r="F19" s="126">
        <f>SUM(E19/10)</f>
        <v>3.84</v>
      </c>
      <c r="G19" s="126">
        <v>170.16</v>
      </c>
      <c r="H19" s="127">
        <f t="shared" si="0"/>
        <v>0.65341439999999995</v>
      </c>
      <c r="I19" s="14">
        <v>0</v>
      </c>
      <c r="J19" s="26"/>
      <c r="K19" s="8"/>
      <c r="L19" s="8"/>
      <c r="M19" s="8"/>
    </row>
    <row r="20" spans="1:13" ht="15.75" customHeight="1">
      <c r="A20" s="33">
        <v>4</v>
      </c>
      <c r="B20" s="124" t="s">
        <v>107</v>
      </c>
      <c r="C20" s="90" t="s">
        <v>117</v>
      </c>
      <c r="D20" s="124" t="s">
        <v>31</v>
      </c>
      <c r="E20" s="125">
        <v>58.4</v>
      </c>
      <c r="F20" s="126">
        <f>SUM(E20*12/100)</f>
        <v>7.0079999999999991</v>
      </c>
      <c r="G20" s="126">
        <v>217.88</v>
      </c>
      <c r="H20" s="127">
        <f t="shared" si="0"/>
        <v>1.5269030399999997</v>
      </c>
      <c r="I20" s="14">
        <f>F20/12*G20</f>
        <v>127.24191999999999</v>
      </c>
      <c r="J20" s="26"/>
      <c r="K20" s="8"/>
      <c r="L20" s="8"/>
      <c r="M20" s="8"/>
    </row>
    <row r="21" spans="1:13" ht="15.75" customHeight="1">
      <c r="A21" s="33">
        <v>5</v>
      </c>
      <c r="B21" s="124" t="s">
        <v>108</v>
      </c>
      <c r="C21" s="90" t="s">
        <v>117</v>
      </c>
      <c r="D21" s="124" t="s">
        <v>31</v>
      </c>
      <c r="E21" s="125">
        <v>9.08</v>
      </c>
      <c r="F21" s="126">
        <f>SUM(E21*12/100)</f>
        <v>1.0896000000000001</v>
      </c>
      <c r="G21" s="126">
        <v>216.12</v>
      </c>
      <c r="H21" s="127">
        <f t="shared" si="0"/>
        <v>0.23548435200000004</v>
      </c>
      <c r="I21" s="14">
        <f>F21/12*G21</f>
        <v>19.623696000000002</v>
      </c>
      <c r="J21" s="26"/>
      <c r="K21" s="8"/>
      <c r="L21" s="8"/>
      <c r="M21" s="8"/>
    </row>
    <row r="22" spans="1:13" ht="15.75" hidden="1" customHeight="1">
      <c r="A22" s="33"/>
      <c r="B22" s="124" t="s">
        <v>124</v>
      </c>
      <c r="C22" s="90" t="s">
        <v>54</v>
      </c>
      <c r="D22" s="124" t="s">
        <v>123</v>
      </c>
      <c r="E22" s="125">
        <v>822.72</v>
      </c>
      <c r="F22" s="126">
        <f>SUM(E22/100)</f>
        <v>8.2271999999999998</v>
      </c>
      <c r="G22" s="126">
        <v>269.26</v>
      </c>
      <c r="H22" s="127">
        <f t="shared" si="0"/>
        <v>2.2152558719999997</v>
      </c>
      <c r="I22" s="14">
        <v>0</v>
      </c>
      <c r="J22" s="26"/>
      <c r="K22" s="8"/>
      <c r="L22" s="8"/>
      <c r="M22" s="8"/>
    </row>
    <row r="23" spans="1:13" ht="15.75" hidden="1" customHeight="1">
      <c r="A23" s="33"/>
      <c r="B23" s="124" t="s">
        <v>125</v>
      </c>
      <c r="C23" s="90" t="s">
        <v>54</v>
      </c>
      <c r="D23" s="124" t="s">
        <v>123</v>
      </c>
      <c r="E23" s="128">
        <v>96.6</v>
      </c>
      <c r="F23" s="126">
        <f>SUM(E23/100)</f>
        <v>0.96599999999999997</v>
      </c>
      <c r="G23" s="126">
        <v>44.29</v>
      </c>
      <c r="H23" s="127">
        <f t="shared" si="0"/>
        <v>4.2784139999999998E-2</v>
      </c>
      <c r="I23" s="14">
        <v>0</v>
      </c>
      <c r="J23" s="26"/>
      <c r="K23" s="8"/>
      <c r="L23" s="8"/>
      <c r="M23" s="8"/>
    </row>
    <row r="24" spans="1:13" ht="15.75" customHeight="1">
      <c r="A24" s="33">
        <v>6</v>
      </c>
      <c r="B24" s="124" t="s">
        <v>113</v>
      </c>
      <c r="C24" s="90" t="s">
        <v>54</v>
      </c>
      <c r="D24" s="124" t="s">
        <v>31</v>
      </c>
      <c r="E24" s="129">
        <v>32</v>
      </c>
      <c r="F24" s="126">
        <f>32*12/1000</f>
        <v>0.38400000000000001</v>
      </c>
      <c r="G24" s="126">
        <v>389.42</v>
      </c>
      <c r="H24" s="127">
        <f>G24*F24/100</f>
        <v>1.4953728000000002</v>
      </c>
      <c r="I24" s="14">
        <f>F24/12*G24</f>
        <v>12.461440000000001</v>
      </c>
      <c r="J24" s="26"/>
      <c r="K24" s="8"/>
      <c r="L24" s="8"/>
      <c r="M24" s="8"/>
    </row>
    <row r="25" spans="1:13" ht="15.75" hidden="1" customHeight="1">
      <c r="A25" s="52">
        <v>6</v>
      </c>
      <c r="B25" s="124" t="s">
        <v>145</v>
      </c>
      <c r="C25" s="90" t="s">
        <v>54</v>
      </c>
      <c r="D25" s="124" t="s">
        <v>55</v>
      </c>
      <c r="E25" s="130">
        <v>38</v>
      </c>
      <c r="F25" s="126">
        <v>0.38</v>
      </c>
      <c r="G25" s="126">
        <v>216.12</v>
      </c>
      <c r="H25" s="127">
        <f>G25*F25/1000</f>
        <v>8.2125600000000007E-2</v>
      </c>
      <c r="I25" s="14">
        <v>0</v>
      </c>
      <c r="J25" s="26"/>
      <c r="K25" s="8"/>
      <c r="L25" s="8"/>
      <c r="M25" s="8"/>
    </row>
    <row r="26" spans="1:13" ht="15.75" customHeight="1">
      <c r="A26" s="52">
        <v>7</v>
      </c>
      <c r="B26" s="124" t="s">
        <v>114</v>
      </c>
      <c r="C26" s="90" t="s">
        <v>54</v>
      </c>
      <c r="D26" s="124" t="s">
        <v>146</v>
      </c>
      <c r="E26" s="125">
        <v>17</v>
      </c>
      <c r="F26" s="126">
        <f>SUM(E26*12/100)</f>
        <v>2.04</v>
      </c>
      <c r="G26" s="126">
        <v>520.79999999999995</v>
      </c>
      <c r="H26" s="127">
        <f t="shared" si="0"/>
        <v>1.062432</v>
      </c>
      <c r="I26" s="14">
        <f>F26/12*G26</f>
        <v>88.536000000000001</v>
      </c>
      <c r="J26" s="26"/>
      <c r="K26" s="8"/>
      <c r="L26" s="8"/>
      <c r="M26" s="8"/>
    </row>
    <row r="27" spans="1:13" ht="15.75" customHeight="1">
      <c r="A27" s="52">
        <v>8</v>
      </c>
      <c r="B27" s="124" t="s">
        <v>69</v>
      </c>
      <c r="C27" s="90" t="s">
        <v>34</v>
      </c>
      <c r="D27" s="124" t="s">
        <v>179</v>
      </c>
      <c r="E27" s="125">
        <v>0.1</v>
      </c>
      <c r="F27" s="126">
        <f>SUM(E27*365)</f>
        <v>36.5</v>
      </c>
      <c r="G27" s="126">
        <v>147.03</v>
      </c>
      <c r="H27" s="127">
        <f t="shared" si="0"/>
        <v>5.3665950000000002</v>
      </c>
      <c r="I27" s="14">
        <f>F27/12*G27</f>
        <v>447.21625</v>
      </c>
      <c r="J27" s="26"/>
      <c r="K27" s="8"/>
      <c r="L27" s="8"/>
      <c r="M27" s="8"/>
    </row>
    <row r="28" spans="1:13" ht="15.75" customHeight="1">
      <c r="A28" s="52">
        <v>9</v>
      </c>
      <c r="B28" s="131" t="s">
        <v>23</v>
      </c>
      <c r="C28" s="90" t="s">
        <v>24</v>
      </c>
      <c r="D28" s="131" t="s">
        <v>179</v>
      </c>
      <c r="E28" s="125">
        <v>5926.8</v>
      </c>
      <c r="F28" s="126">
        <f>SUM(E28*12)</f>
        <v>71121.600000000006</v>
      </c>
      <c r="G28" s="126">
        <v>4.53</v>
      </c>
      <c r="H28" s="127">
        <f t="shared" si="0"/>
        <v>322.18084800000008</v>
      </c>
      <c r="I28" s="14">
        <f>F28/12*G28</f>
        <v>26848.404000000002</v>
      </c>
      <c r="J28" s="26"/>
      <c r="K28" s="8"/>
      <c r="L28" s="8"/>
      <c r="M28" s="8"/>
    </row>
    <row r="29" spans="1:13" ht="15.75" customHeight="1">
      <c r="A29" s="186" t="s">
        <v>93</v>
      </c>
      <c r="B29" s="186"/>
      <c r="C29" s="186"/>
      <c r="D29" s="186"/>
      <c r="E29" s="186"/>
      <c r="F29" s="186"/>
      <c r="G29" s="186"/>
      <c r="H29" s="186"/>
      <c r="I29" s="186"/>
      <c r="J29" s="26"/>
      <c r="K29" s="8"/>
      <c r="L29" s="8"/>
      <c r="M29" s="8"/>
    </row>
    <row r="30" spans="1:13" ht="15.75" hidden="1" customHeight="1">
      <c r="A30" s="52"/>
      <c r="B30" s="62" t="s">
        <v>29</v>
      </c>
      <c r="C30" s="62"/>
      <c r="D30" s="62"/>
      <c r="E30" s="62"/>
      <c r="F30" s="62"/>
      <c r="G30" s="62"/>
      <c r="H30" s="62"/>
      <c r="I30" s="21"/>
      <c r="J30" s="26"/>
      <c r="K30" s="8"/>
      <c r="L30" s="8"/>
      <c r="M30" s="8"/>
    </row>
    <row r="31" spans="1:13" ht="15.75" hidden="1" customHeight="1">
      <c r="A31" s="52">
        <v>2</v>
      </c>
      <c r="B31" s="124" t="s">
        <v>126</v>
      </c>
      <c r="C31" s="90" t="s">
        <v>127</v>
      </c>
      <c r="D31" s="124" t="s">
        <v>148</v>
      </c>
      <c r="E31" s="126">
        <v>2732.4</v>
      </c>
      <c r="F31" s="126">
        <f>SUM(E31*26/1000)</f>
        <v>71.042400000000015</v>
      </c>
      <c r="G31" s="126">
        <v>155.88999999999999</v>
      </c>
      <c r="H31" s="127">
        <f t="shared" ref="H31:H33" si="1">SUM(F31*G31/1000)</f>
        <v>11.074799736000001</v>
      </c>
      <c r="I31" s="14">
        <v>0</v>
      </c>
      <c r="J31" s="26"/>
      <c r="K31" s="8"/>
      <c r="L31" s="8"/>
      <c r="M31" s="8"/>
    </row>
    <row r="32" spans="1:13" ht="31.5" hidden="1" customHeight="1">
      <c r="A32" s="52">
        <v>3</v>
      </c>
      <c r="B32" s="124" t="s">
        <v>149</v>
      </c>
      <c r="C32" s="90" t="s">
        <v>127</v>
      </c>
      <c r="D32" s="124" t="s">
        <v>128</v>
      </c>
      <c r="E32" s="126">
        <v>547.85</v>
      </c>
      <c r="F32" s="126">
        <f>SUM(E32*78/1000)</f>
        <v>42.732300000000002</v>
      </c>
      <c r="G32" s="126">
        <v>258.63</v>
      </c>
      <c r="H32" s="127">
        <f t="shared" si="1"/>
        <v>11.051854749</v>
      </c>
      <c r="I32" s="14">
        <v>0</v>
      </c>
      <c r="J32" s="26"/>
      <c r="K32" s="8"/>
      <c r="L32" s="8"/>
      <c r="M32" s="8"/>
    </row>
    <row r="33" spans="1:14" ht="15.75" hidden="1" customHeight="1">
      <c r="A33" s="52">
        <v>4</v>
      </c>
      <c r="B33" s="124" t="s">
        <v>28</v>
      </c>
      <c r="C33" s="90" t="s">
        <v>127</v>
      </c>
      <c r="D33" s="124" t="s">
        <v>55</v>
      </c>
      <c r="E33" s="126">
        <v>2732.4</v>
      </c>
      <c r="F33" s="126">
        <f>SUM(E33/1000)</f>
        <v>2.7324000000000002</v>
      </c>
      <c r="G33" s="126">
        <v>3020.33</v>
      </c>
      <c r="H33" s="127">
        <f t="shared" si="1"/>
        <v>8.2527496920000001</v>
      </c>
      <c r="I33" s="14">
        <v>0</v>
      </c>
      <c r="J33" s="26"/>
      <c r="K33" s="8"/>
      <c r="L33" s="8"/>
      <c r="M33" s="8"/>
    </row>
    <row r="34" spans="1:14" ht="15.75" hidden="1" customHeight="1">
      <c r="A34" s="52"/>
      <c r="B34" s="124" t="s">
        <v>147</v>
      </c>
      <c r="C34" s="90" t="s">
        <v>40</v>
      </c>
      <c r="D34" s="124" t="s">
        <v>68</v>
      </c>
      <c r="E34" s="126">
        <v>8</v>
      </c>
      <c r="F34" s="126">
        <v>12.4</v>
      </c>
      <c r="G34" s="126">
        <v>1302.02</v>
      </c>
      <c r="H34" s="127">
        <v>16.145</v>
      </c>
      <c r="I34" s="14">
        <v>0</v>
      </c>
      <c r="J34" s="26"/>
      <c r="K34" s="8"/>
      <c r="L34" s="8"/>
      <c r="M34" s="8"/>
    </row>
    <row r="35" spans="1:14" ht="15.75" hidden="1" customHeight="1">
      <c r="A35" s="52">
        <v>5</v>
      </c>
      <c r="B35" s="124" t="s">
        <v>180</v>
      </c>
      <c r="C35" s="90" t="s">
        <v>32</v>
      </c>
      <c r="D35" s="124" t="s">
        <v>68</v>
      </c>
      <c r="E35" s="132">
        <v>1</v>
      </c>
      <c r="F35" s="126">
        <v>155</v>
      </c>
      <c r="G35" s="126">
        <v>56.69</v>
      </c>
      <c r="H35" s="127">
        <f>SUM(G35*155/1000)</f>
        <v>8.7869499999999992</v>
      </c>
      <c r="I35" s="14">
        <v>0</v>
      </c>
      <c r="J35" s="26"/>
      <c r="K35" s="8"/>
      <c r="L35" s="8"/>
      <c r="M35" s="8"/>
    </row>
    <row r="36" spans="1:14" ht="15.75" hidden="1" customHeight="1">
      <c r="A36" s="52">
        <v>4</v>
      </c>
      <c r="B36" s="124" t="s">
        <v>70</v>
      </c>
      <c r="C36" s="90" t="s">
        <v>34</v>
      </c>
      <c r="D36" s="124" t="s">
        <v>72</v>
      </c>
      <c r="E36" s="125"/>
      <c r="F36" s="126">
        <v>2</v>
      </c>
      <c r="G36" s="126">
        <v>191.32</v>
      </c>
      <c r="H36" s="127">
        <f t="shared" ref="H36:H37" si="2">SUM(F36*G36/1000)</f>
        <v>0.38263999999999998</v>
      </c>
      <c r="I36" s="14">
        <v>0</v>
      </c>
      <c r="J36" s="26"/>
      <c r="K36" s="8"/>
    </row>
    <row r="37" spans="1:14" ht="15.75" hidden="1" customHeight="1">
      <c r="A37" s="33">
        <v>8</v>
      </c>
      <c r="B37" s="124" t="s">
        <v>71</v>
      </c>
      <c r="C37" s="90" t="s">
        <v>33</v>
      </c>
      <c r="D37" s="124" t="s">
        <v>72</v>
      </c>
      <c r="E37" s="125"/>
      <c r="F37" s="126">
        <v>3</v>
      </c>
      <c r="G37" s="126">
        <v>1136.32</v>
      </c>
      <c r="H37" s="127">
        <f t="shared" si="2"/>
        <v>3.40896</v>
      </c>
      <c r="I37" s="14">
        <v>0</v>
      </c>
      <c r="J37" s="27"/>
    </row>
    <row r="38" spans="1:14" ht="15.75" customHeight="1">
      <c r="A38" s="52"/>
      <c r="B38" s="60" t="s">
        <v>5</v>
      </c>
      <c r="C38" s="60"/>
      <c r="D38" s="60"/>
      <c r="E38" s="60"/>
      <c r="F38" s="14"/>
      <c r="G38" s="15"/>
      <c r="H38" s="15"/>
      <c r="I38" s="21"/>
      <c r="J38" s="27"/>
    </row>
    <row r="39" spans="1:14" ht="15.75" customHeight="1">
      <c r="A39" s="38">
        <v>10</v>
      </c>
      <c r="B39" s="124" t="s">
        <v>27</v>
      </c>
      <c r="C39" s="90" t="s">
        <v>33</v>
      </c>
      <c r="D39" s="124"/>
      <c r="E39" s="125"/>
      <c r="F39" s="126">
        <v>15</v>
      </c>
      <c r="G39" s="126">
        <v>1527.22</v>
      </c>
      <c r="H39" s="127">
        <f>SUM(F39*G39/1000)</f>
        <v>22.908300000000001</v>
      </c>
      <c r="I39" s="14">
        <f t="shared" ref="I39:I44" si="3">F39/6*G39</f>
        <v>3818.05</v>
      </c>
      <c r="J39" s="27"/>
    </row>
    <row r="40" spans="1:14" ht="15.75" customHeight="1">
      <c r="A40" s="38">
        <v>11</v>
      </c>
      <c r="B40" s="124" t="s">
        <v>73</v>
      </c>
      <c r="C40" s="90" t="s">
        <v>30</v>
      </c>
      <c r="D40" s="124" t="s">
        <v>130</v>
      </c>
      <c r="E40" s="126">
        <v>547.85</v>
      </c>
      <c r="F40" s="126">
        <f>SUM(E40*50/1000)</f>
        <v>27.392499999999998</v>
      </c>
      <c r="G40" s="126">
        <v>2102.71</v>
      </c>
      <c r="H40" s="127">
        <f t="shared" ref="H40:H44" si="4">SUM(F40*G40/1000)</f>
        <v>57.598483674999997</v>
      </c>
      <c r="I40" s="14">
        <f t="shared" si="3"/>
        <v>9599.747279166666</v>
      </c>
      <c r="J40" s="27"/>
    </row>
    <row r="41" spans="1:14" ht="15.75" customHeight="1">
      <c r="A41" s="38">
        <v>12</v>
      </c>
      <c r="B41" s="124" t="s">
        <v>74</v>
      </c>
      <c r="C41" s="90" t="s">
        <v>30</v>
      </c>
      <c r="D41" s="124" t="s">
        <v>131</v>
      </c>
      <c r="E41" s="126">
        <v>140</v>
      </c>
      <c r="F41" s="126">
        <f>SUM(E41*155/1000)</f>
        <v>21.7</v>
      </c>
      <c r="G41" s="126">
        <v>350.75</v>
      </c>
      <c r="H41" s="127">
        <f t="shared" si="4"/>
        <v>7.611275</v>
      </c>
      <c r="I41" s="14">
        <f t="shared" si="3"/>
        <v>1268.5458333333333</v>
      </c>
      <c r="J41" s="27"/>
    </row>
    <row r="42" spans="1:14" ht="31.5" customHeight="1">
      <c r="A42" s="38">
        <v>13</v>
      </c>
      <c r="B42" s="124" t="s">
        <v>88</v>
      </c>
      <c r="C42" s="90" t="s">
        <v>127</v>
      </c>
      <c r="D42" s="124" t="s">
        <v>150</v>
      </c>
      <c r="E42" s="126">
        <v>140</v>
      </c>
      <c r="F42" s="126">
        <f>SUM(E42*12/1000)</f>
        <v>1.68</v>
      </c>
      <c r="G42" s="126">
        <v>5803.28</v>
      </c>
      <c r="H42" s="127">
        <f t="shared" si="4"/>
        <v>9.7495103999999984</v>
      </c>
      <c r="I42" s="14">
        <f t="shared" si="3"/>
        <v>1624.9183999999998</v>
      </c>
      <c r="J42" s="27"/>
    </row>
    <row r="43" spans="1:14" ht="15.75" hidden="1" customHeight="1">
      <c r="A43" s="38">
        <v>14</v>
      </c>
      <c r="B43" s="124" t="s">
        <v>132</v>
      </c>
      <c r="C43" s="90" t="s">
        <v>127</v>
      </c>
      <c r="D43" s="124" t="s">
        <v>75</v>
      </c>
      <c r="E43" s="126">
        <v>140</v>
      </c>
      <c r="F43" s="126">
        <f>SUM(E43*45/1000)</f>
        <v>6.3</v>
      </c>
      <c r="G43" s="126">
        <v>428.7</v>
      </c>
      <c r="H43" s="127">
        <f t="shared" si="4"/>
        <v>2.7008100000000002</v>
      </c>
      <c r="I43" s="14">
        <f t="shared" si="3"/>
        <v>450.13499999999999</v>
      </c>
      <c r="J43" s="27"/>
    </row>
    <row r="44" spans="1:14" ht="15.75" customHeight="1">
      <c r="A44" s="38">
        <v>14</v>
      </c>
      <c r="B44" s="124" t="s">
        <v>76</v>
      </c>
      <c r="C44" s="90" t="s">
        <v>34</v>
      </c>
      <c r="D44" s="124"/>
      <c r="E44" s="125"/>
      <c r="F44" s="126">
        <v>0.9</v>
      </c>
      <c r="G44" s="126">
        <v>798</v>
      </c>
      <c r="H44" s="127">
        <f t="shared" si="4"/>
        <v>0.71820000000000006</v>
      </c>
      <c r="I44" s="14">
        <f t="shared" si="3"/>
        <v>119.69999999999999</v>
      </c>
      <c r="J44" s="27"/>
      <c r="L44" s="23"/>
      <c r="M44" s="24"/>
      <c r="N44" s="25"/>
    </row>
    <row r="45" spans="1:14" ht="15.75" customHeight="1">
      <c r="A45" s="187" t="s">
        <v>176</v>
      </c>
      <c r="B45" s="188"/>
      <c r="C45" s="188"/>
      <c r="D45" s="188"/>
      <c r="E45" s="188"/>
      <c r="F45" s="188"/>
      <c r="G45" s="188"/>
      <c r="H45" s="188"/>
      <c r="I45" s="189"/>
      <c r="J45" s="27"/>
      <c r="L45" s="23"/>
      <c r="M45" s="24"/>
      <c r="N45" s="25"/>
    </row>
    <row r="46" spans="1:14" ht="15.75" hidden="1" customHeight="1">
      <c r="A46" s="52">
        <v>15</v>
      </c>
      <c r="B46" s="124" t="s">
        <v>133</v>
      </c>
      <c r="C46" s="90" t="s">
        <v>127</v>
      </c>
      <c r="D46" s="124" t="s">
        <v>42</v>
      </c>
      <c r="E46" s="125">
        <v>1640.4</v>
      </c>
      <c r="F46" s="126">
        <f>SUM(E46*2/1000)</f>
        <v>3.2808000000000002</v>
      </c>
      <c r="G46" s="14">
        <v>849.49</v>
      </c>
      <c r="H46" s="127">
        <f t="shared" ref="H46:H54" si="5">SUM(F46*G46/1000)</f>
        <v>2.7870067920000001</v>
      </c>
      <c r="I46" s="14">
        <v>0</v>
      </c>
      <c r="J46" s="27"/>
      <c r="L46" s="23"/>
      <c r="M46" s="24"/>
      <c r="N46" s="25"/>
    </row>
    <row r="47" spans="1:14" ht="15.75" hidden="1" customHeight="1">
      <c r="A47" s="52"/>
      <c r="B47" s="124" t="s">
        <v>35</v>
      </c>
      <c r="C47" s="90" t="s">
        <v>127</v>
      </c>
      <c r="D47" s="124" t="s">
        <v>42</v>
      </c>
      <c r="E47" s="125">
        <v>918.25</v>
      </c>
      <c r="F47" s="126">
        <f>SUM(E47*2/1000)</f>
        <v>1.8365</v>
      </c>
      <c r="G47" s="14">
        <v>579.48</v>
      </c>
      <c r="H47" s="127">
        <f t="shared" si="5"/>
        <v>1.06421502</v>
      </c>
      <c r="I47" s="14">
        <v>0</v>
      </c>
      <c r="J47" s="27"/>
      <c r="L47" s="23"/>
      <c r="M47" s="24"/>
      <c r="N47" s="25"/>
    </row>
    <row r="48" spans="1:14" ht="15.75" hidden="1" customHeight="1">
      <c r="A48" s="52">
        <v>16</v>
      </c>
      <c r="B48" s="124" t="s">
        <v>36</v>
      </c>
      <c r="C48" s="90" t="s">
        <v>127</v>
      </c>
      <c r="D48" s="124" t="s">
        <v>42</v>
      </c>
      <c r="E48" s="125">
        <v>5592.26</v>
      </c>
      <c r="F48" s="126">
        <f>SUM(E48*2/1000)</f>
        <v>11.184520000000001</v>
      </c>
      <c r="G48" s="14">
        <v>579.48</v>
      </c>
      <c r="H48" s="127">
        <f t="shared" si="5"/>
        <v>6.4812056496000006</v>
      </c>
      <c r="I48" s="14">
        <v>0</v>
      </c>
      <c r="J48" s="27"/>
      <c r="L48" s="23"/>
      <c r="M48" s="24"/>
      <c r="N48" s="25"/>
    </row>
    <row r="49" spans="1:14" ht="15.75" hidden="1" customHeight="1">
      <c r="A49" s="52">
        <v>17</v>
      </c>
      <c r="B49" s="124" t="s">
        <v>37</v>
      </c>
      <c r="C49" s="90" t="s">
        <v>127</v>
      </c>
      <c r="D49" s="124" t="s">
        <v>42</v>
      </c>
      <c r="E49" s="125">
        <v>2817.65</v>
      </c>
      <c r="F49" s="126">
        <f>SUM(E49*2/1000)</f>
        <v>5.6353</v>
      </c>
      <c r="G49" s="14">
        <v>606.77</v>
      </c>
      <c r="H49" s="127">
        <f t="shared" si="5"/>
        <v>3.4193309809999999</v>
      </c>
      <c r="I49" s="14">
        <v>0</v>
      </c>
      <c r="J49" s="27"/>
      <c r="L49" s="23"/>
      <c r="M49" s="24"/>
      <c r="N49" s="25"/>
    </row>
    <row r="50" spans="1:14" ht="15.75" customHeight="1">
      <c r="A50" s="52">
        <v>15</v>
      </c>
      <c r="B50" s="124" t="s">
        <v>58</v>
      </c>
      <c r="C50" s="90" t="s">
        <v>127</v>
      </c>
      <c r="D50" s="124" t="s">
        <v>152</v>
      </c>
      <c r="E50" s="125">
        <v>3280.8</v>
      </c>
      <c r="F50" s="126">
        <f>SUM(E50*5/1000)</f>
        <v>16.404</v>
      </c>
      <c r="G50" s="14">
        <v>1213.55</v>
      </c>
      <c r="H50" s="127">
        <f t="shared" si="5"/>
        <v>19.9070742</v>
      </c>
      <c r="I50" s="14">
        <f>F50/5*G50</f>
        <v>3981.4148399999999</v>
      </c>
      <c r="J50" s="27"/>
      <c r="L50" s="23"/>
      <c r="M50" s="24"/>
      <c r="N50" s="25"/>
    </row>
    <row r="51" spans="1:14" ht="31.5" hidden="1" customHeight="1">
      <c r="A51" s="52">
        <v>13</v>
      </c>
      <c r="B51" s="124" t="s">
        <v>134</v>
      </c>
      <c r="C51" s="90" t="s">
        <v>127</v>
      </c>
      <c r="D51" s="124" t="s">
        <v>42</v>
      </c>
      <c r="E51" s="125">
        <v>3280.8</v>
      </c>
      <c r="F51" s="126">
        <f>SUM(E51*2/1000)</f>
        <v>6.5616000000000003</v>
      </c>
      <c r="G51" s="14">
        <v>1213.55</v>
      </c>
      <c r="H51" s="127">
        <f t="shared" si="5"/>
        <v>7.9628296799999996</v>
      </c>
      <c r="I51" s="14">
        <v>0</v>
      </c>
      <c r="J51" s="27"/>
      <c r="L51" s="23"/>
      <c r="M51" s="24"/>
      <c r="N51" s="25"/>
    </row>
    <row r="52" spans="1:14" ht="31.5" hidden="1" customHeight="1">
      <c r="A52" s="52">
        <v>14</v>
      </c>
      <c r="B52" s="124" t="s">
        <v>151</v>
      </c>
      <c r="C52" s="90" t="s">
        <v>38</v>
      </c>
      <c r="D52" s="124" t="s">
        <v>42</v>
      </c>
      <c r="E52" s="125">
        <v>40</v>
      </c>
      <c r="F52" s="126">
        <f>SUM(E52*2/100)</f>
        <v>0.8</v>
      </c>
      <c r="G52" s="14">
        <v>2730.49</v>
      </c>
      <c r="H52" s="127">
        <f t="shared" si="5"/>
        <v>2.1843919999999999</v>
      </c>
      <c r="I52" s="14">
        <v>0</v>
      </c>
      <c r="J52" s="27"/>
      <c r="L52" s="23"/>
      <c r="M52" s="24"/>
      <c r="N52" s="25"/>
    </row>
    <row r="53" spans="1:14" ht="15.75" hidden="1" customHeight="1">
      <c r="A53" s="52">
        <v>15</v>
      </c>
      <c r="B53" s="124" t="s">
        <v>39</v>
      </c>
      <c r="C53" s="90" t="s">
        <v>40</v>
      </c>
      <c r="D53" s="124" t="s">
        <v>42</v>
      </c>
      <c r="E53" s="125">
        <v>1</v>
      </c>
      <c r="F53" s="126">
        <v>0.02</v>
      </c>
      <c r="G53" s="14">
        <v>5652.13</v>
      </c>
      <c r="H53" s="127">
        <f t="shared" si="5"/>
        <v>0.11304260000000001</v>
      </c>
      <c r="I53" s="14">
        <v>0</v>
      </c>
      <c r="J53" s="27"/>
      <c r="L53" s="23"/>
      <c r="M53" s="24"/>
      <c r="N53" s="25"/>
    </row>
    <row r="54" spans="1:14" ht="15.75" customHeight="1">
      <c r="A54" s="52">
        <v>16</v>
      </c>
      <c r="B54" s="124" t="s">
        <v>41</v>
      </c>
      <c r="C54" s="90" t="s">
        <v>135</v>
      </c>
      <c r="D54" s="124" t="s">
        <v>77</v>
      </c>
      <c r="E54" s="125">
        <v>238</v>
      </c>
      <c r="F54" s="126">
        <f>SUM(E54)*3</f>
        <v>714</v>
      </c>
      <c r="G54" s="14">
        <v>65.67</v>
      </c>
      <c r="H54" s="127">
        <f t="shared" si="5"/>
        <v>46.888380000000005</v>
      </c>
      <c r="I54" s="14">
        <f>E54*G54</f>
        <v>15629.460000000001</v>
      </c>
      <c r="J54" s="27"/>
      <c r="L54" s="23"/>
      <c r="M54" s="24"/>
      <c r="N54" s="25"/>
    </row>
    <row r="55" spans="1:14" ht="15.75" customHeight="1">
      <c r="A55" s="187" t="s">
        <v>177</v>
      </c>
      <c r="B55" s="188"/>
      <c r="C55" s="188"/>
      <c r="D55" s="188"/>
      <c r="E55" s="188"/>
      <c r="F55" s="188"/>
      <c r="G55" s="188"/>
      <c r="H55" s="188"/>
      <c r="I55" s="189"/>
      <c r="J55" s="27"/>
      <c r="L55" s="23"/>
      <c r="M55" s="24"/>
      <c r="N55" s="25"/>
    </row>
    <row r="56" spans="1:14" ht="15.75" customHeight="1">
      <c r="A56" s="65"/>
      <c r="B56" s="59" t="s">
        <v>43</v>
      </c>
      <c r="C56" s="18"/>
      <c r="D56" s="17"/>
      <c r="E56" s="17"/>
      <c r="F56" s="17"/>
      <c r="G56" s="33"/>
      <c r="H56" s="33"/>
      <c r="I56" s="21"/>
      <c r="J56" s="27"/>
      <c r="L56" s="23"/>
      <c r="M56" s="24"/>
      <c r="N56" s="25"/>
    </row>
    <row r="57" spans="1:14" ht="15.75" hidden="1" customHeight="1">
      <c r="A57" s="52">
        <v>15</v>
      </c>
      <c r="B57" s="124" t="s">
        <v>153</v>
      </c>
      <c r="C57" s="90" t="s">
        <v>117</v>
      </c>
      <c r="D57" s="124" t="s">
        <v>55</v>
      </c>
      <c r="E57" s="133">
        <v>1640.4</v>
      </c>
      <c r="F57" s="14">
        <f>E57/100</f>
        <v>16.404</v>
      </c>
      <c r="G57" s="126">
        <v>472.59</v>
      </c>
      <c r="H57" s="127">
        <f>SUM(F57*G57/1000)</f>
        <v>7.7523663599999999</v>
      </c>
      <c r="I57" s="14">
        <v>0</v>
      </c>
      <c r="J57" s="27"/>
      <c r="L57" s="23"/>
      <c r="M57" s="24"/>
      <c r="N57" s="25"/>
    </row>
    <row r="58" spans="1:14" ht="31.5" customHeight="1">
      <c r="A58" s="52">
        <v>17</v>
      </c>
      <c r="B58" s="124" t="s">
        <v>154</v>
      </c>
      <c r="C58" s="90" t="s">
        <v>117</v>
      </c>
      <c r="D58" s="124" t="s">
        <v>155</v>
      </c>
      <c r="E58" s="125">
        <v>164.04</v>
      </c>
      <c r="F58" s="14">
        <f>E58*6/100</f>
        <v>9.8423999999999996</v>
      </c>
      <c r="G58" s="134">
        <v>1547.28</v>
      </c>
      <c r="H58" s="127">
        <f>F58*G58/1000</f>
        <v>15.228948671999998</v>
      </c>
      <c r="I58" s="14">
        <f>F58/6*G58</f>
        <v>2538.1581119999996</v>
      </c>
      <c r="J58" s="27"/>
      <c r="L58" s="23"/>
      <c r="M58" s="24"/>
      <c r="N58" s="25"/>
    </row>
    <row r="59" spans="1:14" ht="15.75" customHeight="1">
      <c r="A59" s="52">
        <v>18</v>
      </c>
      <c r="B59" s="135" t="s">
        <v>104</v>
      </c>
      <c r="C59" s="136" t="s">
        <v>117</v>
      </c>
      <c r="D59" s="135" t="s">
        <v>156</v>
      </c>
      <c r="E59" s="137">
        <v>8</v>
      </c>
      <c r="F59" s="138">
        <f>E59*8/100</f>
        <v>0.64</v>
      </c>
      <c r="G59" s="134">
        <v>1547.28</v>
      </c>
      <c r="H59" s="139">
        <f>F59*G59/1000</f>
        <v>0.99025920000000001</v>
      </c>
      <c r="I59" s="14">
        <f>F59/6*G59</f>
        <v>165.04320000000001</v>
      </c>
      <c r="J59" s="27"/>
      <c r="L59" s="23"/>
      <c r="M59" s="24"/>
      <c r="N59" s="25"/>
    </row>
    <row r="60" spans="1:14" ht="15.75" hidden="1" customHeight="1">
      <c r="A60" s="52"/>
      <c r="B60" s="135" t="s">
        <v>109</v>
      </c>
      <c r="C60" s="136" t="s">
        <v>110</v>
      </c>
      <c r="D60" s="135" t="s">
        <v>42</v>
      </c>
      <c r="E60" s="137">
        <v>8</v>
      </c>
      <c r="F60" s="138">
        <v>16</v>
      </c>
      <c r="G60" s="140">
        <v>180.78</v>
      </c>
      <c r="H60" s="139">
        <f>F60*G60/1000</f>
        <v>2.8924799999999999</v>
      </c>
      <c r="I60" s="14">
        <v>0</v>
      </c>
      <c r="J60" s="27"/>
      <c r="L60" s="23"/>
      <c r="M60" s="24"/>
      <c r="N60" s="25"/>
    </row>
    <row r="61" spans="1:14" ht="15.75" customHeight="1">
      <c r="A61" s="52"/>
      <c r="B61" s="107" t="s">
        <v>44</v>
      </c>
      <c r="C61" s="107"/>
      <c r="D61" s="107"/>
      <c r="E61" s="107"/>
      <c r="F61" s="107"/>
      <c r="G61" s="107"/>
      <c r="H61" s="107"/>
      <c r="I61" s="42"/>
      <c r="J61" s="27"/>
      <c r="L61" s="23"/>
      <c r="M61" s="24"/>
      <c r="N61" s="25"/>
    </row>
    <row r="62" spans="1:14" ht="15.75" customHeight="1">
      <c r="A62" s="52">
        <v>19</v>
      </c>
      <c r="B62" s="135" t="s">
        <v>105</v>
      </c>
      <c r="C62" s="136" t="s">
        <v>26</v>
      </c>
      <c r="D62" s="135" t="s">
        <v>157</v>
      </c>
      <c r="E62" s="137">
        <v>329.4</v>
      </c>
      <c r="F62" s="138">
        <f>E62*12</f>
        <v>3952.7999999999997</v>
      </c>
      <c r="G62" s="141">
        <v>2.5960000000000001</v>
      </c>
      <c r="H62" s="139">
        <f>G62*F62</f>
        <v>10261.468799999999</v>
      </c>
      <c r="I62" s="14">
        <f>F62/12*G62</f>
        <v>855.12239999999997</v>
      </c>
      <c r="J62" s="27"/>
      <c r="L62" s="23"/>
      <c r="M62" s="24"/>
      <c r="N62" s="25"/>
    </row>
    <row r="63" spans="1:14" ht="15.75" hidden="1" customHeight="1">
      <c r="A63" s="52"/>
      <c r="B63" s="135" t="s">
        <v>45</v>
      </c>
      <c r="C63" s="136" t="s">
        <v>26</v>
      </c>
      <c r="D63" s="135" t="s">
        <v>55</v>
      </c>
      <c r="E63" s="137">
        <v>1640.4</v>
      </c>
      <c r="F63" s="138">
        <v>16.404</v>
      </c>
      <c r="G63" s="142">
        <v>739.61</v>
      </c>
      <c r="H63" s="139">
        <f>G63*F63/1000</f>
        <v>12.132562439999999</v>
      </c>
      <c r="I63" s="14">
        <v>0</v>
      </c>
      <c r="J63" s="27"/>
      <c r="L63" s="23"/>
      <c r="M63" s="24"/>
      <c r="N63" s="25"/>
    </row>
    <row r="64" spans="1:14" ht="15.75" customHeight="1">
      <c r="A64" s="52"/>
      <c r="B64" s="107" t="s">
        <v>46</v>
      </c>
      <c r="C64" s="18"/>
      <c r="D64" s="46"/>
      <c r="E64" s="46"/>
      <c r="F64" s="17"/>
      <c r="G64" s="33"/>
      <c r="H64" s="33"/>
      <c r="I64" s="21"/>
      <c r="J64" s="27"/>
      <c r="L64" s="23"/>
      <c r="M64" s="24"/>
      <c r="N64" s="25"/>
    </row>
    <row r="65" spans="1:22" ht="15.75" customHeight="1">
      <c r="A65" s="52">
        <v>20</v>
      </c>
      <c r="B65" s="16" t="s">
        <v>47</v>
      </c>
      <c r="C65" s="18" t="s">
        <v>135</v>
      </c>
      <c r="D65" s="16" t="s">
        <v>72</v>
      </c>
      <c r="E65" s="21">
        <v>40</v>
      </c>
      <c r="F65" s="126">
        <v>40</v>
      </c>
      <c r="G65" s="14">
        <v>222.4</v>
      </c>
      <c r="H65" s="109">
        <f t="shared" ref="H65:H72" si="6">SUM(F65*G65/1000)</f>
        <v>8.8960000000000008</v>
      </c>
      <c r="I65" s="14">
        <f>G65</f>
        <v>222.4</v>
      </c>
      <c r="J65" s="27"/>
      <c r="L65" s="23"/>
      <c r="M65" s="24"/>
      <c r="N65" s="25"/>
    </row>
    <row r="66" spans="1:22" ht="15.75" hidden="1" customHeight="1">
      <c r="A66" s="33">
        <v>29</v>
      </c>
      <c r="B66" s="16" t="s">
        <v>48</v>
      </c>
      <c r="C66" s="18" t="s">
        <v>135</v>
      </c>
      <c r="D66" s="16" t="s">
        <v>72</v>
      </c>
      <c r="E66" s="21">
        <v>15</v>
      </c>
      <c r="F66" s="126">
        <v>15</v>
      </c>
      <c r="G66" s="14">
        <v>76.25</v>
      </c>
      <c r="H66" s="109">
        <f t="shared" si="6"/>
        <v>1.14375</v>
      </c>
      <c r="I66" s="14">
        <v>0</v>
      </c>
      <c r="J66" s="27"/>
      <c r="L66" s="23"/>
      <c r="M66" s="24"/>
      <c r="N66" s="25"/>
    </row>
    <row r="67" spans="1:22" ht="15.75" hidden="1" customHeight="1">
      <c r="A67" s="33">
        <v>8</v>
      </c>
      <c r="B67" s="16" t="s">
        <v>49</v>
      </c>
      <c r="C67" s="18" t="s">
        <v>136</v>
      </c>
      <c r="D67" s="16" t="s">
        <v>55</v>
      </c>
      <c r="E67" s="125">
        <v>24648</v>
      </c>
      <c r="F67" s="14">
        <f>SUM(E67/100)</f>
        <v>246.48</v>
      </c>
      <c r="G67" s="14">
        <v>212.15</v>
      </c>
      <c r="H67" s="109">
        <f t="shared" si="6"/>
        <v>52.290731999999998</v>
      </c>
      <c r="I67" s="14">
        <v>0</v>
      </c>
      <c r="J67" s="27"/>
      <c r="L67" s="23"/>
      <c r="M67" s="24"/>
      <c r="N67" s="25"/>
    </row>
    <row r="68" spans="1:22" ht="15.75" hidden="1" customHeight="1">
      <c r="A68" s="33">
        <v>9</v>
      </c>
      <c r="B68" s="16" t="s">
        <v>50</v>
      </c>
      <c r="C68" s="18" t="s">
        <v>137</v>
      </c>
      <c r="D68" s="16"/>
      <c r="E68" s="125">
        <v>24648</v>
      </c>
      <c r="F68" s="14">
        <f>SUM(E68/1000)</f>
        <v>24.648</v>
      </c>
      <c r="G68" s="14">
        <v>165.21</v>
      </c>
      <c r="H68" s="109">
        <f t="shared" si="6"/>
        <v>4.0720960800000006</v>
      </c>
      <c r="I68" s="14">
        <v>0</v>
      </c>
      <c r="J68" s="27"/>
      <c r="L68" s="23"/>
      <c r="M68" s="24"/>
      <c r="N68" s="25"/>
    </row>
    <row r="69" spans="1:22" ht="15.75" hidden="1" customHeight="1">
      <c r="A69" s="33">
        <v>10</v>
      </c>
      <c r="B69" s="16" t="s">
        <v>51</v>
      </c>
      <c r="C69" s="18" t="s">
        <v>81</v>
      </c>
      <c r="D69" s="16" t="s">
        <v>55</v>
      </c>
      <c r="E69" s="125">
        <v>2730</v>
      </c>
      <c r="F69" s="14">
        <f>SUM(E69/100)</f>
        <v>27.3</v>
      </c>
      <c r="G69" s="14">
        <v>2074.63</v>
      </c>
      <c r="H69" s="109">
        <f t="shared" si="6"/>
        <v>56.637399000000002</v>
      </c>
      <c r="I69" s="14">
        <v>0</v>
      </c>
      <c r="J69" s="27"/>
      <c r="L69" s="23"/>
    </row>
    <row r="70" spans="1:22" ht="15.75" hidden="1" customHeight="1">
      <c r="A70" s="33">
        <v>11</v>
      </c>
      <c r="B70" s="145" t="s">
        <v>138</v>
      </c>
      <c r="C70" s="18" t="s">
        <v>34</v>
      </c>
      <c r="D70" s="16"/>
      <c r="E70" s="125">
        <v>20.28</v>
      </c>
      <c r="F70" s="14">
        <f>SUM(E70)</f>
        <v>20.28</v>
      </c>
      <c r="G70" s="14">
        <v>45.32</v>
      </c>
      <c r="H70" s="109">
        <f t="shared" si="6"/>
        <v>0.91908960000000006</v>
      </c>
      <c r="I70" s="14">
        <v>0</v>
      </c>
    </row>
    <row r="71" spans="1:22" ht="15.75" hidden="1" customHeight="1">
      <c r="A71" s="33">
        <v>12</v>
      </c>
      <c r="B71" s="145" t="s">
        <v>181</v>
      </c>
      <c r="C71" s="18" t="s">
        <v>34</v>
      </c>
      <c r="D71" s="16"/>
      <c r="E71" s="125">
        <v>20.28</v>
      </c>
      <c r="F71" s="14">
        <f>SUM(E71)</f>
        <v>20.28</v>
      </c>
      <c r="G71" s="14">
        <v>42.28</v>
      </c>
      <c r="H71" s="109">
        <f t="shared" si="6"/>
        <v>0.85743840000000016</v>
      </c>
      <c r="I71" s="14">
        <v>0</v>
      </c>
    </row>
    <row r="72" spans="1:22" ht="15.75" hidden="1" customHeight="1">
      <c r="A72" s="33">
        <v>13</v>
      </c>
      <c r="B72" s="16" t="s">
        <v>59</v>
      </c>
      <c r="C72" s="18" t="s">
        <v>60</v>
      </c>
      <c r="D72" s="16" t="s">
        <v>55</v>
      </c>
      <c r="E72" s="21">
        <v>12</v>
      </c>
      <c r="F72" s="126">
        <f>SUM(E72)</f>
        <v>12</v>
      </c>
      <c r="G72" s="14">
        <v>49.88</v>
      </c>
      <c r="H72" s="109">
        <f t="shared" si="6"/>
        <v>0.59856000000000009</v>
      </c>
      <c r="I72" s="14">
        <v>0</v>
      </c>
    </row>
    <row r="73" spans="1:22" ht="15.75" hidden="1" customHeight="1">
      <c r="A73" s="65"/>
      <c r="B73" s="107" t="s">
        <v>140</v>
      </c>
      <c r="C73" s="107"/>
      <c r="D73" s="107"/>
      <c r="E73" s="107"/>
      <c r="F73" s="107"/>
      <c r="G73" s="107"/>
      <c r="H73" s="107"/>
      <c r="I73" s="21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9"/>
    </row>
    <row r="74" spans="1:22" ht="15.75" hidden="1" customHeight="1">
      <c r="A74" s="33">
        <v>36</v>
      </c>
      <c r="B74" s="124" t="s">
        <v>141</v>
      </c>
      <c r="C74" s="18"/>
      <c r="D74" s="16"/>
      <c r="E74" s="115"/>
      <c r="F74" s="14">
        <v>1</v>
      </c>
      <c r="G74" s="14">
        <v>27356</v>
      </c>
      <c r="H74" s="109">
        <f>G74*F74/1000</f>
        <v>27.356000000000002</v>
      </c>
      <c r="I74" s="14">
        <v>0</v>
      </c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33"/>
      <c r="B75" s="60" t="s">
        <v>78</v>
      </c>
      <c r="C75" s="60"/>
      <c r="D75" s="60"/>
      <c r="E75" s="60"/>
      <c r="F75" s="21"/>
      <c r="G75" s="33"/>
      <c r="H75" s="33"/>
      <c r="I75" s="21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33"/>
      <c r="B76" s="16" t="s">
        <v>97</v>
      </c>
      <c r="C76" s="18" t="s">
        <v>32</v>
      </c>
      <c r="D76" s="16"/>
      <c r="E76" s="21">
        <v>2</v>
      </c>
      <c r="F76" s="126">
        <f>SUM(E76)</f>
        <v>2</v>
      </c>
      <c r="G76" s="14">
        <v>358.51</v>
      </c>
      <c r="H76" s="109">
        <f>SUM(F76*G76/1000)</f>
        <v>0.71701999999999999</v>
      </c>
      <c r="I76" s="14">
        <v>0</v>
      </c>
      <c r="J76" s="5"/>
      <c r="K76" s="5"/>
      <c r="L76" s="5"/>
      <c r="M76" s="5"/>
      <c r="N76" s="5"/>
      <c r="O76" s="5"/>
      <c r="P76" s="5"/>
      <c r="Q76" s="5"/>
      <c r="R76" s="180"/>
      <c r="S76" s="180"/>
      <c r="T76" s="180"/>
      <c r="U76" s="180"/>
    </row>
    <row r="77" spans="1:22" ht="15.75" hidden="1" customHeight="1">
      <c r="A77" s="33"/>
      <c r="B77" s="16" t="s">
        <v>79</v>
      </c>
      <c r="C77" s="18" t="s">
        <v>32</v>
      </c>
      <c r="D77" s="16"/>
      <c r="E77" s="21">
        <v>1</v>
      </c>
      <c r="F77" s="14">
        <v>1</v>
      </c>
      <c r="G77" s="14">
        <v>852.99</v>
      </c>
      <c r="H77" s="109">
        <f>F77*G77/1000</f>
        <v>0.85299000000000003</v>
      </c>
      <c r="I77" s="14">
        <v>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2" ht="15.75" hidden="1" customHeight="1">
      <c r="A78" s="33"/>
      <c r="B78" s="61" t="s">
        <v>80</v>
      </c>
      <c r="C78" s="47"/>
      <c r="D78" s="33"/>
      <c r="E78" s="33"/>
      <c r="F78" s="21"/>
      <c r="G78" s="43" t="s">
        <v>158</v>
      </c>
      <c r="H78" s="43"/>
      <c r="I78" s="21"/>
    </row>
    <row r="79" spans="1:22" ht="15.75" hidden="1" customHeight="1">
      <c r="A79" s="33">
        <v>39</v>
      </c>
      <c r="B79" s="63" t="s">
        <v>142</v>
      </c>
      <c r="C79" s="18" t="s">
        <v>81</v>
      </c>
      <c r="D79" s="16"/>
      <c r="E79" s="21"/>
      <c r="F79" s="14">
        <v>1.35</v>
      </c>
      <c r="G79" s="14">
        <v>2759.44</v>
      </c>
      <c r="H79" s="109">
        <f>SUM(F79*G79/1000)</f>
        <v>3.725244</v>
      </c>
      <c r="I79" s="14">
        <v>0</v>
      </c>
    </row>
    <row r="80" spans="1:22" ht="15.75" customHeight="1">
      <c r="A80" s="171" t="s">
        <v>178</v>
      </c>
      <c r="B80" s="172"/>
      <c r="C80" s="172"/>
      <c r="D80" s="172"/>
      <c r="E80" s="172"/>
      <c r="F80" s="172"/>
      <c r="G80" s="172"/>
      <c r="H80" s="172"/>
      <c r="I80" s="173"/>
    </row>
    <row r="81" spans="1:9" ht="15.75" customHeight="1">
      <c r="A81" s="33">
        <v>21</v>
      </c>
      <c r="B81" s="124" t="s">
        <v>143</v>
      </c>
      <c r="C81" s="18" t="s">
        <v>56</v>
      </c>
      <c r="D81" s="147" t="s">
        <v>57</v>
      </c>
      <c r="E81" s="14">
        <v>5926.8</v>
      </c>
      <c r="F81" s="14">
        <f>SUM(E81*12)</f>
        <v>71121.600000000006</v>
      </c>
      <c r="G81" s="14">
        <v>2.1</v>
      </c>
      <c r="H81" s="109">
        <f>SUM(F81*G81/1000)</f>
        <v>149.35536000000002</v>
      </c>
      <c r="I81" s="14">
        <f>F81/12*G81</f>
        <v>12446.28</v>
      </c>
    </row>
    <row r="82" spans="1:9" ht="31.5" customHeight="1">
      <c r="A82" s="33">
        <v>22</v>
      </c>
      <c r="B82" s="16" t="s">
        <v>82</v>
      </c>
      <c r="C82" s="18"/>
      <c r="D82" s="147" t="s">
        <v>57</v>
      </c>
      <c r="E82" s="125">
        <v>5926.8</v>
      </c>
      <c r="F82" s="14">
        <f>E82*12</f>
        <v>71121.600000000006</v>
      </c>
      <c r="G82" s="14">
        <v>1.63</v>
      </c>
      <c r="H82" s="109">
        <f>F82*G82/1000</f>
        <v>115.928208</v>
      </c>
      <c r="I82" s="14">
        <f>F82/12*G82</f>
        <v>9660.6839999999993</v>
      </c>
    </row>
    <row r="83" spans="1:9" ht="15.75" customHeight="1">
      <c r="A83" s="65"/>
      <c r="B83" s="50" t="s">
        <v>85</v>
      </c>
      <c r="C83" s="52"/>
      <c r="D83" s="17"/>
      <c r="E83" s="17"/>
      <c r="F83" s="17"/>
      <c r="G83" s="21"/>
      <c r="H83" s="21"/>
      <c r="I83" s="35">
        <f>SUM(I16+I17+I18+I20+I21+I24+I26+I27+I28+I39+I40+I41+I42+I44+I50+I54+I58+I59+I62+I65+I81+I82)</f>
        <v>110987.6792705</v>
      </c>
    </row>
    <row r="84" spans="1:9" ht="15.75" customHeight="1">
      <c r="A84" s="174" t="s">
        <v>63</v>
      </c>
      <c r="B84" s="175"/>
      <c r="C84" s="175"/>
      <c r="D84" s="175"/>
      <c r="E84" s="175"/>
      <c r="F84" s="175"/>
      <c r="G84" s="175"/>
      <c r="H84" s="175"/>
      <c r="I84" s="176"/>
    </row>
    <row r="85" spans="1:9" ht="15.75" customHeight="1">
      <c r="A85" s="33">
        <v>23</v>
      </c>
      <c r="B85" s="69" t="s">
        <v>161</v>
      </c>
      <c r="C85" s="84" t="s">
        <v>38</v>
      </c>
      <c r="D85" s="63"/>
      <c r="E85" s="14"/>
      <c r="F85" s="14">
        <v>7.0000000000000007E-2</v>
      </c>
      <c r="G85" s="14">
        <v>3581.13</v>
      </c>
      <c r="H85" s="109">
        <f t="shared" ref="H85" si="7">G85*F85/1000</f>
        <v>0.25067910000000004</v>
      </c>
      <c r="I85" s="14">
        <f>G85*0.01</f>
        <v>35.811300000000003</v>
      </c>
    </row>
    <row r="86" spans="1:9" ht="15.75" customHeight="1">
      <c r="A86" s="33">
        <v>24</v>
      </c>
      <c r="B86" s="69" t="s">
        <v>111</v>
      </c>
      <c r="C86" s="84" t="s">
        <v>135</v>
      </c>
      <c r="D86" s="63"/>
      <c r="E86" s="14"/>
      <c r="F86" s="14">
        <v>968</v>
      </c>
      <c r="G86" s="14">
        <v>53.42</v>
      </c>
      <c r="H86" s="109">
        <f>G86*F86/1000</f>
        <v>51.710560000000008</v>
      </c>
      <c r="I86" s="14">
        <f>G86*121</f>
        <v>6463.8200000000006</v>
      </c>
    </row>
    <row r="87" spans="1:9" ht="31.5" customHeight="1">
      <c r="A87" s="33">
        <v>25</v>
      </c>
      <c r="B87" s="69" t="s">
        <v>84</v>
      </c>
      <c r="C87" s="84" t="s">
        <v>135</v>
      </c>
      <c r="D87" s="63"/>
      <c r="E87" s="14"/>
      <c r="F87" s="14">
        <v>8</v>
      </c>
      <c r="G87" s="14">
        <v>83.36</v>
      </c>
      <c r="H87" s="109">
        <f>G87*F87/1000</f>
        <v>0.66688000000000003</v>
      </c>
      <c r="I87" s="14">
        <f>G87</f>
        <v>83.36</v>
      </c>
    </row>
    <row r="88" spans="1:9" ht="15.75" customHeight="1">
      <c r="A88" s="33"/>
      <c r="B88" s="57" t="s">
        <v>52</v>
      </c>
      <c r="C88" s="53"/>
      <c r="D88" s="67"/>
      <c r="E88" s="67"/>
      <c r="F88" s="53">
        <v>1</v>
      </c>
      <c r="G88" s="53"/>
      <c r="H88" s="53"/>
      <c r="I88" s="35">
        <f>SUM(I85:I87)</f>
        <v>6582.9913000000006</v>
      </c>
    </row>
    <row r="89" spans="1:9" ht="15.75" customHeight="1">
      <c r="A89" s="33"/>
      <c r="B89" s="63" t="s">
        <v>83</v>
      </c>
      <c r="C89" s="17"/>
      <c r="D89" s="17"/>
      <c r="E89" s="17"/>
      <c r="F89" s="54"/>
      <c r="G89" s="55"/>
      <c r="H89" s="55"/>
      <c r="I89" s="20">
        <v>0</v>
      </c>
    </row>
    <row r="90" spans="1:9" ht="15.75" customHeight="1">
      <c r="A90" s="68"/>
      <c r="B90" s="58" t="s">
        <v>182</v>
      </c>
      <c r="C90" s="41"/>
      <c r="D90" s="41"/>
      <c r="E90" s="41"/>
      <c r="F90" s="41"/>
      <c r="G90" s="41"/>
      <c r="H90" s="41"/>
      <c r="I90" s="56">
        <f>I83+I88</f>
        <v>117570.67057049999</v>
      </c>
    </row>
    <row r="91" spans="1:9" ht="15.75" customHeight="1">
      <c r="A91" s="190" t="s">
        <v>262</v>
      </c>
      <c r="B91" s="190"/>
      <c r="C91" s="190"/>
      <c r="D91" s="190"/>
      <c r="E91" s="190"/>
      <c r="F91" s="190"/>
      <c r="G91" s="190"/>
      <c r="H91" s="190"/>
      <c r="I91" s="190"/>
    </row>
    <row r="92" spans="1:9" ht="15.75" customHeight="1">
      <c r="A92" s="108"/>
      <c r="B92" s="182" t="s">
        <v>263</v>
      </c>
      <c r="C92" s="182"/>
      <c r="D92" s="182"/>
      <c r="E92" s="182"/>
      <c r="F92" s="182"/>
      <c r="G92" s="182"/>
      <c r="H92" s="123"/>
      <c r="I92" s="3"/>
    </row>
    <row r="93" spans="1:9" ht="15.75" customHeight="1">
      <c r="A93" s="103"/>
      <c r="B93" s="178" t="s">
        <v>6</v>
      </c>
      <c r="C93" s="178"/>
      <c r="D93" s="178"/>
      <c r="E93" s="178"/>
      <c r="F93" s="178"/>
      <c r="G93" s="178"/>
      <c r="H93" s="28"/>
      <c r="I93" s="5"/>
    </row>
    <row r="94" spans="1:9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 customHeight="1">
      <c r="A95" s="183" t="s">
        <v>7</v>
      </c>
      <c r="B95" s="183"/>
      <c r="C95" s="183"/>
      <c r="D95" s="183"/>
      <c r="E95" s="183"/>
      <c r="F95" s="183"/>
      <c r="G95" s="183"/>
      <c r="H95" s="183"/>
      <c r="I95" s="183"/>
    </row>
    <row r="96" spans="1:9" ht="15.75" customHeight="1">
      <c r="A96" s="183" t="s">
        <v>8</v>
      </c>
      <c r="B96" s="183"/>
      <c r="C96" s="183"/>
      <c r="D96" s="183"/>
      <c r="E96" s="183"/>
      <c r="F96" s="183"/>
      <c r="G96" s="183"/>
      <c r="H96" s="183"/>
      <c r="I96" s="183"/>
    </row>
    <row r="97" spans="1:9" ht="15.75" customHeight="1">
      <c r="A97" s="184" t="s">
        <v>65</v>
      </c>
      <c r="B97" s="184"/>
      <c r="C97" s="184"/>
      <c r="D97" s="184"/>
      <c r="E97" s="184"/>
      <c r="F97" s="184"/>
      <c r="G97" s="184"/>
      <c r="H97" s="184"/>
      <c r="I97" s="184"/>
    </row>
    <row r="98" spans="1:9" ht="15.75" customHeight="1">
      <c r="A98" s="11"/>
    </row>
    <row r="99" spans="1:9" ht="15.75" customHeight="1">
      <c r="A99" s="185" t="s">
        <v>9</v>
      </c>
      <c r="B99" s="185"/>
      <c r="C99" s="185"/>
      <c r="D99" s="185"/>
      <c r="E99" s="185"/>
      <c r="F99" s="185"/>
      <c r="G99" s="185"/>
      <c r="H99" s="185"/>
      <c r="I99" s="185"/>
    </row>
    <row r="100" spans="1:9" ht="15.75" customHeight="1">
      <c r="A100" s="4"/>
    </row>
    <row r="101" spans="1:9" ht="15.75" customHeight="1">
      <c r="B101" s="102" t="s">
        <v>10</v>
      </c>
      <c r="C101" s="177" t="s">
        <v>99</v>
      </c>
      <c r="D101" s="177"/>
      <c r="E101" s="177"/>
      <c r="F101" s="177"/>
      <c r="I101" s="105"/>
    </row>
    <row r="102" spans="1:9" ht="15.75" customHeight="1">
      <c r="A102" s="103"/>
      <c r="C102" s="178" t="s">
        <v>11</v>
      </c>
      <c r="D102" s="178"/>
      <c r="E102" s="178"/>
      <c r="F102" s="178"/>
      <c r="I102" s="104" t="s">
        <v>12</v>
      </c>
    </row>
    <row r="103" spans="1:9" ht="15.75" customHeight="1">
      <c r="A103" s="29"/>
      <c r="C103" s="12"/>
      <c r="D103" s="12"/>
      <c r="E103" s="12"/>
      <c r="G103" s="12"/>
      <c r="H103" s="12"/>
    </row>
    <row r="104" spans="1:9" ht="15.75" customHeight="1">
      <c r="B104" s="102" t="s">
        <v>13</v>
      </c>
      <c r="C104" s="179"/>
      <c r="D104" s="179"/>
      <c r="E104" s="179"/>
      <c r="F104" s="179"/>
      <c r="I104" s="105"/>
    </row>
    <row r="105" spans="1:9" ht="15.75" customHeight="1">
      <c r="A105" s="103"/>
      <c r="C105" s="180" t="s">
        <v>11</v>
      </c>
      <c r="D105" s="180"/>
      <c r="E105" s="180"/>
      <c r="F105" s="180"/>
      <c r="I105" s="104" t="s">
        <v>12</v>
      </c>
    </row>
    <row r="106" spans="1:9" ht="15.75" customHeight="1">
      <c r="A106" s="4" t="s">
        <v>14</v>
      </c>
    </row>
    <row r="107" spans="1:9">
      <c r="A107" s="181" t="s">
        <v>15</v>
      </c>
      <c r="B107" s="181"/>
      <c r="C107" s="181"/>
      <c r="D107" s="181"/>
      <c r="E107" s="181"/>
      <c r="F107" s="181"/>
      <c r="G107" s="181"/>
      <c r="H107" s="181"/>
      <c r="I107" s="181"/>
    </row>
    <row r="108" spans="1:9" ht="45" customHeight="1">
      <c r="A108" s="170" t="s">
        <v>16</v>
      </c>
      <c r="B108" s="170"/>
      <c r="C108" s="170"/>
      <c r="D108" s="170"/>
      <c r="E108" s="170"/>
      <c r="F108" s="170"/>
      <c r="G108" s="170"/>
      <c r="H108" s="170"/>
      <c r="I108" s="170"/>
    </row>
    <row r="109" spans="1:9" ht="30" customHeight="1">
      <c r="A109" s="170" t="s">
        <v>17</v>
      </c>
      <c r="B109" s="170"/>
      <c r="C109" s="170"/>
      <c r="D109" s="170"/>
      <c r="E109" s="170"/>
      <c r="F109" s="170"/>
      <c r="G109" s="170"/>
      <c r="H109" s="170"/>
      <c r="I109" s="170"/>
    </row>
    <row r="110" spans="1:9" ht="30" customHeight="1">
      <c r="A110" s="170" t="s">
        <v>21</v>
      </c>
      <c r="B110" s="170"/>
      <c r="C110" s="170"/>
      <c r="D110" s="170"/>
      <c r="E110" s="170"/>
      <c r="F110" s="170"/>
      <c r="G110" s="170"/>
      <c r="H110" s="170"/>
      <c r="I110" s="170"/>
    </row>
    <row r="111" spans="1:9" ht="15" customHeight="1">
      <c r="A111" s="170" t="s">
        <v>20</v>
      </c>
      <c r="B111" s="170"/>
      <c r="C111" s="170"/>
      <c r="D111" s="170"/>
      <c r="E111" s="170"/>
      <c r="F111" s="170"/>
      <c r="G111" s="170"/>
      <c r="H111" s="170"/>
      <c r="I111" s="170"/>
    </row>
  </sheetData>
  <autoFilter ref="I12:I71"/>
  <mergeCells count="29">
    <mergeCell ref="R76:U76"/>
    <mergeCell ref="A91:I91"/>
    <mergeCell ref="A3:I3"/>
    <mergeCell ref="A4:I4"/>
    <mergeCell ref="A5:I5"/>
    <mergeCell ref="A8:I8"/>
    <mergeCell ref="A10:I10"/>
    <mergeCell ref="A14:I14"/>
    <mergeCell ref="A99:I99"/>
    <mergeCell ref="A15:I15"/>
    <mergeCell ref="A29:I29"/>
    <mergeCell ref="A45:I45"/>
    <mergeCell ref="A55:I55"/>
    <mergeCell ref="A109:I109"/>
    <mergeCell ref="A110:I110"/>
    <mergeCell ref="A111:I111"/>
    <mergeCell ref="A80:I80"/>
    <mergeCell ref="A84:I84"/>
    <mergeCell ref="C101:F101"/>
    <mergeCell ref="C102:F102"/>
    <mergeCell ref="C104:F104"/>
    <mergeCell ref="C105:F105"/>
    <mergeCell ref="A107:I107"/>
    <mergeCell ref="A108:I108"/>
    <mergeCell ref="B92:G92"/>
    <mergeCell ref="B93:G93"/>
    <mergeCell ref="A95:I95"/>
    <mergeCell ref="A96:I96"/>
    <mergeCell ref="A97:I9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21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94</v>
      </c>
      <c r="I1" s="30"/>
      <c r="J1" s="1"/>
      <c r="K1" s="1"/>
      <c r="L1" s="1"/>
      <c r="M1" s="1"/>
    </row>
    <row r="2" spans="1:13" ht="15.75" customHeight="1">
      <c r="A2" s="32" t="s">
        <v>67</v>
      </c>
      <c r="J2" s="2"/>
      <c r="K2" s="2"/>
      <c r="L2" s="2"/>
      <c r="M2" s="2"/>
    </row>
    <row r="3" spans="1:13" ht="15.75" customHeight="1">
      <c r="A3" s="191" t="s">
        <v>243</v>
      </c>
      <c r="B3" s="191"/>
      <c r="C3" s="191"/>
      <c r="D3" s="191"/>
      <c r="E3" s="191"/>
      <c r="F3" s="191"/>
      <c r="G3" s="191"/>
      <c r="H3" s="191"/>
      <c r="I3" s="191"/>
      <c r="J3" s="3"/>
      <c r="K3" s="3"/>
      <c r="L3" s="3"/>
    </row>
    <row r="4" spans="1:13" ht="31.5" customHeight="1">
      <c r="A4" s="192" t="s">
        <v>144</v>
      </c>
      <c r="B4" s="192"/>
      <c r="C4" s="192"/>
      <c r="D4" s="192"/>
      <c r="E4" s="192"/>
      <c r="F4" s="192"/>
      <c r="G4" s="192"/>
      <c r="H4" s="192"/>
      <c r="I4" s="192"/>
    </row>
    <row r="5" spans="1:13" ht="15.75" customHeight="1">
      <c r="A5" s="191" t="s">
        <v>244</v>
      </c>
      <c r="B5" s="193"/>
      <c r="C5" s="193"/>
      <c r="D5" s="193"/>
      <c r="E5" s="193"/>
      <c r="F5" s="193"/>
      <c r="G5" s="193"/>
      <c r="H5" s="193"/>
      <c r="I5" s="193"/>
      <c r="J5" s="2"/>
      <c r="K5" s="2"/>
      <c r="L5" s="2"/>
      <c r="M5" s="2"/>
    </row>
    <row r="6" spans="1:13" ht="15.75" customHeight="1">
      <c r="A6" s="2"/>
      <c r="B6" s="106"/>
      <c r="C6" s="106"/>
      <c r="D6" s="106"/>
      <c r="E6" s="106"/>
      <c r="F6" s="106"/>
      <c r="G6" s="106"/>
      <c r="H6" s="106"/>
      <c r="I6" s="34">
        <v>43039</v>
      </c>
      <c r="J6" s="2"/>
      <c r="K6" s="2"/>
      <c r="L6" s="2"/>
      <c r="M6" s="2"/>
    </row>
    <row r="7" spans="1:13" ht="15.75" customHeight="1">
      <c r="B7" s="102"/>
      <c r="C7" s="102"/>
      <c r="D7" s="102"/>
      <c r="E7" s="102"/>
      <c r="F7" s="3"/>
      <c r="G7" s="3"/>
      <c r="H7" s="3"/>
      <c r="J7" s="3"/>
      <c r="K7" s="3"/>
      <c r="L7" s="3"/>
      <c r="M7" s="3"/>
    </row>
    <row r="8" spans="1:13" ht="78.75" customHeight="1">
      <c r="A8" s="194" t="s">
        <v>168</v>
      </c>
      <c r="B8" s="194"/>
      <c r="C8" s="194"/>
      <c r="D8" s="194"/>
      <c r="E8" s="194"/>
      <c r="F8" s="194"/>
      <c r="G8" s="194"/>
      <c r="H8" s="194"/>
      <c r="I8" s="194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195" t="s">
        <v>261</v>
      </c>
      <c r="B10" s="195"/>
      <c r="C10" s="195"/>
      <c r="D10" s="195"/>
      <c r="E10" s="195"/>
      <c r="F10" s="195"/>
      <c r="G10" s="195"/>
      <c r="H10" s="195"/>
      <c r="I10" s="19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6" t="s">
        <v>61</v>
      </c>
      <c r="B14" s="196"/>
      <c r="C14" s="196"/>
      <c r="D14" s="196"/>
      <c r="E14" s="196"/>
      <c r="F14" s="196"/>
      <c r="G14" s="196"/>
      <c r="H14" s="196"/>
      <c r="I14" s="196"/>
      <c r="J14" s="8"/>
      <c r="K14" s="8"/>
      <c r="L14" s="8"/>
      <c r="M14" s="8"/>
    </row>
    <row r="15" spans="1:13" ht="15.75" customHeight="1">
      <c r="A15" s="186" t="s">
        <v>4</v>
      </c>
      <c r="B15" s="186"/>
      <c r="C15" s="186"/>
      <c r="D15" s="186"/>
      <c r="E15" s="186"/>
      <c r="F15" s="186"/>
      <c r="G15" s="186"/>
      <c r="H15" s="186"/>
      <c r="I15" s="186"/>
      <c r="J15" s="8"/>
      <c r="K15" s="8"/>
      <c r="L15" s="8"/>
      <c r="M15" s="8"/>
    </row>
    <row r="16" spans="1:13" ht="15.75" customHeight="1">
      <c r="A16" s="33">
        <v>1</v>
      </c>
      <c r="B16" s="124" t="s">
        <v>95</v>
      </c>
      <c r="C16" s="90" t="s">
        <v>117</v>
      </c>
      <c r="D16" s="124" t="s">
        <v>118</v>
      </c>
      <c r="E16" s="125">
        <v>160.5</v>
      </c>
      <c r="F16" s="126">
        <f>SUM(E16*156/100)</f>
        <v>250.38</v>
      </c>
      <c r="G16" s="126">
        <v>175.38</v>
      </c>
      <c r="H16" s="127">
        <f t="shared" ref="H16:H28" si="0">SUM(F16*G16/1000)</f>
        <v>43.9116444</v>
      </c>
      <c r="I16" s="14">
        <f>F16/12*G16</f>
        <v>3659.3036999999995</v>
      </c>
      <c r="J16" s="8"/>
      <c r="K16" s="8"/>
      <c r="L16" s="8"/>
      <c r="M16" s="8"/>
    </row>
    <row r="17" spans="1:13" ht="15.75" customHeight="1">
      <c r="A17" s="33">
        <v>2</v>
      </c>
      <c r="B17" s="124" t="s">
        <v>102</v>
      </c>
      <c r="C17" s="90" t="s">
        <v>117</v>
      </c>
      <c r="D17" s="124" t="s">
        <v>119</v>
      </c>
      <c r="E17" s="125">
        <v>642</v>
      </c>
      <c r="F17" s="126">
        <f>SUM(E17*104/100)</f>
        <v>667.68</v>
      </c>
      <c r="G17" s="126">
        <v>175.38</v>
      </c>
      <c r="H17" s="127">
        <f t="shared" si="0"/>
        <v>117.09771839999998</v>
      </c>
      <c r="I17" s="14">
        <f>F17/12*G17</f>
        <v>9758.1431999999986</v>
      </c>
      <c r="J17" s="26"/>
      <c r="K17" s="8"/>
      <c r="L17" s="8"/>
      <c r="M17" s="8"/>
    </row>
    <row r="18" spans="1:13" ht="15.75" customHeight="1">
      <c r="A18" s="33">
        <v>3</v>
      </c>
      <c r="B18" s="124" t="s">
        <v>103</v>
      </c>
      <c r="C18" s="90" t="s">
        <v>117</v>
      </c>
      <c r="D18" s="124" t="s">
        <v>120</v>
      </c>
      <c r="E18" s="125">
        <f>SUM(E16+E17)</f>
        <v>802.5</v>
      </c>
      <c r="F18" s="126">
        <f>SUM(E18*24/100)</f>
        <v>192.6</v>
      </c>
      <c r="G18" s="126">
        <v>504.5</v>
      </c>
      <c r="H18" s="127">
        <f t="shared" si="0"/>
        <v>97.166699999999992</v>
      </c>
      <c r="I18" s="14">
        <f>F18/12*G18</f>
        <v>8097.2250000000004</v>
      </c>
      <c r="J18" s="26"/>
      <c r="K18" s="8"/>
      <c r="L18" s="8"/>
      <c r="M18" s="8"/>
    </row>
    <row r="19" spans="1:13" ht="15.75" hidden="1" customHeight="1">
      <c r="A19" s="33">
        <v>4</v>
      </c>
      <c r="B19" s="124" t="s">
        <v>121</v>
      </c>
      <c r="C19" s="90" t="s">
        <v>122</v>
      </c>
      <c r="D19" s="124" t="s">
        <v>123</v>
      </c>
      <c r="E19" s="125">
        <v>38.4</v>
      </c>
      <c r="F19" s="126">
        <f>SUM(E19/10)</f>
        <v>3.84</v>
      </c>
      <c r="G19" s="126">
        <v>170.16</v>
      </c>
      <c r="H19" s="127">
        <f t="shared" si="0"/>
        <v>0.65341439999999995</v>
      </c>
      <c r="I19" s="14">
        <f>F19/2*G19</f>
        <v>326.7072</v>
      </c>
      <c r="J19" s="26"/>
      <c r="K19" s="8"/>
      <c r="L19" s="8"/>
      <c r="M19" s="8"/>
    </row>
    <row r="20" spans="1:13" ht="15.75" customHeight="1">
      <c r="A20" s="33">
        <v>4</v>
      </c>
      <c r="B20" s="124" t="s">
        <v>107</v>
      </c>
      <c r="C20" s="90" t="s">
        <v>117</v>
      </c>
      <c r="D20" s="124" t="s">
        <v>31</v>
      </c>
      <c r="E20" s="125">
        <v>58.4</v>
      </c>
      <c r="F20" s="126">
        <f>SUM(E20*12/100)</f>
        <v>7.0079999999999991</v>
      </c>
      <c r="G20" s="126">
        <v>217.88</v>
      </c>
      <c r="H20" s="127">
        <f t="shared" si="0"/>
        <v>1.5269030399999997</v>
      </c>
      <c r="I20" s="14">
        <f>F20/12*G20</f>
        <v>127.24191999999999</v>
      </c>
      <c r="J20" s="26"/>
      <c r="K20" s="8"/>
      <c r="L20" s="8"/>
      <c r="M20" s="8"/>
    </row>
    <row r="21" spans="1:13" ht="15.75" customHeight="1">
      <c r="A21" s="33">
        <v>5</v>
      </c>
      <c r="B21" s="124" t="s">
        <v>108</v>
      </c>
      <c r="C21" s="90" t="s">
        <v>117</v>
      </c>
      <c r="D21" s="124" t="s">
        <v>31</v>
      </c>
      <c r="E21" s="125">
        <v>9.08</v>
      </c>
      <c r="F21" s="126">
        <f>SUM(E21*12/100)</f>
        <v>1.0896000000000001</v>
      </c>
      <c r="G21" s="126">
        <v>216.12</v>
      </c>
      <c r="H21" s="127">
        <f t="shared" si="0"/>
        <v>0.23548435200000004</v>
      </c>
      <c r="I21" s="14">
        <f>F21/12*G21</f>
        <v>19.623696000000002</v>
      </c>
      <c r="J21" s="26"/>
      <c r="K21" s="8"/>
      <c r="L21" s="8"/>
      <c r="M21" s="8"/>
    </row>
    <row r="22" spans="1:13" ht="15.75" hidden="1" customHeight="1">
      <c r="A22" s="33">
        <v>7</v>
      </c>
      <c r="B22" s="124" t="s">
        <v>124</v>
      </c>
      <c r="C22" s="90" t="s">
        <v>54</v>
      </c>
      <c r="D22" s="124" t="s">
        <v>123</v>
      </c>
      <c r="E22" s="125">
        <v>822.72</v>
      </c>
      <c r="F22" s="126">
        <f>SUM(E22/100)</f>
        <v>8.2271999999999998</v>
      </c>
      <c r="G22" s="126">
        <v>269.26</v>
      </c>
      <c r="H22" s="127">
        <f t="shared" si="0"/>
        <v>2.2152558719999997</v>
      </c>
      <c r="I22" s="14">
        <f>F22*G22</f>
        <v>2215.2558719999997</v>
      </c>
      <c r="J22" s="26"/>
      <c r="K22" s="8"/>
      <c r="L22" s="8"/>
      <c r="M22" s="8"/>
    </row>
    <row r="23" spans="1:13" ht="15.75" hidden="1" customHeight="1">
      <c r="A23" s="33">
        <v>8</v>
      </c>
      <c r="B23" s="124" t="s">
        <v>125</v>
      </c>
      <c r="C23" s="90" t="s">
        <v>54</v>
      </c>
      <c r="D23" s="124" t="s">
        <v>123</v>
      </c>
      <c r="E23" s="128">
        <v>96.6</v>
      </c>
      <c r="F23" s="126">
        <f>SUM(E23/100)</f>
        <v>0.96599999999999997</v>
      </c>
      <c r="G23" s="126">
        <v>44.29</v>
      </c>
      <c r="H23" s="127">
        <f t="shared" si="0"/>
        <v>4.2784139999999998E-2</v>
      </c>
      <c r="I23" s="14">
        <f>F23*G23</f>
        <v>42.784140000000001</v>
      </c>
      <c r="J23" s="26"/>
      <c r="K23" s="8"/>
      <c r="L23" s="8"/>
      <c r="M23" s="8"/>
    </row>
    <row r="24" spans="1:13" ht="15.75" customHeight="1">
      <c r="A24" s="33">
        <v>6</v>
      </c>
      <c r="B24" s="124" t="s">
        <v>113</v>
      </c>
      <c r="C24" s="90" t="s">
        <v>54</v>
      </c>
      <c r="D24" s="124" t="s">
        <v>31</v>
      </c>
      <c r="E24" s="129">
        <v>32</v>
      </c>
      <c r="F24" s="126">
        <f>32*12/1000</f>
        <v>0.38400000000000001</v>
      </c>
      <c r="G24" s="126">
        <v>389.42</v>
      </c>
      <c r="H24" s="127">
        <f>G24*F24/100</f>
        <v>1.4953728000000002</v>
      </c>
      <c r="I24" s="14">
        <f>F24/12*G24</f>
        <v>12.461440000000001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124" t="s">
        <v>145</v>
      </c>
      <c r="C25" s="90" t="s">
        <v>54</v>
      </c>
      <c r="D25" s="124" t="s">
        <v>55</v>
      </c>
      <c r="E25" s="130">
        <v>38</v>
      </c>
      <c r="F25" s="126">
        <v>0.38</v>
      </c>
      <c r="G25" s="126">
        <v>216.12</v>
      </c>
      <c r="H25" s="127">
        <f>G25*F25/1000</f>
        <v>8.2125600000000007E-2</v>
      </c>
      <c r="I25" s="14">
        <f>F25*G25</f>
        <v>82.125600000000006</v>
      </c>
      <c r="J25" s="26"/>
      <c r="K25" s="8"/>
      <c r="L25" s="8"/>
      <c r="M25" s="8"/>
    </row>
    <row r="26" spans="1:13" ht="15.75" customHeight="1">
      <c r="A26" s="33">
        <v>7</v>
      </c>
      <c r="B26" s="124" t="s">
        <v>114</v>
      </c>
      <c r="C26" s="90" t="s">
        <v>54</v>
      </c>
      <c r="D26" s="124" t="s">
        <v>146</v>
      </c>
      <c r="E26" s="125">
        <v>17</v>
      </c>
      <c r="F26" s="126">
        <f>SUM(E26*12/100)</f>
        <v>2.04</v>
      </c>
      <c r="G26" s="126">
        <v>520.79999999999995</v>
      </c>
      <c r="H26" s="127">
        <f t="shared" si="0"/>
        <v>1.062432</v>
      </c>
      <c r="I26" s="14">
        <f>F26/12*G26</f>
        <v>88.536000000000001</v>
      </c>
      <c r="J26" s="26"/>
      <c r="K26" s="8"/>
      <c r="L26" s="8"/>
      <c r="M26" s="8"/>
    </row>
    <row r="27" spans="1:13" ht="15.75" customHeight="1">
      <c r="A27" s="33">
        <v>8</v>
      </c>
      <c r="B27" s="124" t="s">
        <v>69</v>
      </c>
      <c r="C27" s="90" t="s">
        <v>34</v>
      </c>
      <c r="D27" s="124" t="s">
        <v>92</v>
      </c>
      <c r="E27" s="125">
        <v>0.1</v>
      </c>
      <c r="F27" s="126">
        <f>SUM(E27*365)</f>
        <v>36.5</v>
      </c>
      <c r="G27" s="126">
        <v>147.03</v>
      </c>
      <c r="H27" s="127">
        <f t="shared" si="0"/>
        <v>5.3665950000000002</v>
      </c>
      <c r="I27" s="14">
        <f>F27/12*G27</f>
        <v>447.21625</v>
      </c>
      <c r="J27" s="26"/>
      <c r="K27" s="8"/>
      <c r="L27" s="8"/>
      <c r="M27" s="8"/>
    </row>
    <row r="28" spans="1:13" ht="15.75" customHeight="1">
      <c r="A28" s="33">
        <v>9</v>
      </c>
      <c r="B28" s="131" t="s">
        <v>23</v>
      </c>
      <c r="C28" s="90" t="s">
        <v>24</v>
      </c>
      <c r="D28" s="124" t="s">
        <v>92</v>
      </c>
      <c r="E28" s="125">
        <v>5926.8</v>
      </c>
      <c r="F28" s="126">
        <f>SUM(E28*12)</f>
        <v>71121.600000000006</v>
      </c>
      <c r="G28" s="126">
        <v>4.53</v>
      </c>
      <c r="H28" s="127">
        <f t="shared" si="0"/>
        <v>322.18084800000008</v>
      </c>
      <c r="I28" s="14">
        <f>F28/12*G28</f>
        <v>26848.404000000002</v>
      </c>
      <c r="J28" s="26"/>
      <c r="K28" s="8"/>
      <c r="L28" s="8"/>
      <c r="M28" s="8"/>
    </row>
    <row r="29" spans="1:13" ht="15.75" customHeight="1">
      <c r="A29" s="186" t="s">
        <v>93</v>
      </c>
      <c r="B29" s="186"/>
      <c r="C29" s="186"/>
      <c r="D29" s="186"/>
      <c r="E29" s="186"/>
      <c r="F29" s="186"/>
      <c r="G29" s="186"/>
      <c r="H29" s="186"/>
      <c r="I29" s="186"/>
      <c r="J29" s="26"/>
      <c r="K29" s="8"/>
      <c r="L29" s="8"/>
      <c r="M29" s="8"/>
    </row>
    <row r="30" spans="1:13" ht="15.75" customHeight="1">
      <c r="A30" s="52"/>
      <c r="B30" s="62" t="s">
        <v>29</v>
      </c>
      <c r="C30" s="62"/>
      <c r="D30" s="62"/>
      <c r="E30" s="62"/>
      <c r="F30" s="62"/>
      <c r="G30" s="62"/>
      <c r="H30" s="62"/>
      <c r="I30" s="21"/>
      <c r="J30" s="26"/>
      <c r="K30" s="8"/>
      <c r="L30" s="8"/>
      <c r="M30" s="8"/>
    </row>
    <row r="31" spans="1:13" ht="15.75" customHeight="1">
      <c r="A31" s="52">
        <v>10</v>
      </c>
      <c r="B31" s="124" t="s">
        <v>126</v>
      </c>
      <c r="C31" s="90" t="s">
        <v>127</v>
      </c>
      <c r="D31" s="124" t="s">
        <v>148</v>
      </c>
      <c r="E31" s="126">
        <v>2732.4</v>
      </c>
      <c r="F31" s="126">
        <f>SUM(E31*26/1000)</f>
        <v>71.042400000000015</v>
      </c>
      <c r="G31" s="126">
        <v>155.88999999999999</v>
      </c>
      <c r="H31" s="127">
        <f t="shared" ref="H31:H33" si="1">SUM(F31*G31/1000)</f>
        <v>11.074799736000001</v>
      </c>
      <c r="I31" s="14">
        <f>F31/6*G31</f>
        <v>1845.7999560000003</v>
      </c>
      <c r="J31" s="26"/>
      <c r="K31" s="8"/>
      <c r="L31" s="8"/>
      <c r="M31" s="8"/>
    </row>
    <row r="32" spans="1:13" ht="31.5" customHeight="1">
      <c r="A32" s="52">
        <v>11</v>
      </c>
      <c r="B32" s="124" t="s">
        <v>149</v>
      </c>
      <c r="C32" s="90" t="s">
        <v>127</v>
      </c>
      <c r="D32" s="124" t="s">
        <v>128</v>
      </c>
      <c r="E32" s="126">
        <v>547.85</v>
      </c>
      <c r="F32" s="126">
        <f>SUM(E32*78/1000)</f>
        <v>42.732300000000002</v>
      </c>
      <c r="G32" s="126">
        <v>258.63</v>
      </c>
      <c r="H32" s="127">
        <f t="shared" si="1"/>
        <v>11.051854749</v>
      </c>
      <c r="I32" s="14">
        <f t="shared" ref="I32:I35" si="2">F32/6*G32</f>
        <v>1841.9757915000002</v>
      </c>
      <c r="J32" s="26"/>
      <c r="K32" s="8"/>
      <c r="L32" s="8"/>
      <c r="M32" s="8"/>
    </row>
    <row r="33" spans="1:14" ht="15.75" hidden="1" customHeight="1">
      <c r="A33" s="52">
        <v>16</v>
      </c>
      <c r="B33" s="124" t="s">
        <v>28</v>
      </c>
      <c r="C33" s="90" t="s">
        <v>127</v>
      </c>
      <c r="D33" s="124" t="s">
        <v>55</v>
      </c>
      <c r="E33" s="126">
        <v>2732.4</v>
      </c>
      <c r="F33" s="126">
        <f>SUM(E33/1000)</f>
        <v>2.7324000000000002</v>
      </c>
      <c r="G33" s="126">
        <v>3020.33</v>
      </c>
      <c r="H33" s="127">
        <f t="shared" si="1"/>
        <v>8.2527496920000001</v>
      </c>
      <c r="I33" s="14">
        <f>F33*G33</f>
        <v>8252.7496919999994</v>
      </c>
      <c r="J33" s="26"/>
      <c r="K33" s="8"/>
      <c r="L33" s="8"/>
      <c r="M33" s="8"/>
    </row>
    <row r="34" spans="1:14" ht="15.75" customHeight="1">
      <c r="A34" s="52">
        <v>12</v>
      </c>
      <c r="B34" s="124" t="s">
        <v>147</v>
      </c>
      <c r="C34" s="90" t="s">
        <v>40</v>
      </c>
      <c r="D34" s="124" t="s">
        <v>68</v>
      </c>
      <c r="E34" s="126">
        <v>8</v>
      </c>
      <c r="F34" s="126">
        <v>12.4</v>
      </c>
      <c r="G34" s="126">
        <v>1302.02</v>
      </c>
      <c r="H34" s="127">
        <v>16.145</v>
      </c>
      <c r="I34" s="14">
        <f t="shared" si="2"/>
        <v>2690.8413333333338</v>
      </c>
      <c r="J34" s="26"/>
      <c r="K34" s="8"/>
      <c r="L34" s="8"/>
      <c r="M34" s="8"/>
    </row>
    <row r="35" spans="1:14" ht="15.75" customHeight="1">
      <c r="A35" s="52">
        <v>13</v>
      </c>
      <c r="B35" s="124" t="s">
        <v>129</v>
      </c>
      <c r="C35" s="90" t="s">
        <v>32</v>
      </c>
      <c r="D35" s="124" t="s">
        <v>68</v>
      </c>
      <c r="E35" s="132">
        <v>1</v>
      </c>
      <c r="F35" s="126">
        <v>155</v>
      </c>
      <c r="G35" s="126">
        <v>56.69</v>
      </c>
      <c r="H35" s="127">
        <f>SUM(G35*155/1000)</f>
        <v>8.7869499999999992</v>
      </c>
      <c r="I35" s="14">
        <f t="shared" si="2"/>
        <v>1464.4916666666666</v>
      </c>
      <c r="J35" s="26"/>
      <c r="K35" s="8"/>
      <c r="L35" s="8"/>
      <c r="M35" s="8"/>
    </row>
    <row r="36" spans="1:14" ht="15.75" hidden="1" customHeight="1">
      <c r="A36" s="52">
        <v>4</v>
      </c>
      <c r="B36" s="124" t="s">
        <v>70</v>
      </c>
      <c r="C36" s="90" t="s">
        <v>34</v>
      </c>
      <c r="D36" s="124" t="s">
        <v>72</v>
      </c>
      <c r="E36" s="125"/>
      <c r="F36" s="126">
        <v>2</v>
      </c>
      <c r="G36" s="126">
        <v>191.32</v>
      </c>
      <c r="H36" s="127">
        <f t="shared" ref="H36:H37" si="3">SUM(F36*G36/1000)</f>
        <v>0.38263999999999998</v>
      </c>
      <c r="I36" s="14">
        <v>0</v>
      </c>
      <c r="J36" s="26"/>
      <c r="K36" s="8"/>
    </row>
    <row r="37" spans="1:14" ht="15.75" hidden="1" customHeight="1">
      <c r="A37" s="33">
        <v>8</v>
      </c>
      <c r="B37" s="124" t="s">
        <v>71</v>
      </c>
      <c r="C37" s="90" t="s">
        <v>33</v>
      </c>
      <c r="D37" s="124" t="s">
        <v>72</v>
      </c>
      <c r="E37" s="125"/>
      <c r="F37" s="126">
        <v>3</v>
      </c>
      <c r="G37" s="126">
        <v>1136.32</v>
      </c>
      <c r="H37" s="127">
        <f t="shared" si="3"/>
        <v>3.40896</v>
      </c>
      <c r="I37" s="14">
        <v>0</v>
      </c>
      <c r="J37" s="27"/>
    </row>
    <row r="38" spans="1:14" ht="15.75" hidden="1" customHeight="1">
      <c r="A38" s="52"/>
      <c r="B38" s="60" t="s">
        <v>5</v>
      </c>
      <c r="C38" s="60"/>
      <c r="D38" s="60"/>
      <c r="E38" s="60"/>
      <c r="F38" s="14"/>
      <c r="G38" s="15"/>
      <c r="H38" s="15"/>
      <c r="I38" s="21"/>
      <c r="J38" s="27"/>
    </row>
    <row r="39" spans="1:14" ht="15.75" hidden="1" customHeight="1">
      <c r="A39" s="38">
        <v>10</v>
      </c>
      <c r="B39" s="124" t="s">
        <v>27</v>
      </c>
      <c r="C39" s="90" t="s">
        <v>33</v>
      </c>
      <c r="D39" s="124"/>
      <c r="E39" s="125"/>
      <c r="F39" s="126">
        <v>15</v>
      </c>
      <c r="G39" s="126">
        <v>1527.22</v>
      </c>
      <c r="H39" s="127">
        <f>SUM(F39*G39/1000)</f>
        <v>22.908300000000001</v>
      </c>
      <c r="I39" s="14">
        <f t="shared" ref="I39:I44" si="4">F39/6*G39</f>
        <v>3818.05</v>
      </c>
      <c r="J39" s="27"/>
    </row>
    <row r="40" spans="1:14" ht="15.75" hidden="1" customHeight="1">
      <c r="A40" s="38">
        <v>11</v>
      </c>
      <c r="B40" s="124" t="s">
        <v>73</v>
      </c>
      <c r="C40" s="90" t="s">
        <v>30</v>
      </c>
      <c r="D40" s="124" t="s">
        <v>130</v>
      </c>
      <c r="E40" s="126">
        <v>547.85</v>
      </c>
      <c r="F40" s="126">
        <f>SUM(E40*50/1000)</f>
        <v>27.392499999999998</v>
      </c>
      <c r="G40" s="126">
        <v>2102.71</v>
      </c>
      <c r="H40" s="127">
        <f t="shared" ref="H40:H44" si="5">SUM(F40*G40/1000)</f>
        <v>57.598483674999997</v>
      </c>
      <c r="I40" s="14">
        <f t="shared" si="4"/>
        <v>9599.747279166666</v>
      </c>
      <c r="J40" s="27"/>
    </row>
    <row r="41" spans="1:14" ht="15.75" hidden="1" customHeight="1">
      <c r="A41" s="38">
        <v>12</v>
      </c>
      <c r="B41" s="124" t="s">
        <v>74</v>
      </c>
      <c r="C41" s="90" t="s">
        <v>30</v>
      </c>
      <c r="D41" s="124" t="s">
        <v>131</v>
      </c>
      <c r="E41" s="126">
        <v>140</v>
      </c>
      <c r="F41" s="126">
        <f>SUM(E41*155/1000)</f>
        <v>21.7</v>
      </c>
      <c r="G41" s="126">
        <v>350.75</v>
      </c>
      <c r="H41" s="127">
        <f t="shared" si="5"/>
        <v>7.611275</v>
      </c>
      <c r="I41" s="14">
        <f t="shared" si="4"/>
        <v>1268.5458333333333</v>
      </c>
      <c r="J41" s="27"/>
    </row>
    <row r="42" spans="1:14" ht="31.5" hidden="1" customHeight="1">
      <c r="A42" s="38">
        <v>13</v>
      </c>
      <c r="B42" s="124" t="s">
        <v>88</v>
      </c>
      <c r="C42" s="90" t="s">
        <v>127</v>
      </c>
      <c r="D42" s="124" t="s">
        <v>150</v>
      </c>
      <c r="E42" s="126">
        <v>140</v>
      </c>
      <c r="F42" s="126">
        <f>SUM(E42*12/1000)</f>
        <v>1.68</v>
      </c>
      <c r="G42" s="126">
        <v>5803.28</v>
      </c>
      <c r="H42" s="127">
        <f t="shared" si="5"/>
        <v>9.7495103999999984</v>
      </c>
      <c r="I42" s="14">
        <f t="shared" si="4"/>
        <v>1624.9183999999998</v>
      </c>
      <c r="J42" s="27"/>
    </row>
    <row r="43" spans="1:14" ht="15.75" hidden="1" customHeight="1">
      <c r="A43" s="38">
        <v>14</v>
      </c>
      <c r="B43" s="124" t="s">
        <v>132</v>
      </c>
      <c r="C43" s="90" t="s">
        <v>127</v>
      </c>
      <c r="D43" s="124" t="s">
        <v>75</v>
      </c>
      <c r="E43" s="126">
        <v>140</v>
      </c>
      <c r="F43" s="126">
        <f>SUM(E43*45/1000)</f>
        <v>6.3</v>
      </c>
      <c r="G43" s="126">
        <v>428.7</v>
      </c>
      <c r="H43" s="127">
        <f t="shared" si="5"/>
        <v>2.7008100000000002</v>
      </c>
      <c r="I43" s="14">
        <f t="shared" si="4"/>
        <v>450.13499999999999</v>
      </c>
      <c r="J43" s="27"/>
    </row>
    <row r="44" spans="1:14" ht="15.75" hidden="1" customHeight="1">
      <c r="A44" s="38">
        <v>15</v>
      </c>
      <c r="B44" s="124" t="s">
        <v>76</v>
      </c>
      <c r="C44" s="90" t="s">
        <v>34</v>
      </c>
      <c r="D44" s="124"/>
      <c r="E44" s="125"/>
      <c r="F44" s="126">
        <v>0.9</v>
      </c>
      <c r="G44" s="126">
        <v>798</v>
      </c>
      <c r="H44" s="127">
        <f t="shared" si="5"/>
        <v>0.71820000000000006</v>
      </c>
      <c r="I44" s="14">
        <f t="shared" si="4"/>
        <v>119.69999999999999</v>
      </c>
      <c r="J44" s="27"/>
      <c r="L44" s="23"/>
      <c r="M44" s="24"/>
      <c r="N44" s="25"/>
    </row>
    <row r="45" spans="1:14" ht="15.75" customHeight="1">
      <c r="A45" s="187" t="s">
        <v>176</v>
      </c>
      <c r="B45" s="188"/>
      <c r="C45" s="188"/>
      <c r="D45" s="188"/>
      <c r="E45" s="188"/>
      <c r="F45" s="188"/>
      <c r="G45" s="188"/>
      <c r="H45" s="188"/>
      <c r="I45" s="189"/>
      <c r="J45" s="27"/>
      <c r="L45" s="23"/>
      <c r="M45" s="24"/>
      <c r="N45" s="25"/>
    </row>
    <row r="46" spans="1:14" ht="15.75" hidden="1" customHeight="1">
      <c r="A46" s="52">
        <v>14</v>
      </c>
      <c r="B46" s="124" t="s">
        <v>133</v>
      </c>
      <c r="C46" s="90" t="s">
        <v>127</v>
      </c>
      <c r="D46" s="124" t="s">
        <v>42</v>
      </c>
      <c r="E46" s="125">
        <v>1640.4</v>
      </c>
      <c r="F46" s="126">
        <f>SUM(E46*2/1000)</f>
        <v>3.2808000000000002</v>
      </c>
      <c r="G46" s="14">
        <v>849.49</v>
      </c>
      <c r="H46" s="127">
        <f t="shared" ref="H46:H54" si="6">SUM(F46*G46/1000)</f>
        <v>2.7870067920000001</v>
      </c>
      <c r="I46" s="14">
        <f t="shared" ref="I46:I48" si="7">F46/2*G46</f>
        <v>1393.5033960000001</v>
      </c>
      <c r="J46" s="27"/>
      <c r="L46" s="23"/>
      <c r="M46" s="24"/>
      <c r="N46" s="25"/>
    </row>
    <row r="47" spans="1:14" ht="15.75" hidden="1" customHeight="1">
      <c r="A47" s="52">
        <v>15</v>
      </c>
      <c r="B47" s="124" t="s">
        <v>35</v>
      </c>
      <c r="C47" s="90" t="s">
        <v>127</v>
      </c>
      <c r="D47" s="124" t="s">
        <v>42</v>
      </c>
      <c r="E47" s="125">
        <v>918.25</v>
      </c>
      <c r="F47" s="126">
        <f>SUM(E47*2/1000)</f>
        <v>1.8365</v>
      </c>
      <c r="G47" s="14">
        <v>579.48</v>
      </c>
      <c r="H47" s="127">
        <f t="shared" si="6"/>
        <v>1.06421502</v>
      </c>
      <c r="I47" s="14">
        <f t="shared" si="7"/>
        <v>532.10751000000005</v>
      </c>
      <c r="J47" s="27"/>
      <c r="L47" s="23"/>
      <c r="M47" s="24"/>
      <c r="N47" s="25"/>
    </row>
    <row r="48" spans="1:14" ht="15.75" hidden="1" customHeight="1">
      <c r="A48" s="52">
        <v>16</v>
      </c>
      <c r="B48" s="124" t="s">
        <v>36</v>
      </c>
      <c r="C48" s="90" t="s">
        <v>127</v>
      </c>
      <c r="D48" s="124" t="s">
        <v>42</v>
      </c>
      <c r="E48" s="125">
        <v>5592.26</v>
      </c>
      <c r="F48" s="126">
        <f>SUM(E48*2/1000)</f>
        <v>11.184520000000001</v>
      </c>
      <c r="G48" s="14">
        <v>579.48</v>
      </c>
      <c r="H48" s="127">
        <f t="shared" si="6"/>
        <v>6.4812056496000006</v>
      </c>
      <c r="I48" s="14">
        <f t="shared" si="7"/>
        <v>3240.6028248000002</v>
      </c>
      <c r="J48" s="27"/>
      <c r="L48" s="23"/>
      <c r="M48" s="24"/>
      <c r="N48" s="25"/>
    </row>
    <row r="49" spans="1:14" ht="15.75" hidden="1" customHeight="1">
      <c r="A49" s="52">
        <v>17</v>
      </c>
      <c r="B49" s="124" t="s">
        <v>37</v>
      </c>
      <c r="C49" s="90" t="s">
        <v>127</v>
      </c>
      <c r="D49" s="124" t="s">
        <v>42</v>
      </c>
      <c r="E49" s="125">
        <v>2817.65</v>
      </c>
      <c r="F49" s="126">
        <f>SUM(E49*2/1000)</f>
        <v>5.6353</v>
      </c>
      <c r="G49" s="14">
        <v>606.77</v>
      </c>
      <c r="H49" s="127">
        <f t="shared" si="6"/>
        <v>3.4193309809999999</v>
      </c>
      <c r="I49" s="14">
        <f>F49/2*G49</f>
        <v>1709.6654905</v>
      </c>
      <c r="J49" s="27"/>
      <c r="L49" s="23"/>
      <c r="M49" s="24"/>
      <c r="N49" s="25"/>
    </row>
    <row r="50" spans="1:14" ht="15.75" hidden="1" customHeight="1">
      <c r="A50" s="52">
        <v>18</v>
      </c>
      <c r="B50" s="124" t="s">
        <v>58</v>
      </c>
      <c r="C50" s="90" t="s">
        <v>127</v>
      </c>
      <c r="D50" s="124" t="s">
        <v>152</v>
      </c>
      <c r="E50" s="125">
        <v>3280.8</v>
      </c>
      <c r="F50" s="126">
        <f>SUM(E50*5/1000)</f>
        <v>16.404</v>
      </c>
      <c r="G50" s="14">
        <v>1213.55</v>
      </c>
      <c r="H50" s="127">
        <f t="shared" si="6"/>
        <v>19.9070742</v>
      </c>
      <c r="I50" s="14">
        <f>F50/5*G50</f>
        <v>3981.4148399999999</v>
      </c>
      <c r="J50" s="27"/>
      <c r="L50" s="23"/>
      <c r="M50" s="24"/>
      <c r="N50" s="25"/>
    </row>
    <row r="51" spans="1:14" ht="31.5" customHeight="1">
      <c r="A51" s="52">
        <v>14</v>
      </c>
      <c r="B51" s="124" t="s">
        <v>134</v>
      </c>
      <c r="C51" s="90" t="s">
        <v>127</v>
      </c>
      <c r="D51" s="124" t="s">
        <v>42</v>
      </c>
      <c r="E51" s="125">
        <v>3280.8</v>
      </c>
      <c r="F51" s="126">
        <f>SUM(E51*2/1000)</f>
        <v>6.5616000000000003</v>
      </c>
      <c r="G51" s="14">
        <v>1213.55</v>
      </c>
      <c r="H51" s="127">
        <f t="shared" si="6"/>
        <v>7.9628296799999996</v>
      </c>
      <c r="I51" s="14">
        <f>F51/2*G51</f>
        <v>3981.4148399999999</v>
      </c>
      <c r="J51" s="27"/>
      <c r="L51" s="23"/>
      <c r="M51" s="24"/>
      <c r="N51" s="25"/>
    </row>
    <row r="52" spans="1:14" ht="31.5" customHeight="1">
      <c r="A52" s="52">
        <v>15</v>
      </c>
      <c r="B52" s="124" t="s">
        <v>151</v>
      </c>
      <c r="C52" s="90" t="s">
        <v>38</v>
      </c>
      <c r="D52" s="124" t="s">
        <v>42</v>
      </c>
      <c r="E52" s="125">
        <v>40</v>
      </c>
      <c r="F52" s="126">
        <f>SUM(E52*2/100)</f>
        <v>0.8</v>
      </c>
      <c r="G52" s="14">
        <v>2730.49</v>
      </c>
      <c r="H52" s="127">
        <f t="shared" si="6"/>
        <v>2.1843919999999999</v>
      </c>
      <c r="I52" s="14">
        <f>F52/2*G52</f>
        <v>1092.1959999999999</v>
      </c>
      <c r="J52" s="27"/>
      <c r="L52" s="23"/>
      <c r="M52" s="24"/>
      <c r="N52" s="25"/>
    </row>
    <row r="53" spans="1:14" ht="15.75" customHeight="1">
      <c r="A53" s="52">
        <v>16</v>
      </c>
      <c r="B53" s="124" t="s">
        <v>39</v>
      </c>
      <c r="C53" s="90" t="s">
        <v>40</v>
      </c>
      <c r="D53" s="124" t="s">
        <v>42</v>
      </c>
      <c r="E53" s="125">
        <v>1</v>
      </c>
      <c r="F53" s="126">
        <v>0.02</v>
      </c>
      <c r="G53" s="14">
        <v>5652.13</v>
      </c>
      <c r="H53" s="127">
        <f t="shared" si="6"/>
        <v>0.11304260000000001</v>
      </c>
      <c r="I53" s="14">
        <f>F53/2*G53</f>
        <v>56.521300000000004</v>
      </c>
      <c r="J53" s="27"/>
      <c r="L53" s="23"/>
      <c r="M53" s="24"/>
      <c r="N53" s="25"/>
    </row>
    <row r="54" spans="1:14" ht="15.75" customHeight="1">
      <c r="A54" s="52">
        <v>17</v>
      </c>
      <c r="B54" s="124" t="s">
        <v>41</v>
      </c>
      <c r="C54" s="90" t="s">
        <v>135</v>
      </c>
      <c r="D54" s="124" t="s">
        <v>77</v>
      </c>
      <c r="E54" s="125">
        <v>238</v>
      </c>
      <c r="F54" s="126">
        <f>SUM(E54)*3</f>
        <v>714</v>
      </c>
      <c r="G54" s="14">
        <v>65.67</v>
      </c>
      <c r="H54" s="127">
        <f t="shared" si="6"/>
        <v>46.888380000000005</v>
      </c>
      <c r="I54" s="14">
        <f>E54*G54</f>
        <v>15629.460000000001</v>
      </c>
      <c r="J54" s="27"/>
      <c r="L54" s="23"/>
      <c r="M54" s="24"/>
      <c r="N54" s="25"/>
    </row>
    <row r="55" spans="1:14" ht="15.75" customHeight="1">
      <c r="A55" s="187" t="s">
        <v>177</v>
      </c>
      <c r="B55" s="188"/>
      <c r="C55" s="188"/>
      <c r="D55" s="188"/>
      <c r="E55" s="188"/>
      <c r="F55" s="188"/>
      <c r="G55" s="188"/>
      <c r="H55" s="188"/>
      <c r="I55" s="189"/>
      <c r="J55" s="27"/>
      <c r="L55" s="23"/>
      <c r="M55" s="24"/>
      <c r="N55" s="25"/>
    </row>
    <row r="56" spans="1:14" ht="15.75" hidden="1" customHeight="1">
      <c r="A56" s="65"/>
      <c r="B56" s="59" t="s">
        <v>43</v>
      </c>
      <c r="C56" s="18"/>
      <c r="D56" s="17"/>
      <c r="E56" s="17"/>
      <c r="F56" s="17"/>
      <c r="G56" s="33"/>
      <c r="H56" s="33"/>
      <c r="I56" s="21"/>
      <c r="J56" s="27"/>
      <c r="L56" s="23"/>
      <c r="M56" s="24"/>
      <c r="N56" s="25"/>
    </row>
    <row r="57" spans="1:14" ht="15.75" hidden="1" customHeight="1">
      <c r="A57" s="52">
        <v>15</v>
      </c>
      <c r="B57" s="124" t="s">
        <v>153</v>
      </c>
      <c r="C57" s="90" t="s">
        <v>117</v>
      </c>
      <c r="D57" s="124" t="s">
        <v>55</v>
      </c>
      <c r="E57" s="133">
        <v>1640.4</v>
      </c>
      <c r="F57" s="14">
        <f>E57/100</f>
        <v>16.404</v>
      </c>
      <c r="G57" s="126">
        <v>472.59</v>
      </c>
      <c r="H57" s="127">
        <f>SUM(F57*G57/1000)</f>
        <v>7.7523663599999999</v>
      </c>
      <c r="I57" s="14">
        <v>0</v>
      </c>
      <c r="J57" s="27"/>
      <c r="L57" s="23"/>
      <c r="M57" s="24"/>
      <c r="N57" s="25"/>
    </row>
    <row r="58" spans="1:14" ht="31.5" hidden="1" customHeight="1">
      <c r="A58" s="52">
        <v>18</v>
      </c>
      <c r="B58" s="124" t="s">
        <v>154</v>
      </c>
      <c r="C58" s="90" t="s">
        <v>117</v>
      </c>
      <c r="D58" s="124" t="s">
        <v>155</v>
      </c>
      <c r="E58" s="125">
        <v>164.04</v>
      </c>
      <c r="F58" s="14">
        <f>E58*6/100</f>
        <v>9.8423999999999996</v>
      </c>
      <c r="G58" s="134">
        <v>1547.28</v>
      </c>
      <c r="H58" s="127">
        <f>F58*G58/1000</f>
        <v>15.228948671999998</v>
      </c>
      <c r="I58" s="14">
        <f>F58/6*G58</f>
        <v>2538.1581119999996</v>
      </c>
      <c r="J58" s="27"/>
      <c r="L58" s="23"/>
      <c r="M58" s="24"/>
      <c r="N58" s="25"/>
    </row>
    <row r="59" spans="1:14" ht="15.75" hidden="1" customHeight="1">
      <c r="A59" s="52">
        <v>19</v>
      </c>
      <c r="B59" s="135" t="s">
        <v>104</v>
      </c>
      <c r="C59" s="136" t="s">
        <v>117</v>
      </c>
      <c r="D59" s="135" t="s">
        <v>156</v>
      </c>
      <c r="E59" s="137">
        <v>8</v>
      </c>
      <c r="F59" s="138">
        <f>E59*8/100</f>
        <v>0.64</v>
      </c>
      <c r="G59" s="134">
        <v>1547.28</v>
      </c>
      <c r="H59" s="139">
        <f>F59*G59/1000</f>
        <v>0.99025920000000001</v>
      </c>
      <c r="I59" s="14">
        <f>F59/6*G59</f>
        <v>165.04320000000001</v>
      </c>
      <c r="J59" s="27"/>
      <c r="L59" s="23"/>
      <c r="M59" s="24"/>
      <c r="N59" s="25"/>
    </row>
    <row r="60" spans="1:14" ht="15.75" hidden="1" customHeight="1">
      <c r="A60" s="52"/>
      <c r="B60" s="135" t="s">
        <v>109</v>
      </c>
      <c r="C60" s="136" t="s">
        <v>110</v>
      </c>
      <c r="D60" s="135" t="s">
        <v>42</v>
      </c>
      <c r="E60" s="137">
        <v>8</v>
      </c>
      <c r="F60" s="138">
        <v>16</v>
      </c>
      <c r="G60" s="140">
        <v>180.78</v>
      </c>
      <c r="H60" s="139">
        <f>F60*G60/1000</f>
        <v>2.8924799999999999</v>
      </c>
      <c r="I60" s="14">
        <v>0</v>
      </c>
      <c r="J60" s="27"/>
      <c r="L60" s="23"/>
      <c r="M60" s="24"/>
      <c r="N60" s="25"/>
    </row>
    <row r="61" spans="1:14" ht="15.75" customHeight="1">
      <c r="A61" s="52"/>
      <c r="B61" s="107" t="s">
        <v>44</v>
      </c>
      <c r="C61" s="107"/>
      <c r="D61" s="107"/>
      <c r="E61" s="107"/>
      <c r="F61" s="107"/>
      <c r="G61" s="107"/>
      <c r="H61" s="107"/>
      <c r="I61" s="42"/>
      <c r="J61" s="27"/>
      <c r="L61" s="23"/>
      <c r="M61" s="24"/>
      <c r="N61" s="25"/>
    </row>
    <row r="62" spans="1:14" ht="15.75" customHeight="1">
      <c r="A62" s="52">
        <v>18</v>
      </c>
      <c r="B62" s="135" t="s">
        <v>105</v>
      </c>
      <c r="C62" s="136" t="s">
        <v>26</v>
      </c>
      <c r="D62" s="135" t="s">
        <v>157</v>
      </c>
      <c r="E62" s="137">
        <v>329.4</v>
      </c>
      <c r="F62" s="138">
        <f>E62*12</f>
        <v>3952.7999999999997</v>
      </c>
      <c r="G62" s="141">
        <v>2.5960000000000001</v>
      </c>
      <c r="H62" s="139">
        <f>G62*F62</f>
        <v>10261.468799999999</v>
      </c>
      <c r="I62" s="14">
        <f>F62/12*G62</f>
        <v>855.12239999999997</v>
      </c>
      <c r="J62" s="27"/>
      <c r="L62" s="23"/>
      <c r="M62" s="24"/>
      <c r="N62" s="25"/>
    </row>
    <row r="63" spans="1:14" ht="15.75" hidden="1" customHeight="1">
      <c r="A63" s="52"/>
      <c r="B63" s="135" t="s">
        <v>45</v>
      </c>
      <c r="C63" s="136" t="s">
        <v>26</v>
      </c>
      <c r="D63" s="135" t="s">
        <v>55</v>
      </c>
      <c r="E63" s="137">
        <v>1640.4</v>
      </c>
      <c r="F63" s="138">
        <v>16.404</v>
      </c>
      <c r="G63" s="142">
        <v>739.61</v>
      </c>
      <c r="H63" s="139">
        <f>G63*F63/1000</f>
        <v>12.132562439999999</v>
      </c>
      <c r="I63" s="14">
        <v>0</v>
      </c>
      <c r="J63" s="27"/>
      <c r="L63" s="23"/>
      <c r="M63" s="24"/>
      <c r="N63" s="25"/>
    </row>
    <row r="64" spans="1:14" ht="15.75" customHeight="1">
      <c r="A64" s="52"/>
      <c r="B64" s="107" t="s">
        <v>46</v>
      </c>
      <c r="C64" s="18"/>
      <c r="D64" s="46"/>
      <c r="E64" s="46"/>
      <c r="F64" s="17"/>
      <c r="G64" s="33"/>
      <c r="H64" s="33"/>
      <c r="I64" s="21"/>
      <c r="J64" s="27"/>
      <c r="L64" s="23"/>
      <c r="M64" s="24"/>
      <c r="N64" s="25"/>
    </row>
    <row r="65" spans="1:22" ht="15.75" customHeight="1">
      <c r="A65" s="52">
        <v>19</v>
      </c>
      <c r="B65" s="16" t="s">
        <v>47</v>
      </c>
      <c r="C65" s="18" t="s">
        <v>135</v>
      </c>
      <c r="D65" s="16" t="s">
        <v>72</v>
      </c>
      <c r="E65" s="21">
        <v>40</v>
      </c>
      <c r="F65" s="126">
        <v>40</v>
      </c>
      <c r="G65" s="14">
        <v>222.4</v>
      </c>
      <c r="H65" s="109">
        <f t="shared" ref="H65:H72" si="8">SUM(F65*G65/1000)</f>
        <v>8.8960000000000008</v>
      </c>
      <c r="I65" s="14">
        <f>G65*5</f>
        <v>1112</v>
      </c>
      <c r="J65" s="27"/>
      <c r="L65" s="23"/>
      <c r="M65" s="24"/>
      <c r="N65" s="25"/>
    </row>
    <row r="66" spans="1:22" ht="15.75" hidden="1" customHeight="1">
      <c r="A66" s="33">
        <v>29</v>
      </c>
      <c r="B66" s="16" t="s">
        <v>48</v>
      </c>
      <c r="C66" s="18" t="s">
        <v>135</v>
      </c>
      <c r="D66" s="16" t="s">
        <v>72</v>
      </c>
      <c r="E66" s="21">
        <v>15</v>
      </c>
      <c r="F66" s="126">
        <v>15</v>
      </c>
      <c r="G66" s="14">
        <v>76.25</v>
      </c>
      <c r="H66" s="109">
        <f t="shared" si="8"/>
        <v>1.14375</v>
      </c>
      <c r="I66" s="14">
        <v>0</v>
      </c>
      <c r="J66" s="27"/>
      <c r="L66" s="23"/>
      <c r="M66" s="24"/>
      <c r="N66" s="25"/>
    </row>
    <row r="67" spans="1:22" ht="15.75" hidden="1" customHeight="1">
      <c r="A67" s="33">
        <v>26</v>
      </c>
      <c r="B67" s="16" t="s">
        <v>49</v>
      </c>
      <c r="C67" s="18" t="s">
        <v>136</v>
      </c>
      <c r="D67" s="16" t="s">
        <v>55</v>
      </c>
      <c r="E67" s="125">
        <v>24648</v>
      </c>
      <c r="F67" s="14">
        <f>SUM(E67/100)</f>
        <v>246.48</v>
      </c>
      <c r="G67" s="14">
        <v>212.15</v>
      </c>
      <c r="H67" s="109">
        <f t="shared" si="8"/>
        <v>52.290731999999998</v>
      </c>
      <c r="I67" s="14">
        <f>F67*G67</f>
        <v>52290.731999999996</v>
      </c>
      <c r="J67" s="27"/>
      <c r="L67" s="23"/>
      <c r="M67" s="24"/>
      <c r="N67" s="25"/>
    </row>
    <row r="68" spans="1:22" ht="15.75" hidden="1" customHeight="1">
      <c r="A68" s="33">
        <v>27</v>
      </c>
      <c r="B68" s="16" t="s">
        <v>50</v>
      </c>
      <c r="C68" s="18" t="s">
        <v>137</v>
      </c>
      <c r="D68" s="16"/>
      <c r="E68" s="125">
        <v>24648</v>
      </c>
      <c r="F68" s="14">
        <f>SUM(E68/1000)</f>
        <v>24.648</v>
      </c>
      <c r="G68" s="14">
        <v>165.21</v>
      </c>
      <c r="H68" s="109">
        <f t="shared" si="8"/>
        <v>4.0720960800000006</v>
      </c>
      <c r="I68" s="14">
        <f t="shared" ref="I68:I71" si="9">F68*G68</f>
        <v>4072.0960800000003</v>
      </c>
      <c r="J68" s="27"/>
      <c r="L68" s="23"/>
      <c r="M68" s="24"/>
      <c r="N68" s="25"/>
    </row>
    <row r="69" spans="1:22" ht="15.75" hidden="1" customHeight="1">
      <c r="A69" s="33">
        <v>28</v>
      </c>
      <c r="B69" s="16" t="s">
        <v>51</v>
      </c>
      <c r="C69" s="18" t="s">
        <v>81</v>
      </c>
      <c r="D69" s="16" t="s">
        <v>55</v>
      </c>
      <c r="E69" s="125">
        <v>2730</v>
      </c>
      <c r="F69" s="14">
        <f>SUM(E69/100)</f>
        <v>27.3</v>
      </c>
      <c r="G69" s="14">
        <v>2074.63</v>
      </c>
      <c r="H69" s="109">
        <f t="shared" si="8"/>
        <v>56.637399000000002</v>
      </c>
      <c r="I69" s="14">
        <f t="shared" si="9"/>
        <v>56637.399000000005</v>
      </c>
      <c r="J69" s="27"/>
      <c r="L69" s="23"/>
    </row>
    <row r="70" spans="1:22" ht="15.75" hidden="1" customHeight="1">
      <c r="A70" s="33">
        <v>29</v>
      </c>
      <c r="B70" s="145" t="s">
        <v>138</v>
      </c>
      <c r="C70" s="18" t="s">
        <v>34</v>
      </c>
      <c r="D70" s="16"/>
      <c r="E70" s="125">
        <v>20.28</v>
      </c>
      <c r="F70" s="14">
        <f>SUM(E70)</f>
        <v>20.28</v>
      </c>
      <c r="G70" s="14">
        <v>45.32</v>
      </c>
      <c r="H70" s="109">
        <f t="shared" si="8"/>
        <v>0.91908960000000006</v>
      </c>
      <c r="I70" s="14">
        <f t="shared" si="9"/>
        <v>919.08960000000002</v>
      </c>
    </row>
    <row r="71" spans="1:22" ht="15.75" hidden="1" customHeight="1">
      <c r="A71" s="33">
        <v>30</v>
      </c>
      <c r="B71" s="145" t="s">
        <v>181</v>
      </c>
      <c r="C71" s="18" t="s">
        <v>34</v>
      </c>
      <c r="D71" s="16"/>
      <c r="E71" s="125">
        <v>20.28</v>
      </c>
      <c r="F71" s="14">
        <f>SUM(E71)</f>
        <v>20.28</v>
      </c>
      <c r="G71" s="14">
        <v>42.28</v>
      </c>
      <c r="H71" s="109">
        <f t="shared" si="8"/>
        <v>0.85743840000000016</v>
      </c>
      <c r="I71" s="14">
        <f t="shared" si="9"/>
        <v>857.43840000000012</v>
      </c>
    </row>
    <row r="72" spans="1:22" ht="15.75" hidden="1" customHeight="1">
      <c r="A72" s="33">
        <v>21</v>
      </c>
      <c r="B72" s="16" t="s">
        <v>59</v>
      </c>
      <c r="C72" s="18" t="s">
        <v>60</v>
      </c>
      <c r="D72" s="16" t="s">
        <v>55</v>
      </c>
      <c r="E72" s="21">
        <v>12</v>
      </c>
      <c r="F72" s="126">
        <f>SUM(E72)</f>
        <v>12</v>
      </c>
      <c r="G72" s="14">
        <v>49.88</v>
      </c>
      <c r="H72" s="109">
        <f t="shared" si="8"/>
        <v>0.59856000000000009</v>
      </c>
      <c r="I72" s="14">
        <f>G72*12</f>
        <v>598.56000000000006</v>
      </c>
    </row>
    <row r="73" spans="1:22" ht="15.75" hidden="1" customHeight="1">
      <c r="A73" s="65"/>
      <c r="B73" s="107" t="s">
        <v>140</v>
      </c>
      <c r="C73" s="107"/>
      <c r="D73" s="107"/>
      <c r="E73" s="107"/>
      <c r="F73" s="107"/>
      <c r="G73" s="107"/>
      <c r="H73" s="107"/>
      <c r="I73" s="21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9"/>
    </row>
    <row r="74" spans="1:22" ht="15.75" hidden="1" customHeight="1">
      <c r="A74" s="33">
        <v>16</v>
      </c>
      <c r="B74" s="124" t="s">
        <v>141</v>
      </c>
      <c r="C74" s="18"/>
      <c r="D74" s="16"/>
      <c r="E74" s="115"/>
      <c r="F74" s="14">
        <v>1</v>
      </c>
      <c r="G74" s="14">
        <v>27356</v>
      </c>
      <c r="H74" s="109">
        <f>G74*F74/1000</f>
        <v>27.356000000000002</v>
      </c>
      <c r="I74" s="14">
        <f>G74</f>
        <v>27356</v>
      </c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33"/>
      <c r="B75" s="60" t="s">
        <v>78</v>
      </c>
      <c r="C75" s="60"/>
      <c r="D75" s="60"/>
      <c r="E75" s="60"/>
      <c r="F75" s="21"/>
      <c r="G75" s="33"/>
      <c r="H75" s="33"/>
      <c r="I75" s="21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33"/>
      <c r="B76" s="16" t="s">
        <v>97</v>
      </c>
      <c r="C76" s="18" t="s">
        <v>32</v>
      </c>
      <c r="D76" s="16"/>
      <c r="E76" s="21">
        <v>2</v>
      </c>
      <c r="F76" s="126">
        <f>SUM(E76)</f>
        <v>2</v>
      </c>
      <c r="G76" s="14">
        <v>358.51</v>
      </c>
      <c r="H76" s="109">
        <f>SUM(F76*G76/1000)</f>
        <v>0.71701999999999999</v>
      </c>
      <c r="I76" s="14">
        <v>0</v>
      </c>
      <c r="J76" s="5"/>
      <c r="K76" s="5"/>
      <c r="L76" s="5"/>
      <c r="M76" s="5"/>
      <c r="N76" s="5"/>
      <c r="O76" s="5"/>
      <c r="P76" s="5"/>
      <c r="Q76" s="5"/>
      <c r="R76" s="180"/>
      <c r="S76" s="180"/>
      <c r="T76" s="180"/>
      <c r="U76" s="180"/>
    </row>
    <row r="77" spans="1:22" ht="15.75" hidden="1" customHeight="1">
      <c r="A77" s="33"/>
      <c r="B77" s="16" t="s">
        <v>79</v>
      </c>
      <c r="C77" s="18" t="s">
        <v>32</v>
      </c>
      <c r="D77" s="16"/>
      <c r="E77" s="21">
        <v>1</v>
      </c>
      <c r="F77" s="14">
        <v>1</v>
      </c>
      <c r="G77" s="14">
        <v>852.99</v>
      </c>
      <c r="H77" s="109">
        <f>F77*G77/1000</f>
        <v>0.85299000000000003</v>
      </c>
      <c r="I77" s="14">
        <v>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2" ht="15.75" hidden="1" customHeight="1">
      <c r="A78" s="33"/>
      <c r="B78" s="61" t="s">
        <v>80</v>
      </c>
      <c r="C78" s="47"/>
      <c r="D78" s="33"/>
      <c r="E78" s="33"/>
      <c r="F78" s="21"/>
      <c r="G78" s="43" t="s">
        <v>158</v>
      </c>
      <c r="H78" s="43"/>
      <c r="I78" s="21"/>
    </row>
    <row r="79" spans="1:22" ht="15.75" hidden="1" customHeight="1">
      <c r="A79" s="33">
        <v>39</v>
      </c>
      <c r="B79" s="63" t="s">
        <v>142</v>
      </c>
      <c r="C79" s="18" t="s">
        <v>81</v>
      </c>
      <c r="D79" s="16"/>
      <c r="E79" s="21"/>
      <c r="F79" s="14">
        <v>1.35</v>
      </c>
      <c r="G79" s="14">
        <v>2759.44</v>
      </c>
      <c r="H79" s="109">
        <f>SUM(F79*G79/1000)</f>
        <v>3.725244</v>
      </c>
      <c r="I79" s="14">
        <v>0</v>
      </c>
    </row>
    <row r="80" spans="1:22" ht="15.75" customHeight="1">
      <c r="A80" s="171" t="s">
        <v>178</v>
      </c>
      <c r="B80" s="172"/>
      <c r="C80" s="172"/>
      <c r="D80" s="172"/>
      <c r="E80" s="172"/>
      <c r="F80" s="172"/>
      <c r="G80" s="172"/>
      <c r="H80" s="172"/>
      <c r="I80" s="173"/>
    </row>
    <row r="81" spans="1:9" ht="15.75" customHeight="1">
      <c r="A81" s="33">
        <v>20</v>
      </c>
      <c r="B81" s="124" t="s">
        <v>143</v>
      </c>
      <c r="C81" s="18" t="s">
        <v>56</v>
      </c>
      <c r="D81" s="147" t="s">
        <v>57</v>
      </c>
      <c r="E81" s="14">
        <v>5926.8</v>
      </c>
      <c r="F81" s="14">
        <f>SUM(E81*12)</f>
        <v>71121.600000000006</v>
      </c>
      <c r="G81" s="14">
        <v>2.1</v>
      </c>
      <c r="H81" s="109">
        <f>SUM(F81*G81/1000)</f>
        <v>149.35536000000002</v>
      </c>
      <c r="I81" s="14">
        <f>F81/12*G81</f>
        <v>12446.28</v>
      </c>
    </row>
    <row r="82" spans="1:9" ht="31.5" customHeight="1">
      <c r="A82" s="33">
        <v>21</v>
      </c>
      <c r="B82" s="16" t="s">
        <v>82</v>
      </c>
      <c r="C82" s="18"/>
      <c r="D82" s="147" t="s">
        <v>57</v>
      </c>
      <c r="E82" s="125">
        <v>5926.8</v>
      </c>
      <c r="F82" s="14">
        <f>E82*12</f>
        <v>71121.600000000006</v>
      </c>
      <c r="G82" s="14">
        <v>1.63</v>
      </c>
      <c r="H82" s="109">
        <f>F82*G82/1000</f>
        <v>115.928208</v>
      </c>
      <c r="I82" s="14">
        <f>F82/12*G82</f>
        <v>9660.6839999999993</v>
      </c>
    </row>
    <row r="83" spans="1:9" ht="15.75" customHeight="1">
      <c r="A83" s="65"/>
      <c r="B83" s="50" t="s">
        <v>85</v>
      </c>
      <c r="C83" s="52"/>
      <c r="D83" s="17"/>
      <c r="E83" s="17"/>
      <c r="F83" s="17"/>
      <c r="G83" s="21"/>
      <c r="H83" s="21"/>
      <c r="I83" s="35">
        <f>SUM(I16+I17+I18+I20+I21+I24+I26+I27+I28+I31+I32+I34+I35+I51+I52+I53+I54+I62+I65+I81+I82)</f>
        <v>101734.94249349998</v>
      </c>
    </row>
    <row r="84" spans="1:9" ht="15.75" customHeight="1">
      <c r="A84" s="174" t="s">
        <v>63</v>
      </c>
      <c r="B84" s="175"/>
      <c r="C84" s="175"/>
      <c r="D84" s="175"/>
      <c r="E84" s="175"/>
      <c r="F84" s="175"/>
      <c r="G84" s="175"/>
      <c r="H84" s="175"/>
      <c r="I84" s="176"/>
    </row>
    <row r="85" spans="1:9" ht="31.5" customHeight="1">
      <c r="A85" s="33">
        <v>22</v>
      </c>
      <c r="B85" s="69" t="s">
        <v>161</v>
      </c>
      <c r="C85" s="84" t="s">
        <v>38</v>
      </c>
      <c r="D85" s="63"/>
      <c r="E85" s="14"/>
      <c r="F85" s="14">
        <v>7.0000000000000007E-2</v>
      </c>
      <c r="G85" s="14">
        <v>3581.13</v>
      </c>
      <c r="H85" s="109">
        <f t="shared" ref="H85" si="10">G85*F85/1000</f>
        <v>0.25067910000000004</v>
      </c>
      <c r="I85" s="14">
        <f>G85*0.01</f>
        <v>35.811300000000003</v>
      </c>
    </row>
    <row r="86" spans="1:9" ht="15.75" customHeight="1">
      <c r="A86" s="33">
        <v>23</v>
      </c>
      <c r="B86" s="152" t="s">
        <v>111</v>
      </c>
      <c r="C86" s="153" t="s">
        <v>135</v>
      </c>
      <c r="D86" s="63"/>
      <c r="E86" s="43"/>
      <c r="F86" s="43">
        <v>1089</v>
      </c>
      <c r="G86" s="44">
        <v>53.42</v>
      </c>
      <c r="H86" s="146">
        <f t="shared" ref="H86:H91" si="11">G86*F86/1000</f>
        <v>58.174380000000006</v>
      </c>
      <c r="I86" s="164">
        <f>G86*121</f>
        <v>6463.8200000000006</v>
      </c>
    </row>
    <row r="87" spans="1:9" ht="31.5" customHeight="1">
      <c r="A87" s="33">
        <v>24</v>
      </c>
      <c r="B87" s="69" t="s">
        <v>84</v>
      </c>
      <c r="C87" s="84" t="s">
        <v>135</v>
      </c>
      <c r="D87" s="63"/>
      <c r="E87" s="43"/>
      <c r="F87" s="43">
        <v>8</v>
      </c>
      <c r="G87" s="43">
        <v>83.36</v>
      </c>
      <c r="H87" s="146">
        <f t="shared" si="11"/>
        <v>0.66688000000000003</v>
      </c>
      <c r="I87" s="14">
        <f>G87</f>
        <v>83.36</v>
      </c>
    </row>
    <row r="88" spans="1:9" ht="31.5" customHeight="1">
      <c r="A88" s="33">
        <v>25</v>
      </c>
      <c r="B88" s="69" t="s">
        <v>163</v>
      </c>
      <c r="C88" s="84" t="s">
        <v>86</v>
      </c>
      <c r="D88" s="63"/>
      <c r="E88" s="43"/>
      <c r="F88" s="43">
        <v>27.5</v>
      </c>
      <c r="G88" s="43">
        <v>1187</v>
      </c>
      <c r="H88" s="146">
        <f t="shared" si="11"/>
        <v>32.642499999999998</v>
      </c>
      <c r="I88" s="14">
        <f>G88*44</f>
        <v>52228</v>
      </c>
    </row>
    <row r="89" spans="1:9" ht="15.75" customHeight="1">
      <c r="A89" s="33">
        <v>26</v>
      </c>
      <c r="B89" s="149" t="s">
        <v>190</v>
      </c>
      <c r="C89" s="150" t="s">
        <v>100</v>
      </c>
      <c r="D89" s="82"/>
      <c r="E89" s="43"/>
      <c r="F89" s="43">
        <f>60/3</f>
        <v>20</v>
      </c>
      <c r="G89" s="43">
        <v>1120.8900000000001</v>
      </c>
      <c r="H89" s="146">
        <f t="shared" si="11"/>
        <v>22.417800000000003</v>
      </c>
      <c r="I89" s="14">
        <f>G89*(10/3)</f>
        <v>3736.3000000000006</v>
      </c>
    </row>
    <row r="90" spans="1:9" ht="31.5" customHeight="1">
      <c r="A90" s="33">
        <v>27</v>
      </c>
      <c r="B90" s="69" t="s">
        <v>98</v>
      </c>
      <c r="C90" s="84" t="s">
        <v>101</v>
      </c>
      <c r="D90" s="63"/>
      <c r="E90" s="43"/>
      <c r="F90" s="43">
        <v>9</v>
      </c>
      <c r="G90" s="44">
        <v>589.84</v>
      </c>
      <c r="H90" s="146">
        <f t="shared" si="11"/>
        <v>5.3085600000000008</v>
      </c>
      <c r="I90" s="14">
        <f>G90</f>
        <v>589.84</v>
      </c>
    </row>
    <row r="91" spans="1:9" ht="31.5" customHeight="1">
      <c r="A91" s="33">
        <v>28</v>
      </c>
      <c r="B91" s="69" t="s">
        <v>164</v>
      </c>
      <c r="C91" s="84" t="s">
        <v>86</v>
      </c>
      <c r="D91" s="63"/>
      <c r="E91" s="14"/>
      <c r="F91" s="14">
        <v>44.5</v>
      </c>
      <c r="G91" s="14">
        <v>1272</v>
      </c>
      <c r="H91" s="109">
        <f t="shared" si="11"/>
        <v>56.603999999999999</v>
      </c>
      <c r="I91" s="14">
        <f>G91*(12+8+4)</f>
        <v>30528</v>
      </c>
    </row>
    <row r="92" spans="1:9" ht="31.5" customHeight="1">
      <c r="A92" s="33">
        <v>29</v>
      </c>
      <c r="B92" s="69" t="s">
        <v>216</v>
      </c>
      <c r="C92" s="84" t="s">
        <v>115</v>
      </c>
      <c r="D92" s="82"/>
      <c r="E92" s="43"/>
      <c r="F92" s="43">
        <v>2</v>
      </c>
      <c r="G92" s="43">
        <v>54.17</v>
      </c>
      <c r="H92" s="146">
        <f t="shared" ref="H92" si="12">G92*F92/1000</f>
        <v>0.10834000000000001</v>
      </c>
      <c r="I92" s="14">
        <f>G92</f>
        <v>54.17</v>
      </c>
    </row>
    <row r="93" spans="1:9" ht="15.75" customHeight="1">
      <c r="A93" s="33">
        <v>30</v>
      </c>
      <c r="B93" s="154" t="s">
        <v>91</v>
      </c>
      <c r="C93" s="84" t="s">
        <v>135</v>
      </c>
      <c r="D93" s="63"/>
      <c r="E93" s="43"/>
      <c r="F93" s="43">
        <v>2</v>
      </c>
      <c r="G93" s="43">
        <v>189.67</v>
      </c>
      <c r="H93" s="146">
        <f>G93*F93/1000</f>
        <v>0.37933999999999996</v>
      </c>
      <c r="I93" s="14">
        <f>G93</f>
        <v>189.67</v>
      </c>
    </row>
    <row r="94" spans="1:9" ht="15.75" customHeight="1">
      <c r="A94" s="33">
        <v>31</v>
      </c>
      <c r="B94" s="69" t="s">
        <v>90</v>
      </c>
      <c r="C94" s="84" t="s">
        <v>165</v>
      </c>
      <c r="D94" s="63"/>
      <c r="E94" s="43"/>
      <c r="F94" s="43">
        <v>10</v>
      </c>
      <c r="G94" s="43">
        <v>306.37</v>
      </c>
      <c r="H94" s="146">
        <f>G94*F94/1000</f>
        <v>3.0636999999999999</v>
      </c>
      <c r="I94" s="14">
        <f>G94*10</f>
        <v>3063.7</v>
      </c>
    </row>
    <row r="95" spans="1:9" ht="31.5" customHeight="1">
      <c r="A95" s="33">
        <v>32</v>
      </c>
      <c r="B95" s="69" t="s">
        <v>252</v>
      </c>
      <c r="C95" s="84" t="s">
        <v>86</v>
      </c>
      <c r="D95" s="63"/>
      <c r="E95" s="43"/>
      <c r="F95" s="43">
        <v>4</v>
      </c>
      <c r="G95" s="43">
        <v>1146</v>
      </c>
      <c r="H95" s="146">
        <f t="shared" ref="H95:H97" si="13">G95*F95/1000</f>
        <v>4.5839999999999996</v>
      </c>
      <c r="I95" s="14">
        <f>G95*4</f>
        <v>4584</v>
      </c>
    </row>
    <row r="96" spans="1:9" ht="15.75" customHeight="1">
      <c r="A96" s="33">
        <v>33</v>
      </c>
      <c r="B96" s="148" t="s">
        <v>253</v>
      </c>
      <c r="C96" s="33" t="s">
        <v>122</v>
      </c>
      <c r="D96" s="167"/>
      <c r="E96" s="20"/>
      <c r="F96" s="168">
        <f>6.25/10</f>
        <v>0.625</v>
      </c>
      <c r="G96" s="43">
        <v>29021.3</v>
      </c>
      <c r="H96" s="146">
        <f t="shared" si="13"/>
        <v>18.138312500000001</v>
      </c>
      <c r="I96" s="14">
        <f>G96*0.625</f>
        <v>18138.3125</v>
      </c>
    </row>
    <row r="97" spans="1:9" ht="15.75" customHeight="1">
      <c r="A97" s="33">
        <v>34</v>
      </c>
      <c r="B97" s="69" t="s">
        <v>254</v>
      </c>
      <c r="C97" s="84" t="s">
        <v>169</v>
      </c>
      <c r="D97" s="70"/>
      <c r="E97" s="21"/>
      <c r="F97" s="14">
        <v>191</v>
      </c>
      <c r="G97" s="14">
        <f>103656/303</f>
        <v>342.0990099009901</v>
      </c>
      <c r="H97" s="109">
        <f t="shared" si="13"/>
        <v>65.340910891089109</v>
      </c>
      <c r="I97" s="14">
        <f>G97*191</f>
        <v>65340.910891089108</v>
      </c>
    </row>
    <row r="98" spans="1:9" ht="15.75" customHeight="1">
      <c r="A98" s="33"/>
      <c r="B98" s="57" t="s">
        <v>52</v>
      </c>
      <c r="C98" s="53"/>
      <c r="D98" s="67"/>
      <c r="E98" s="67"/>
      <c r="F98" s="53">
        <v>1</v>
      </c>
      <c r="G98" s="53"/>
      <c r="H98" s="53"/>
      <c r="I98" s="35">
        <f>SUM(I85:I97)</f>
        <v>185035.89469108911</v>
      </c>
    </row>
    <row r="99" spans="1:9" ht="15.75" customHeight="1">
      <c r="A99" s="33"/>
      <c r="B99" s="63" t="s">
        <v>83</v>
      </c>
      <c r="C99" s="17"/>
      <c r="D99" s="17"/>
      <c r="E99" s="17"/>
      <c r="F99" s="54"/>
      <c r="G99" s="55"/>
      <c r="H99" s="55"/>
      <c r="I99" s="20">
        <v>0</v>
      </c>
    </row>
    <row r="100" spans="1:9" ht="15.75" customHeight="1">
      <c r="A100" s="68"/>
      <c r="B100" s="58" t="s">
        <v>182</v>
      </c>
      <c r="C100" s="41"/>
      <c r="D100" s="41"/>
      <c r="E100" s="41"/>
      <c r="F100" s="41"/>
      <c r="G100" s="41"/>
      <c r="H100" s="41"/>
      <c r="I100" s="56">
        <f>I83+I98</f>
        <v>286770.83718458912</v>
      </c>
    </row>
    <row r="101" spans="1:9" ht="15.75" customHeight="1">
      <c r="A101" s="190" t="s">
        <v>255</v>
      </c>
      <c r="B101" s="190"/>
      <c r="C101" s="190"/>
      <c r="D101" s="190"/>
      <c r="E101" s="190"/>
      <c r="F101" s="190"/>
      <c r="G101" s="190"/>
      <c r="H101" s="190"/>
      <c r="I101" s="190"/>
    </row>
    <row r="102" spans="1:9" ht="15.75" customHeight="1">
      <c r="A102" s="108"/>
      <c r="B102" s="182" t="s">
        <v>256</v>
      </c>
      <c r="C102" s="182"/>
      <c r="D102" s="182"/>
      <c r="E102" s="182"/>
      <c r="F102" s="182"/>
      <c r="G102" s="182"/>
      <c r="H102" s="123"/>
      <c r="I102" s="3"/>
    </row>
    <row r="103" spans="1:9" ht="15.75" customHeight="1">
      <c r="A103" s="103"/>
      <c r="B103" s="178" t="s">
        <v>6</v>
      </c>
      <c r="C103" s="178"/>
      <c r="D103" s="178"/>
      <c r="E103" s="178"/>
      <c r="F103" s="178"/>
      <c r="G103" s="178"/>
      <c r="H103" s="28"/>
      <c r="I103" s="5"/>
    </row>
    <row r="104" spans="1:9" ht="15.75" customHeight="1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 customHeight="1">
      <c r="A105" s="183" t="s">
        <v>7</v>
      </c>
      <c r="B105" s="183"/>
      <c r="C105" s="183"/>
      <c r="D105" s="183"/>
      <c r="E105" s="183"/>
      <c r="F105" s="183"/>
      <c r="G105" s="183"/>
      <c r="H105" s="183"/>
      <c r="I105" s="183"/>
    </row>
    <row r="106" spans="1:9" ht="15.75" customHeight="1">
      <c r="A106" s="183" t="s">
        <v>8</v>
      </c>
      <c r="B106" s="183"/>
      <c r="C106" s="183"/>
      <c r="D106" s="183"/>
      <c r="E106" s="183"/>
      <c r="F106" s="183"/>
      <c r="G106" s="183"/>
      <c r="H106" s="183"/>
      <c r="I106" s="183"/>
    </row>
    <row r="107" spans="1:9" ht="15.75" customHeight="1">
      <c r="A107" s="184" t="s">
        <v>65</v>
      </c>
      <c r="B107" s="184"/>
      <c r="C107" s="184"/>
      <c r="D107" s="184"/>
      <c r="E107" s="184"/>
      <c r="F107" s="184"/>
      <c r="G107" s="184"/>
      <c r="H107" s="184"/>
      <c r="I107" s="184"/>
    </row>
    <row r="108" spans="1:9" ht="15.75" customHeight="1">
      <c r="A108" s="11"/>
    </row>
    <row r="109" spans="1:9" ht="15.75" customHeight="1">
      <c r="A109" s="185" t="s">
        <v>9</v>
      </c>
      <c r="B109" s="185"/>
      <c r="C109" s="185"/>
      <c r="D109" s="185"/>
      <c r="E109" s="185"/>
      <c r="F109" s="185"/>
      <c r="G109" s="185"/>
      <c r="H109" s="185"/>
      <c r="I109" s="185"/>
    </row>
    <row r="110" spans="1:9" ht="15.75" customHeight="1">
      <c r="A110" s="4"/>
    </row>
    <row r="111" spans="1:9" ht="15.75" customHeight="1">
      <c r="B111" s="102" t="s">
        <v>10</v>
      </c>
      <c r="C111" s="177" t="s">
        <v>99</v>
      </c>
      <c r="D111" s="177"/>
      <c r="E111" s="177"/>
      <c r="F111" s="177"/>
      <c r="I111" s="105"/>
    </row>
    <row r="112" spans="1:9" ht="15.75" customHeight="1">
      <c r="A112" s="103"/>
      <c r="C112" s="178" t="s">
        <v>11</v>
      </c>
      <c r="D112" s="178"/>
      <c r="E112" s="178"/>
      <c r="F112" s="178"/>
      <c r="I112" s="104" t="s">
        <v>12</v>
      </c>
    </row>
    <row r="113" spans="1:9" ht="15.75" customHeight="1">
      <c r="A113" s="29"/>
      <c r="C113" s="12"/>
      <c r="D113" s="12"/>
      <c r="E113" s="12"/>
      <c r="G113" s="12"/>
      <c r="H113" s="12"/>
    </row>
    <row r="114" spans="1:9" ht="15.75" customHeight="1">
      <c r="B114" s="102" t="s">
        <v>13</v>
      </c>
      <c r="C114" s="179"/>
      <c r="D114" s="179"/>
      <c r="E114" s="179"/>
      <c r="F114" s="179"/>
      <c r="I114" s="105"/>
    </row>
    <row r="115" spans="1:9" ht="15.75" customHeight="1">
      <c r="A115" s="103"/>
      <c r="C115" s="180" t="s">
        <v>11</v>
      </c>
      <c r="D115" s="180"/>
      <c r="E115" s="180"/>
      <c r="F115" s="180"/>
      <c r="I115" s="104" t="s">
        <v>12</v>
      </c>
    </row>
    <row r="116" spans="1:9" ht="15.75" customHeight="1">
      <c r="A116" s="4" t="s">
        <v>14</v>
      </c>
    </row>
    <row r="117" spans="1:9">
      <c r="A117" s="181" t="s">
        <v>15</v>
      </c>
      <c r="B117" s="181"/>
      <c r="C117" s="181"/>
      <c r="D117" s="181"/>
      <c r="E117" s="181"/>
      <c r="F117" s="181"/>
      <c r="G117" s="181"/>
      <c r="H117" s="181"/>
      <c r="I117" s="181"/>
    </row>
    <row r="118" spans="1:9" ht="45" customHeight="1">
      <c r="A118" s="170" t="s">
        <v>16</v>
      </c>
      <c r="B118" s="170"/>
      <c r="C118" s="170"/>
      <c r="D118" s="170"/>
      <c r="E118" s="170"/>
      <c r="F118" s="170"/>
      <c r="G118" s="170"/>
      <c r="H118" s="170"/>
      <c r="I118" s="170"/>
    </row>
    <row r="119" spans="1:9" ht="30" customHeight="1">
      <c r="A119" s="170" t="s">
        <v>17</v>
      </c>
      <c r="B119" s="170"/>
      <c r="C119" s="170"/>
      <c r="D119" s="170"/>
      <c r="E119" s="170"/>
      <c r="F119" s="170"/>
      <c r="G119" s="170"/>
      <c r="H119" s="170"/>
      <c r="I119" s="170"/>
    </row>
    <row r="120" spans="1:9" ht="30" customHeight="1">
      <c r="A120" s="170" t="s">
        <v>21</v>
      </c>
      <c r="B120" s="170"/>
      <c r="C120" s="170"/>
      <c r="D120" s="170"/>
      <c r="E120" s="170"/>
      <c r="F120" s="170"/>
      <c r="G120" s="170"/>
      <c r="H120" s="170"/>
      <c r="I120" s="170"/>
    </row>
    <row r="121" spans="1:9" ht="15" customHeight="1">
      <c r="A121" s="170" t="s">
        <v>20</v>
      </c>
      <c r="B121" s="170"/>
      <c r="C121" s="170"/>
      <c r="D121" s="170"/>
      <c r="E121" s="170"/>
      <c r="F121" s="170"/>
      <c r="G121" s="170"/>
      <c r="H121" s="170"/>
      <c r="I121" s="170"/>
    </row>
  </sheetData>
  <autoFilter ref="I12:I71"/>
  <mergeCells count="29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6:U76"/>
    <mergeCell ref="C115:F115"/>
    <mergeCell ref="A84:I84"/>
    <mergeCell ref="A101:I101"/>
    <mergeCell ref="B102:G102"/>
    <mergeCell ref="B103:G103"/>
    <mergeCell ref="A105:I105"/>
    <mergeCell ref="A106:I106"/>
    <mergeCell ref="A107:I107"/>
    <mergeCell ref="A109:I109"/>
    <mergeCell ref="C111:F111"/>
    <mergeCell ref="C112:F112"/>
    <mergeCell ref="C114:F114"/>
    <mergeCell ref="A80:I80"/>
    <mergeCell ref="A117:I117"/>
    <mergeCell ref="A118:I118"/>
    <mergeCell ref="A119:I119"/>
    <mergeCell ref="A120:I120"/>
    <mergeCell ref="A121:I12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20"/>
  <sheetViews>
    <sheetView workbookViewId="0">
      <selection activeCell="A10" sqref="A10:I10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94</v>
      </c>
      <c r="I1" s="30"/>
      <c r="J1" s="1"/>
      <c r="K1" s="1"/>
      <c r="L1" s="1"/>
      <c r="M1" s="1"/>
    </row>
    <row r="2" spans="1:13" ht="15.75" customHeight="1">
      <c r="A2" s="32" t="s">
        <v>67</v>
      </c>
      <c r="J2" s="2"/>
      <c r="K2" s="2"/>
      <c r="L2" s="2"/>
      <c r="M2" s="2"/>
    </row>
    <row r="3" spans="1:13" ht="15.75" customHeight="1">
      <c r="A3" s="191" t="s">
        <v>166</v>
      </c>
      <c r="B3" s="191"/>
      <c r="C3" s="191"/>
      <c r="D3" s="191"/>
      <c r="E3" s="191"/>
      <c r="F3" s="191"/>
      <c r="G3" s="191"/>
      <c r="H3" s="191"/>
      <c r="I3" s="191"/>
      <c r="J3" s="3"/>
      <c r="K3" s="3"/>
      <c r="L3" s="3"/>
    </row>
    <row r="4" spans="1:13" ht="31.5" customHeight="1">
      <c r="A4" s="192" t="s">
        <v>144</v>
      </c>
      <c r="B4" s="192"/>
      <c r="C4" s="192"/>
      <c r="D4" s="192"/>
      <c r="E4" s="192"/>
      <c r="F4" s="192"/>
      <c r="G4" s="192"/>
      <c r="H4" s="192"/>
      <c r="I4" s="192"/>
    </row>
    <row r="5" spans="1:13" ht="15.75" customHeight="1">
      <c r="A5" s="191" t="s">
        <v>167</v>
      </c>
      <c r="B5" s="193"/>
      <c r="C5" s="193"/>
      <c r="D5" s="193"/>
      <c r="E5" s="193"/>
      <c r="F5" s="193"/>
      <c r="G5" s="193"/>
      <c r="H5" s="193"/>
      <c r="I5" s="193"/>
      <c r="J5" s="2"/>
      <c r="K5" s="2"/>
      <c r="L5" s="2"/>
      <c r="M5" s="2"/>
    </row>
    <row r="6" spans="1:13" ht="15.75" customHeight="1">
      <c r="A6" s="2"/>
      <c r="B6" s="100"/>
      <c r="C6" s="100"/>
      <c r="D6" s="100"/>
      <c r="E6" s="100"/>
      <c r="F6" s="100"/>
      <c r="G6" s="100"/>
      <c r="H6" s="100"/>
      <c r="I6" s="34">
        <v>43014</v>
      </c>
      <c r="J6" s="2"/>
      <c r="K6" s="2"/>
      <c r="L6" s="2"/>
      <c r="M6" s="2"/>
    </row>
    <row r="7" spans="1:13" ht="15.75" customHeight="1">
      <c r="B7" s="98"/>
      <c r="C7" s="98"/>
      <c r="D7" s="98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94" t="s">
        <v>168</v>
      </c>
      <c r="B8" s="194"/>
      <c r="C8" s="194"/>
      <c r="D8" s="194"/>
      <c r="E8" s="194"/>
      <c r="F8" s="194"/>
      <c r="G8" s="194"/>
      <c r="H8" s="194"/>
      <c r="I8" s="19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5" t="s">
        <v>261</v>
      </c>
      <c r="B10" s="195"/>
      <c r="C10" s="195"/>
      <c r="D10" s="195"/>
      <c r="E10" s="195"/>
      <c r="F10" s="195"/>
      <c r="G10" s="195"/>
      <c r="H10" s="195"/>
      <c r="I10" s="19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173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hidden="1" customHeight="1">
      <c r="A14" s="196" t="s">
        <v>61</v>
      </c>
      <c r="B14" s="196"/>
      <c r="C14" s="196"/>
      <c r="D14" s="196"/>
      <c r="E14" s="196"/>
      <c r="F14" s="196"/>
      <c r="G14" s="196"/>
      <c r="H14" s="196"/>
      <c r="I14" s="196"/>
      <c r="J14" s="8"/>
      <c r="K14" s="8"/>
      <c r="L14" s="8"/>
      <c r="M14" s="8"/>
    </row>
    <row r="15" spans="1:13" ht="15.75" hidden="1" customHeight="1">
      <c r="A15" s="196" t="s">
        <v>4</v>
      </c>
      <c r="B15" s="196"/>
      <c r="C15" s="196"/>
      <c r="D15" s="196"/>
      <c r="E15" s="196"/>
      <c r="F15" s="196"/>
      <c r="G15" s="196"/>
      <c r="H15" s="196"/>
      <c r="I15" s="196"/>
      <c r="J15" s="8"/>
      <c r="K15" s="8"/>
      <c r="L15" s="8"/>
      <c r="M15" s="8"/>
    </row>
    <row r="16" spans="1:13" ht="15.75" hidden="1" customHeight="1">
      <c r="A16" s="33">
        <v>1</v>
      </c>
      <c r="B16" s="37" t="s">
        <v>95</v>
      </c>
      <c r="C16" s="51" t="s">
        <v>117</v>
      </c>
      <c r="D16" s="37" t="s">
        <v>118</v>
      </c>
      <c r="E16" s="99"/>
      <c r="F16" s="110"/>
      <c r="G16" s="36">
        <v>175.38</v>
      </c>
      <c r="H16" s="119"/>
      <c r="I16" s="70">
        <v>3659.3</v>
      </c>
      <c r="J16" s="8"/>
      <c r="K16" s="8"/>
      <c r="L16" s="8"/>
      <c r="M16" s="8"/>
    </row>
    <row r="17" spans="1:13" ht="15.75" hidden="1" customHeight="1">
      <c r="A17" s="33">
        <v>2</v>
      </c>
      <c r="B17" s="37" t="s">
        <v>102</v>
      </c>
      <c r="C17" s="51" t="s">
        <v>117</v>
      </c>
      <c r="D17" s="37" t="s">
        <v>119</v>
      </c>
      <c r="E17" s="99"/>
      <c r="F17" s="110"/>
      <c r="G17" s="36">
        <v>175.38</v>
      </c>
      <c r="H17" s="119"/>
      <c r="I17" s="70">
        <v>9758.14</v>
      </c>
      <c r="J17" s="26"/>
      <c r="K17" s="8"/>
      <c r="L17" s="8"/>
      <c r="M17" s="8"/>
    </row>
    <row r="18" spans="1:13" ht="15.75" hidden="1" customHeight="1">
      <c r="A18" s="33">
        <v>3</v>
      </c>
      <c r="B18" s="37" t="s">
        <v>103</v>
      </c>
      <c r="C18" s="51" t="s">
        <v>117</v>
      </c>
      <c r="D18" s="37" t="s">
        <v>120</v>
      </c>
      <c r="E18" s="99"/>
      <c r="F18" s="110"/>
      <c r="G18" s="36">
        <v>504.5</v>
      </c>
      <c r="H18" s="119"/>
      <c r="I18" s="70">
        <v>8097.23</v>
      </c>
      <c r="J18" s="26"/>
      <c r="K18" s="8"/>
      <c r="L18" s="8"/>
      <c r="M18" s="8"/>
    </row>
    <row r="19" spans="1:13" ht="15.75" hidden="1" customHeight="1">
      <c r="A19" s="33"/>
      <c r="B19" s="37" t="s">
        <v>121</v>
      </c>
      <c r="C19" s="51" t="s">
        <v>122</v>
      </c>
      <c r="D19" s="37" t="s">
        <v>123</v>
      </c>
      <c r="E19" s="99"/>
      <c r="F19" s="110"/>
      <c r="G19" s="36">
        <v>170.16</v>
      </c>
      <c r="H19" s="119"/>
      <c r="I19" s="70">
        <v>0</v>
      </c>
      <c r="J19" s="26"/>
      <c r="K19" s="8"/>
      <c r="L19" s="8"/>
      <c r="M19" s="8"/>
    </row>
    <row r="20" spans="1:13" ht="15.75" hidden="1" customHeight="1">
      <c r="A20" s="33">
        <v>4</v>
      </c>
      <c r="B20" s="37" t="s">
        <v>107</v>
      </c>
      <c r="C20" s="51" t="s">
        <v>117</v>
      </c>
      <c r="D20" s="37" t="s">
        <v>31</v>
      </c>
      <c r="E20" s="99"/>
      <c r="F20" s="110"/>
      <c r="G20" s="36">
        <v>217.88</v>
      </c>
      <c r="H20" s="119"/>
      <c r="I20" s="70">
        <v>127.24</v>
      </c>
      <c r="J20" s="26"/>
      <c r="K20" s="8"/>
      <c r="L20" s="8"/>
      <c r="M20" s="8"/>
    </row>
    <row r="21" spans="1:13" ht="15.75" hidden="1" customHeight="1">
      <c r="A21" s="33">
        <v>5</v>
      </c>
      <c r="B21" s="37" t="s">
        <v>108</v>
      </c>
      <c r="C21" s="51" t="s">
        <v>117</v>
      </c>
      <c r="D21" s="37" t="s">
        <v>31</v>
      </c>
      <c r="E21" s="99"/>
      <c r="F21" s="110"/>
      <c r="G21" s="36">
        <v>216.12</v>
      </c>
      <c r="H21" s="119"/>
      <c r="I21" s="70">
        <v>19.62</v>
      </c>
      <c r="J21" s="26"/>
      <c r="K21" s="8"/>
      <c r="L21" s="8"/>
      <c r="M21" s="8"/>
    </row>
    <row r="22" spans="1:13" ht="15.75" hidden="1" customHeight="1">
      <c r="A22" s="33"/>
      <c r="B22" s="37" t="s">
        <v>124</v>
      </c>
      <c r="C22" s="51" t="s">
        <v>54</v>
      </c>
      <c r="D22" s="37" t="s">
        <v>123</v>
      </c>
      <c r="E22" s="99"/>
      <c r="F22" s="110"/>
      <c r="G22" s="36">
        <v>269.26</v>
      </c>
      <c r="H22" s="119"/>
      <c r="I22" s="70">
        <v>0</v>
      </c>
      <c r="J22" s="26"/>
      <c r="K22" s="8"/>
      <c r="L22" s="8"/>
      <c r="M22" s="8"/>
    </row>
    <row r="23" spans="1:13" ht="15.75" hidden="1" customHeight="1">
      <c r="A23" s="33"/>
      <c r="B23" s="37" t="s">
        <v>125</v>
      </c>
      <c r="C23" s="51" t="s">
        <v>54</v>
      </c>
      <c r="D23" s="37" t="s">
        <v>123</v>
      </c>
      <c r="E23" s="99"/>
      <c r="F23" s="110"/>
      <c r="G23" s="36">
        <v>44.29</v>
      </c>
      <c r="H23" s="119"/>
      <c r="I23" s="70">
        <v>0</v>
      </c>
      <c r="J23" s="26"/>
      <c r="K23" s="8"/>
      <c r="L23" s="8"/>
      <c r="M23" s="8"/>
    </row>
    <row r="24" spans="1:13" ht="15.75" hidden="1" customHeight="1">
      <c r="A24" s="33">
        <v>6</v>
      </c>
      <c r="B24" s="37" t="s">
        <v>113</v>
      </c>
      <c r="C24" s="51" t="s">
        <v>54</v>
      </c>
      <c r="D24" s="37" t="s">
        <v>31</v>
      </c>
      <c r="E24" s="99"/>
      <c r="F24" s="110"/>
      <c r="G24" s="36">
        <v>389.42</v>
      </c>
      <c r="H24" s="119"/>
      <c r="I24" s="70">
        <v>12.46</v>
      </c>
      <c r="J24" s="26"/>
      <c r="K24" s="8"/>
      <c r="L24" s="8"/>
      <c r="M24" s="8"/>
    </row>
    <row r="25" spans="1:13" ht="15.75" hidden="1" customHeight="1">
      <c r="A25" s="52">
        <v>6</v>
      </c>
      <c r="B25" s="37" t="s">
        <v>145</v>
      </c>
      <c r="C25" s="51" t="s">
        <v>54</v>
      </c>
      <c r="D25" s="37" t="s">
        <v>55</v>
      </c>
      <c r="E25" s="20"/>
      <c r="F25" s="111"/>
      <c r="G25" s="36">
        <v>216.12</v>
      </c>
      <c r="H25" s="119"/>
      <c r="I25" s="70">
        <v>0</v>
      </c>
      <c r="J25" s="26"/>
      <c r="K25" s="8"/>
      <c r="L25" s="8"/>
      <c r="M25" s="8"/>
    </row>
    <row r="26" spans="1:13" ht="15.75" hidden="1" customHeight="1">
      <c r="A26" s="52">
        <v>7</v>
      </c>
      <c r="B26" s="37" t="s">
        <v>114</v>
      </c>
      <c r="C26" s="51" t="s">
        <v>54</v>
      </c>
      <c r="D26" s="37" t="s">
        <v>146</v>
      </c>
      <c r="E26" s="20">
        <v>506.1</v>
      </c>
      <c r="F26" s="111"/>
      <c r="G26" s="36">
        <v>520.79999999999995</v>
      </c>
      <c r="H26" s="119"/>
      <c r="I26" s="70">
        <v>88.54</v>
      </c>
      <c r="J26" s="26"/>
      <c r="K26" s="8"/>
      <c r="L26" s="8"/>
      <c r="M26" s="8"/>
    </row>
    <row r="27" spans="1:13" ht="15.75" hidden="1" customHeight="1">
      <c r="A27" s="52">
        <v>8</v>
      </c>
      <c r="B27" s="37" t="s">
        <v>69</v>
      </c>
      <c r="C27" s="51" t="s">
        <v>34</v>
      </c>
      <c r="D27" s="37" t="s">
        <v>92</v>
      </c>
      <c r="E27" s="20"/>
      <c r="F27" s="111"/>
      <c r="G27" s="36">
        <v>147.03</v>
      </c>
      <c r="H27" s="119"/>
      <c r="I27" s="70">
        <v>447.22</v>
      </c>
      <c r="J27" s="26"/>
      <c r="K27" s="8"/>
      <c r="L27" s="8"/>
      <c r="M27" s="8"/>
    </row>
    <row r="28" spans="1:13" ht="15.75" hidden="1" customHeight="1">
      <c r="A28" s="52">
        <v>9</v>
      </c>
      <c r="B28" s="85" t="s">
        <v>23</v>
      </c>
      <c r="C28" s="51" t="s">
        <v>24</v>
      </c>
      <c r="D28" s="85" t="s">
        <v>25</v>
      </c>
      <c r="E28" s="20"/>
      <c r="F28" s="111"/>
      <c r="G28" s="36">
        <v>4.53</v>
      </c>
      <c r="H28" s="119"/>
      <c r="I28" s="70">
        <v>26848.400000000001</v>
      </c>
      <c r="J28" s="26"/>
      <c r="K28" s="8"/>
      <c r="L28" s="8"/>
      <c r="M28" s="8"/>
    </row>
    <row r="29" spans="1:13" ht="15.75" hidden="1" customHeight="1">
      <c r="A29" s="196" t="s">
        <v>93</v>
      </c>
      <c r="B29" s="196"/>
      <c r="C29" s="196"/>
      <c r="D29" s="196"/>
      <c r="E29" s="196"/>
      <c r="F29" s="196"/>
      <c r="G29" s="196"/>
      <c r="H29" s="196"/>
      <c r="I29" s="196"/>
      <c r="J29" s="26"/>
      <c r="K29" s="8"/>
      <c r="L29" s="8"/>
      <c r="M29" s="8"/>
    </row>
    <row r="30" spans="1:13" ht="15.75" hidden="1" customHeight="1">
      <c r="A30" s="52"/>
      <c r="B30" s="62" t="s">
        <v>29</v>
      </c>
      <c r="C30" s="62"/>
      <c r="D30" s="62"/>
      <c r="E30" s="62"/>
      <c r="F30" s="62"/>
      <c r="G30" s="62"/>
      <c r="H30" s="62"/>
      <c r="I30" s="21"/>
      <c r="J30" s="26"/>
      <c r="K30" s="8"/>
      <c r="L30" s="8"/>
      <c r="M30" s="8"/>
    </row>
    <row r="31" spans="1:13" ht="15.75" hidden="1" customHeight="1">
      <c r="A31" s="52">
        <v>2</v>
      </c>
      <c r="B31" s="37" t="s">
        <v>126</v>
      </c>
      <c r="C31" s="51" t="s">
        <v>127</v>
      </c>
      <c r="D31" s="37" t="s">
        <v>148</v>
      </c>
      <c r="E31" s="15">
        <v>2.31</v>
      </c>
      <c r="F31" s="112"/>
      <c r="G31" s="36">
        <v>155.88999999999999</v>
      </c>
      <c r="H31" s="119"/>
      <c r="I31" s="14">
        <v>0</v>
      </c>
      <c r="J31" s="26"/>
      <c r="K31" s="8"/>
      <c r="L31" s="8"/>
      <c r="M31" s="8"/>
    </row>
    <row r="32" spans="1:13" ht="31.5" hidden="1" customHeight="1">
      <c r="A32" s="52">
        <v>3</v>
      </c>
      <c r="B32" s="37" t="s">
        <v>149</v>
      </c>
      <c r="C32" s="51" t="s">
        <v>127</v>
      </c>
      <c r="D32" s="37" t="s">
        <v>128</v>
      </c>
      <c r="E32" s="14">
        <f>0.0024*3*4.5</f>
        <v>3.2399999999999998E-2</v>
      </c>
      <c r="F32" s="113"/>
      <c r="G32" s="36">
        <v>258.63</v>
      </c>
      <c r="H32" s="119"/>
      <c r="I32" s="21">
        <v>0</v>
      </c>
      <c r="J32" s="26"/>
      <c r="K32" s="8"/>
      <c r="L32" s="8"/>
      <c r="M32" s="8"/>
    </row>
    <row r="33" spans="1:14" ht="15.75" hidden="1" customHeight="1">
      <c r="A33" s="52">
        <v>4</v>
      </c>
      <c r="B33" s="37" t="s">
        <v>28</v>
      </c>
      <c r="C33" s="51" t="s">
        <v>127</v>
      </c>
      <c r="D33" s="37" t="s">
        <v>55</v>
      </c>
      <c r="E33" s="19">
        <v>0</v>
      </c>
      <c r="F33" s="114"/>
      <c r="G33" s="36">
        <v>3020.33</v>
      </c>
      <c r="H33" s="119"/>
      <c r="I33" s="21">
        <v>0</v>
      </c>
      <c r="J33" s="26"/>
      <c r="K33" s="8"/>
      <c r="L33" s="8"/>
      <c r="M33" s="8"/>
    </row>
    <row r="34" spans="1:14" ht="15.75" hidden="1" customHeight="1">
      <c r="A34" s="52"/>
      <c r="B34" s="37" t="s">
        <v>147</v>
      </c>
      <c r="C34" s="51" t="s">
        <v>40</v>
      </c>
      <c r="D34" s="37" t="s">
        <v>68</v>
      </c>
      <c r="E34" s="19"/>
      <c r="F34" s="114"/>
      <c r="G34" s="36">
        <v>1302.02</v>
      </c>
      <c r="H34" s="119"/>
      <c r="I34" s="21">
        <v>0</v>
      </c>
      <c r="J34" s="26"/>
      <c r="K34" s="8"/>
      <c r="L34" s="8"/>
      <c r="M34" s="8"/>
    </row>
    <row r="35" spans="1:14" ht="15.75" hidden="1" customHeight="1">
      <c r="A35" s="52">
        <v>5</v>
      </c>
      <c r="B35" s="37" t="s">
        <v>129</v>
      </c>
      <c r="C35" s="51" t="s">
        <v>32</v>
      </c>
      <c r="D35" s="37" t="s">
        <v>68</v>
      </c>
      <c r="E35" s="19">
        <v>0</v>
      </c>
      <c r="F35" s="114"/>
      <c r="G35" s="36">
        <v>56.69</v>
      </c>
      <c r="H35" s="119"/>
      <c r="I35" s="21">
        <v>0</v>
      </c>
      <c r="J35" s="26"/>
      <c r="K35" s="8"/>
      <c r="L35" s="8"/>
      <c r="M35" s="8"/>
    </row>
    <row r="36" spans="1:14" ht="15.75" hidden="1" customHeight="1">
      <c r="A36" s="52">
        <v>4</v>
      </c>
      <c r="B36" s="37" t="s">
        <v>70</v>
      </c>
      <c r="C36" s="51" t="s">
        <v>34</v>
      </c>
      <c r="D36" s="37" t="s">
        <v>72</v>
      </c>
      <c r="E36" s="14">
        <v>3.75</v>
      </c>
      <c r="F36" s="113"/>
      <c r="G36" s="36">
        <v>191.32</v>
      </c>
      <c r="H36" s="119"/>
      <c r="I36" s="14">
        <v>0</v>
      </c>
      <c r="J36" s="26"/>
      <c r="K36" s="8"/>
    </row>
    <row r="37" spans="1:14" ht="15.75" hidden="1" customHeight="1">
      <c r="A37" s="33">
        <v>8</v>
      </c>
      <c r="B37" s="37" t="s">
        <v>71</v>
      </c>
      <c r="C37" s="51" t="s">
        <v>33</v>
      </c>
      <c r="D37" s="37" t="s">
        <v>72</v>
      </c>
      <c r="E37" s="14"/>
      <c r="F37" s="113"/>
      <c r="G37" s="36">
        <v>1136.32</v>
      </c>
      <c r="H37" s="119"/>
      <c r="I37" s="14">
        <v>0</v>
      </c>
      <c r="J37" s="27"/>
    </row>
    <row r="38" spans="1:14" ht="15.75" hidden="1" customHeight="1">
      <c r="A38" s="52"/>
      <c r="B38" s="60" t="s">
        <v>5</v>
      </c>
      <c r="C38" s="60"/>
      <c r="D38" s="60"/>
      <c r="E38" s="14"/>
      <c r="F38" s="14"/>
      <c r="G38" s="15"/>
      <c r="H38" s="15"/>
      <c r="I38" s="21"/>
      <c r="J38" s="27"/>
    </row>
    <row r="39" spans="1:14" ht="15.75" hidden="1" customHeight="1">
      <c r="A39" s="38">
        <v>10</v>
      </c>
      <c r="B39" s="39" t="s">
        <v>27</v>
      </c>
      <c r="C39" s="51" t="s">
        <v>33</v>
      </c>
      <c r="D39" s="37"/>
      <c r="E39" s="14">
        <v>0</v>
      </c>
      <c r="F39" s="113"/>
      <c r="G39" s="36">
        <v>1527.22</v>
      </c>
      <c r="H39" s="119"/>
      <c r="I39" s="14">
        <v>3818.05</v>
      </c>
      <c r="J39" s="27"/>
    </row>
    <row r="40" spans="1:14" ht="15.75" hidden="1" customHeight="1">
      <c r="A40" s="38">
        <v>11</v>
      </c>
      <c r="B40" s="39" t="s">
        <v>73</v>
      </c>
      <c r="C40" s="71" t="s">
        <v>30</v>
      </c>
      <c r="D40" s="39" t="s">
        <v>130</v>
      </c>
      <c r="E40" s="14"/>
      <c r="F40" s="113"/>
      <c r="G40" s="40">
        <v>2102.71</v>
      </c>
      <c r="H40" s="120"/>
      <c r="I40" s="14">
        <v>9599.75</v>
      </c>
      <c r="J40" s="27"/>
    </row>
    <row r="41" spans="1:14" ht="15.75" hidden="1" customHeight="1">
      <c r="A41" s="38">
        <v>12</v>
      </c>
      <c r="B41" s="37" t="s">
        <v>74</v>
      </c>
      <c r="C41" s="51" t="s">
        <v>30</v>
      </c>
      <c r="D41" s="37" t="s">
        <v>131</v>
      </c>
      <c r="E41" s="14"/>
      <c r="F41" s="113"/>
      <c r="G41" s="36">
        <v>350.75</v>
      </c>
      <c r="H41" s="119"/>
      <c r="I41" s="14">
        <v>1268.55</v>
      </c>
      <c r="J41" s="27"/>
    </row>
    <row r="42" spans="1:14" ht="15.75" hidden="1" customHeight="1">
      <c r="A42" s="38">
        <v>13</v>
      </c>
      <c r="B42" s="37" t="s">
        <v>88</v>
      </c>
      <c r="C42" s="51" t="s">
        <v>127</v>
      </c>
      <c r="D42" s="37" t="s">
        <v>150</v>
      </c>
      <c r="E42" s="14">
        <v>0</v>
      </c>
      <c r="F42" s="113"/>
      <c r="G42" s="36">
        <v>5803.28</v>
      </c>
      <c r="H42" s="119"/>
      <c r="I42" s="14">
        <v>1624.92</v>
      </c>
      <c r="J42" s="27"/>
    </row>
    <row r="43" spans="1:14" ht="15.75" hidden="1" customHeight="1">
      <c r="A43" s="38">
        <v>14</v>
      </c>
      <c r="B43" s="37" t="s">
        <v>132</v>
      </c>
      <c r="C43" s="51" t="s">
        <v>127</v>
      </c>
      <c r="D43" s="37" t="s">
        <v>75</v>
      </c>
      <c r="E43" s="14">
        <v>0</v>
      </c>
      <c r="F43" s="113"/>
      <c r="G43" s="36">
        <v>428.7</v>
      </c>
      <c r="H43" s="119"/>
      <c r="I43" s="14">
        <v>450.14</v>
      </c>
      <c r="J43" s="27"/>
    </row>
    <row r="44" spans="1:14" ht="15.75" hidden="1" customHeight="1">
      <c r="A44" s="38">
        <v>15</v>
      </c>
      <c r="B44" s="39" t="s">
        <v>76</v>
      </c>
      <c r="C44" s="71" t="s">
        <v>34</v>
      </c>
      <c r="D44" s="39"/>
      <c r="E44" s="14"/>
      <c r="F44" s="113"/>
      <c r="G44" s="40">
        <v>798</v>
      </c>
      <c r="H44" s="120"/>
      <c r="I44" s="14">
        <v>119.7</v>
      </c>
      <c r="J44" s="27"/>
      <c r="L44" s="23"/>
      <c r="M44" s="24"/>
      <c r="N44" s="25"/>
    </row>
    <row r="45" spans="1:14" ht="15.75" hidden="1" customHeight="1">
      <c r="A45" s="197" t="s">
        <v>66</v>
      </c>
      <c r="B45" s="198"/>
      <c r="C45" s="198"/>
      <c r="D45" s="198"/>
      <c r="E45" s="198"/>
      <c r="F45" s="198"/>
      <c r="G45" s="198"/>
      <c r="H45" s="198"/>
      <c r="I45" s="199"/>
      <c r="J45" s="27"/>
      <c r="L45" s="23"/>
      <c r="M45" s="24"/>
      <c r="N45" s="25"/>
    </row>
    <row r="46" spans="1:14" ht="15.75" hidden="1" customHeight="1">
      <c r="A46" s="52">
        <v>15</v>
      </c>
      <c r="B46" s="37" t="s">
        <v>133</v>
      </c>
      <c r="C46" s="51" t="s">
        <v>127</v>
      </c>
      <c r="D46" s="37" t="s">
        <v>42</v>
      </c>
      <c r="E46" s="21">
        <v>0.42</v>
      </c>
      <c r="F46" s="21"/>
      <c r="G46" s="43">
        <v>849.49</v>
      </c>
      <c r="H46" s="43"/>
      <c r="I46" s="22">
        <v>0</v>
      </c>
      <c r="J46" s="27"/>
      <c r="L46" s="23"/>
      <c r="M46" s="24"/>
      <c r="N46" s="25"/>
    </row>
    <row r="47" spans="1:14" ht="15.75" hidden="1" customHeight="1">
      <c r="A47" s="52"/>
      <c r="B47" s="37" t="s">
        <v>35</v>
      </c>
      <c r="C47" s="51" t="s">
        <v>127</v>
      </c>
      <c r="D47" s="37" t="s">
        <v>42</v>
      </c>
      <c r="E47" s="21"/>
      <c r="F47" s="21"/>
      <c r="G47" s="43">
        <v>579.48</v>
      </c>
      <c r="H47" s="43"/>
      <c r="I47" s="22">
        <v>0</v>
      </c>
      <c r="J47" s="27"/>
      <c r="L47" s="23"/>
      <c r="M47" s="24"/>
      <c r="N47" s="25"/>
    </row>
    <row r="48" spans="1:14" ht="15.75" hidden="1" customHeight="1">
      <c r="A48" s="52">
        <v>16</v>
      </c>
      <c r="B48" s="37" t="s">
        <v>36</v>
      </c>
      <c r="C48" s="51" t="s">
        <v>127</v>
      </c>
      <c r="D48" s="37" t="s">
        <v>42</v>
      </c>
      <c r="E48" s="21">
        <v>1.35</v>
      </c>
      <c r="F48" s="21"/>
      <c r="G48" s="43">
        <v>579.48</v>
      </c>
      <c r="H48" s="43"/>
      <c r="I48" s="22">
        <v>0</v>
      </c>
      <c r="J48" s="27"/>
      <c r="L48" s="23"/>
      <c r="M48" s="24"/>
      <c r="N48" s="25"/>
    </row>
    <row r="49" spans="1:14" ht="15.75" hidden="1" customHeight="1">
      <c r="A49" s="52">
        <v>17</v>
      </c>
      <c r="B49" s="37" t="s">
        <v>37</v>
      </c>
      <c r="C49" s="51" t="s">
        <v>127</v>
      </c>
      <c r="D49" s="37" t="s">
        <v>42</v>
      </c>
      <c r="E49" s="21">
        <v>0.03</v>
      </c>
      <c r="F49" s="21"/>
      <c r="G49" s="43">
        <v>606.77</v>
      </c>
      <c r="H49" s="43"/>
      <c r="I49" s="22">
        <v>0</v>
      </c>
      <c r="J49" s="27"/>
      <c r="L49" s="23"/>
      <c r="M49" s="24"/>
      <c r="N49" s="25"/>
    </row>
    <row r="50" spans="1:14" ht="15.75" hidden="1" customHeight="1">
      <c r="A50" s="52">
        <v>16</v>
      </c>
      <c r="B50" s="37" t="s">
        <v>58</v>
      </c>
      <c r="C50" s="51" t="s">
        <v>127</v>
      </c>
      <c r="D50" s="37" t="s">
        <v>152</v>
      </c>
      <c r="E50" s="21">
        <v>0.22</v>
      </c>
      <c r="F50" s="21"/>
      <c r="G50" s="43">
        <v>1213.55</v>
      </c>
      <c r="H50" s="43"/>
      <c r="I50" s="14">
        <v>3981.41</v>
      </c>
      <c r="J50" s="27"/>
      <c r="L50" s="23"/>
      <c r="M50" s="24"/>
      <c r="N50" s="25"/>
    </row>
    <row r="51" spans="1:14" ht="31.5" hidden="1" customHeight="1">
      <c r="A51" s="52">
        <v>13</v>
      </c>
      <c r="B51" s="37" t="s">
        <v>134</v>
      </c>
      <c r="C51" s="51" t="s">
        <v>127</v>
      </c>
      <c r="D51" s="37" t="s">
        <v>42</v>
      </c>
      <c r="E51" s="21">
        <v>0.22</v>
      </c>
      <c r="F51" s="21"/>
      <c r="G51" s="43">
        <v>1213.55</v>
      </c>
      <c r="H51" s="43"/>
      <c r="I51" s="22">
        <v>0</v>
      </c>
      <c r="J51" s="27"/>
      <c r="L51" s="23"/>
      <c r="M51" s="24"/>
      <c r="N51" s="25"/>
    </row>
    <row r="52" spans="1:14" ht="31.5" hidden="1" customHeight="1">
      <c r="A52" s="52">
        <v>14</v>
      </c>
      <c r="B52" s="37" t="s">
        <v>151</v>
      </c>
      <c r="C52" s="51" t="s">
        <v>38</v>
      </c>
      <c r="D52" s="37" t="s">
        <v>42</v>
      </c>
      <c r="E52" s="21">
        <v>0.02</v>
      </c>
      <c r="F52" s="21"/>
      <c r="G52" s="43">
        <v>2730.49</v>
      </c>
      <c r="H52" s="43"/>
      <c r="I52" s="22">
        <v>0</v>
      </c>
      <c r="J52" s="27"/>
      <c r="L52" s="23"/>
      <c r="M52" s="24"/>
      <c r="N52" s="25"/>
    </row>
    <row r="53" spans="1:14" ht="15.75" hidden="1" customHeight="1">
      <c r="A53" s="52">
        <v>15</v>
      </c>
      <c r="B53" s="37" t="s">
        <v>39</v>
      </c>
      <c r="C53" s="51" t="s">
        <v>40</v>
      </c>
      <c r="D53" s="37" t="s">
        <v>42</v>
      </c>
      <c r="E53" s="21">
        <v>0.01</v>
      </c>
      <c r="F53" s="21"/>
      <c r="G53" s="43">
        <v>5652.13</v>
      </c>
      <c r="H53" s="43"/>
      <c r="I53" s="22">
        <v>0</v>
      </c>
      <c r="J53" s="27"/>
      <c r="L53" s="23"/>
      <c r="M53" s="24"/>
      <c r="N53" s="25"/>
    </row>
    <row r="54" spans="1:14" ht="15.75" hidden="1" customHeight="1">
      <c r="A54" s="52">
        <v>23</v>
      </c>
      <c r="B54" s="37" t="s">
        <v>41</v>
      </c>
      <c r="C54" s="51" t="s">
        <v>135</v>
      </c>
      <c r="D54" s="37" t="s">
        <v>77</v>
      </c>
      <c r="E54" s="21">
        <v>8</v>
      </c>
      <c r="F54" s="21"/>
      <c r="G54" s="44">
        <v>65.67</v>
      </c>
      <c r="H54" s="44"/>
      <c r="I54" s="14">
        <v>0</v>
      </c>
      <c r="J54" s="27"/>
      <c r="L54" s="23"/>
      <c r="M54" s="24"/>
      <c r="N54" s="25"/>
    </row>
    <row r="55" spans="1:14" ht="15.75" hidden="1" customHeight="1">
      <c r="A55" s="197" t="s">
        <v>64</v>
      </c>
      <c r="B55" s="198"/>
      <c r="C55" s="198"/>
      <c r="D55" s="198"/>
      <c r="E55" s="198"/>
      <c r="F55" s="198"/>
      <c r="G55" s="198"/>
      <c r="H55" s="198"/>
      <c r="I55" s="199"/>
      <c r="J55" s="27"/>
      <c r="L55" s="23"/>
      <c r="M55" s="24"/>
      <c r="N55" s="25"/>
    </row>
    <row r="56" spans="1:14" ht="15.75" hidden="1" customHeight="1">
      <c r="A56" s="65"/>
      <c r="B56" s="59" t="s">
        <v>43</v>
      </c>
      <c r="C56" s="18"/>
      <c r="D56" s="17"/>
      <c r="E56" s="17"/>
      <c r="F56" s="17"/>
      <c r="G56" s="33"/>
      <c r="H56" s="33"/>
      <c r="I56" s="21"/>
      <c r="J56" s="27"/>
      <c r="L56" s="23"/>
      <c r="M56" s="24"/>
      <c r="N56" s="25"/>
    </row>
    <row r="57" spans="1:14" ht="15.75" hidden="1" customHeight="1">
      <c r="A57" s="52">
        <v>15</v>
      </c>
      <c r="B57" s="37" t="s">
        <v>153</v>
      </c>
      <c r="C57" s="51" t="s">
        <v>117</v>
      </c>
      <c r="D57" s="37" t="s">
        <v>55</v>
      </c>
      <c r="E57" s="21">
        <v>0</v>
      </c>
      <c r="F57" s="115"/>
      <c r="G57" s="40">
        <v>472.59</v>
      </c>
      <c r="H57" s="120"/>
      <c r="I57" s="22">
        <v>0</v>
      </c>
      <c r="J57" s="27"/>
      <c r="L57" s="23"/>
      <c r="M57" s="24"/>
      <c r="N57" s="25"/>
    </row>
    <row r="58" spans="1:14" ht="31.5" hidden="1" customHeight="1">
      <c r="A58" s="52">
        <v>17</v>
      </c>
      <c r="B58" s="37" t="s">
        <v>154</v>
      </c>
      <c r="C58" s="51" t="s">
        <v>117</v>
      </c>
      <c r="D58" s="37" t="s">
        <v>155</v>
      </c>
      <c r="E58" s="21"/>
      <c r="F58" s="116"/>
      <c r="G58" s="72">
        <v>1547.28</v>
      </c>
      <c r="H58" s="121"/>
      <c r="I58" s="22">
        <v>2538.16</v>
      </c>
      <c r="J58" s="27"/>
      <c r="L58" s="23"/>
      <c r="M58" s="24"/>
      <c r="N58" s="25"/>
    </row>
    <row r="59" spans="1:14" ht="15.75" hidden="1" customHeight="1">
      <c r="A59" s="52">
        <v>18</v>
      </c>
      <c r="B59" s="73" t="s">
        <v>104</v>
      </c>
      <c r="C59" s="64" t="s">
        <v>117</v>
      </c>
      <c r="D59" s="73" t="s">
        <v>156</v>
      </c>
      <c r="E59" s="21"/>
      <c r="F59" s="116"/>
      <c r="G59" s="72">
        <v>1547.28</v>
      </c>
      <c r="H59" s="121"/>
      <c r="I59" s="22">
        <v>165.04</v>
      </c>
      <c r="J59" s="27"/>
      <c r="L59" s="23"/>
      <c r="M59" s="24"/>
      <c r="N59" s="25"/>
    </row>
    <row r="60" spans="1:14" ht="15.75" hidden="1" customHeight="1">
      <c r="A60" s="52"/>
      <c r="B60" s="73" t="s">
        <v>109</v>
      </c>
      <c r="C60" s="64" t="s">
        <v>110</v>
      </c>
      <c r="D60" s="73" t="s">
        <v>42</v>
      </c>
      <c r="E60" s="21"/>
      <c r="F60" s="116"/>
      <c r="G60" s="86">
        <v>180.78</v>
      </c>
      <c r="H60" s="121"/>
      <c r="I60" s="22">
        <v>0</v>
      </c>
      <c r="J60" s="27"/>
      <c r="L60" s="23"/>
      <c r="M60" s="24"/>
      <c r="N60" s="25"/>
    </row>
    <row r="61" spans="1:14" ht="15.75" hidden="1" customHeight="1">
      <c r="A61" s="52"/>
      <c r="B61" s="99" t="s">
        <v>44</v>
      </c>
      <c r="C61" s="99"/>
      <c r="D61" s="99"/>
      <c r="E61" s="99"/>
      <c r="F61" s="99"/>
      <c r="G61" s="99"/>
      <c r="H61" s="99"/>
      <c r="I61" s="42"/>
      <c r="J61" s="27"/>
      <c r="L61" s="23"/>
      <c r="M61" s="24"/>
      <c r="N61" s="25"/>
    </row>
    <row r="62" spans="1:14" ht="15.75" hidden="1" customHeight="1">
      <c r="A62" s="52">
        <v>19</v>
      </c>
      <c r="B62" s="73" t="s">
        <v>105</v>
      </c>
      <c r="C62" s="64" t="s">
        <v>26</v>
      </c>
      <c r="D62" s="73" t="s">
        <v>157</v>
      </c>
      <c r="E62" s="74"/>
      <c r="F62" s="115"/>
      <c r="G62" s="87">
        <v>2.5960000000000001</v>
      </c>
      <c r="H62" s="122"/>
      <c r="I62" s="22">
        <v>855.12</v>
      </c>
      <c r="J62" s="27"/>
      <c r="L62" s="23"/>
      <c r="M62" s="24"/>
      <c r="N62" s="25"/>
    </row>
    <row r="63" spans="1:14" ht="15.75" hidden="1" customHeight="1">
      <c r="A63" s="52"/>
      <c r="B63" s="73" t="s">
        <v>45</v>
      </c>
      <c r="C63" s="64" t="s">
        <v>26</v>
      </c>
      <c r="D63" s="73" t="s">
        <v>55</v>
      </c>
      <c r="E63" s="74"/>
      <c r="F63" s="115"/>
      <c r="G63" s="88">
        <v>739.61</v>
      </c>
      <c r="H63" s="119"/>
      <c r="I63" s="22">
        <v>0</v>
      </c>
      <c r="J63" s="27"/>
      <c r="L63" s="23"/>
      <c r="M63" s="24"/>
      <c r="N63" s="25"/>
    </row>
    <row r="64" spans="1:14" ht="15.75" hidden="1" customHeight="1">
      <c r="A64" s="52"/>
      <c r="B64" s="99" t="s">
        <v>46</v>
      </c>
      <c r="C64" s="18"/>
      <c r="D64" s="46"/>
      <c r="E64" s="17"/>
      <c r="F64" s="17"/>
      <c r="G64" s="33"/>
      <c r="H64" s="33"/>
      <c r="I64" s="21"/>
      <c r="J64" s="27"/>
      <c r="L64" s="23"/>
      <c r="M64" s="24"/>
      <c r="N64" s="25"/>
    </row>
    <row r="65" spans="1:22" ht="15.75" hidden="1" customHeight="1">
      <c r="A65" s="52">
        <v>17</v>
      </c>
      <c r="B65" s="75" t="s">
        <v>47</v>
      </c>
      <c r="C65" s="47" t="s">
        <v>135</v>
      </c>
      <c r="D65" s="46" t="s">
        <v>72</v>
      </c>
      <c r="E65" s="21">
        <v>0</v>
      </c>
      <c r="F65" s="21"/>
      <c r="G65" s="43">
        <v>222.4</v>
      </c>
      <c r="H65" s="43"/>
      <c r="I65" s="22">
        <v>667.2</v>
      </c>
      <c r="J65" s="27"/>
      <c r="L65" s="23"/>
      <c r="M65" s="24"/>
      <c r="N65" s="25"/>
    </row>
    <row r="66" spans="1:22" ht="15.75" hidden="1" customHeight="1">
      <c r="A66" s="33">
        <v>29</v>
      </c>
      <c r="B66" s="75" t="s">
        <v>48</v>
      </c>
      <c r="C66" s="47" t="s">
        <v>135</v>
      </c>
      <c r="D66" s="46" t="s">
        <v>72</v>
      </c>
      <c r="E66" s="21">
        <v>0</v>
      </c>
      <c r="F66" s="21"/>
      <c r="G66" s="43">
        <v>76.25</v>
      </c>
      <c r="H66" s="43"/>
      <c r="I66" s="22">
        <v>0</v>
      </c>
      <c r="J66" s="27"/>
      <c r="L66" s="23"/>
      <c r="M66" s="24"/>
      <c r="N66" s="25"/>
    </row>
    <row r="67" spans="1:22" ht="15.75" hidden="1" customHeight="1">
      <c r="A67" s="33">
        <v>8</v>
      </c>
      <c r="B67" s="75" t="s">
        <v>49</v>
      </c>
      <c r="C67" s="49" t="s">
        <v>136</v>
      </c>
      <c r="D67" s="46" t="s">
        <v>55</v>
      </c>
      <c r="E67" s="21">
        <v>13.47</v>
      </c>
      <c r="F67" s="21"/>
      <c r="G67" s="43">
        <v>212.15</v>
      </c>
      <c r="H67" s="43"/>
      <c r="I67" s="21">
        <v>0</v>
      </c>
      <c r="J67" s="27"/>
      <c r="L67" s="23"/>
      <c r="M67" s="24"/>
      <c r="N67" s="25"/>
    </row>
    <row r="68" spans="1:22" ht="15.75" hidden="1" customHeight="1">
      <c r="A68" s="33">
        <v>9</v>
      </c>
      <c r="B68" s="75" t="s">
        <v>50</v>
      </c>
      <c r="C68" s="47" t="s">
        <v>137</v>
      </c>
      <c r="D68" s="46"/>
      <c r="E68" s="21">
        <v>1.35</v>
      </c>
      <c r="F68" s="21"/>
      <c r="G68" s="43">
        <v>165.21</v>
      </c>
      <c r="H68" s="43"/>
      <c r="I68" s="21">
        <v>0</v>
      </c>
      <c r="J68" s="27"/>
      <c r="L68" s="23"/>
      <c r="M68" s="24"/>
      <c r="N68" s="25"/>
    </row>
    <row r="69" spans="1:22" ht="15.75" hidden="1" customHeight="1">
      <c r="A69" s="33">
        <v>10</v>
      </c>
      <c r="B69" s="75" t="s">
        <v>51</v>
      </c>
      <c r="C69" s="47" t="s">
        <v>81</v>
      </c>
      <c r="D69" s="46" t="s">
        <v>55</v>
      </c>
      <c r="E69" s="21">
        <v>0</v>
      </c>
      <c r="F69" s="21"/>
      <c r="G69" s="43">
        <v>2074.63</v>
      </c>
      <c r="H69" s="43"/>
      <c r="I69" s="21">
        <v>0</v>
      </c>
      <c r="J69" s="27"/>
      <c r="L69" s="23"/>
    </row>
    <row r="70" spans="1:22" ht="15.75" hidden="1" customHeight="1">
      <c r="A70" s="33">
        <v>11</v>
      </c>
      <c r="B70" s="66" t="s">
        <v>138</v>
      </c>
      <c r="C70" s="47" t="s">
        <v>34</v>
      </c>
      <c r="D70" s="46"/>
      <c r="E70" s="13">
        <v>0</v>
      </c>
      <c r="F70" s="13"/>
      <c r="G70" s="43">
        <v>45.32</v>
      </c>
      <c r="H70" s="43"/>
      <c r="I70" s="21">
        <v>0</v>
      </c>
    </row>
    <row r="71" spans="1:22" ht="15.75" hidden="1" customHeight="1">
      <c r="A71" s="33">
        <v>12</v>
      </c>
      <c r="B71" s="66" t="s">
        <v>139</v>
      </c>
      <c r="C71" s="47" t="s">
        <v>34</v>
      </c>
      <c r="D71" s="46"/>
      <c r="E71" s="13"/>
      <c r="F71" s="13"/>
      <c r="G71" s="43">
        <v>42.28</v>
      </c>
      <c r="H71" s="43"/>
      <c r="I71" s="21">
        <v>0</v>
      </c>
    </row>
    <row r="72" spans="1:22" ht="15.75" hidden="1" customHeight="1">
      <c r="A72" s="33">
        <v>13</v>
      </c>
      <c r="B72" s="46" t="s">
        <v>59</v>
      </c>
      <c r="C72" s="47" t="s">
        <v>60</v>
      </c>
      <c r="D72" s="46" t="s">
        <v>55</v>
      </c>
      <c r="E72" s="13"/>
      <c r="F72" s="13"/>
      <c r="G72" s="43">
        <v>49.88</v>
      </c>
      <c r="H72" s="43"/>
      <c r="I72" s="21">
        <v>0</v>
      </c>
    </row>
    <row r="73" spans="1:22" ht="15.75" hidden="1" customHeight="1">
      <c r="A73" s="65"/>
      <c r="B73" s="99" t="s">
        <v>140</v>
      </c>
      <c r="C73" s="99"/>
      <c r="D73" s="99"/>
      <c r="E73" s="99"/>
      <c r="F73" s="99"/>
      <c r="G73" s="99"/>
      <c r="H73" s="99"/>
      <c r="I73" s="21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9"/>
    </row>
    <row r="74" spans="1:22" ht="15.75" hidden="1" customHeight="1">
      <c r="A74" s="33">
        <v>36</v>
      </c>
      <c r="B74" s="76" t="s">
        <v>141</v>
      </c>
      <c r="C74" s="77"/>
      <c r="D74" s="78" t="s">
        <v>55</v>
      </c>
      <c r="E74" s="74">
        <v>0</v>
      </c>
      <c r="F74" s="74"/>
      <c r="G74" s="45">
        <v>25235</v>
      </c>
      <c r="H74" s="45"/>
      <c r="I74" s="21">
        <v>0</v>
      </c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33"/>
      <c r="B75" s="60" t="s">
        <v>78</v>
      </c>
      <c r="C75" s="60"/>
      <c r="D75" s="60"/>
      <c r="E75" s="21"/>
      <c r="F75" s="21"/>
      <c r="G75" s="33"/>
      <c r="H75" s="33"/>
      <c r="I75" s="21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33"/>
      <c r="B76" s="46" t="s">
        <v>97</v>
      </c>
      <c r="C76" s="47" t="s">
        <v>32</v>
      </c>
      <c r="D76" s="46" t="s">
        <v>72</v>
      </c>
      <c r="E76" s="21"/>
      <c r="F76" s="21"/>
      <c r="G76" s="43">
        <v>358.51</v>
      </c>
      <c r="H76" s="43"/>
      <c r="I76" s="21">
        <v>0</v>
      </c>
      <c r="J76" s="5"/>
      <c r="K76" s="5"/>
      <c r="L76" s="5"/>
      <c r="M76" s="5"/>
      <c r="N76" s="5"/>
      <c r="O76" s="5"/>
      <c r="P76" s="5"/>
      <c r="Q76" s="5"/>
      <c r="R76" s="180"/>
      <c r="S76" s="180"/>
      <c r="T76" s="180"/>
      <c r="U76" s="180"/>
    </row>
    <row r="77" spans="1:22" ht="15.75" hidden="1" customHeight="1">
      <c r="A77" s="33"/>
      <c r="B77" s="46" t="s">
        <v>79</v>
      </c>
      <c r="C77" s="47" t="s">
        <v>32</v>
      </c>
      <c r="D77" s="46" t="s">
        <v>72</v>
      </c>
      <c r="E77" s="21"/>
      <c r="F77" s="21"/>
      <c r="G77" s="43">
        <v>852.99</v>
      </c>
      <c r="H77" s="43"/>
      <c r="I77" s="21">
        <v>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2" ht="15.75" hidden="1" customHeight="1">
      <c r="A78" s="33"/>
      <c r="B78" s="61" t="s">
        <v>80</v>
      </c>
      <c r="C78" s="47"/>
      <c r="D78" s="33"/>
      <c r="E78" s="21"/>
      <c r="F78" s="21"/>
      <c r="G78" s="43" t="s">
        <v>158</v>
      </c>
      <c r="H78" s="43"/>
      <c r="I78" s="21"/>
    </row>
    <row r="79" spans="1:22" ht="15.75" hidden="1" customHeight="1">
      <c r="A79" s="33">
        <v>39</v>
      </c>
      <c r="B79" s="48" t="s">
        <v>142</v>
      </c>
      <c r="C79" s="49" t="s">
        <v>81</v>
      </c>
      <c r="D79" s="75"/>
      <c r="E79" s="21"/>
      <c r="F79" s="21"/>
      <c r="G79" s="44">
        <v>2759.44</v>
      </c>
      <c r="H79" s="44"/>
      <c r="I79" s="21">
        <v>0</v>
      </c>
    </row>
    <row r="80" spans="1:22" ht="15.75" hidden="1" customHeight="1">
      <c r="A80" s="33"/>
      <c r="B80" s="99" t="s">
        <v>62</v>
      </c>
      <c r="C80" s="99"/>
      <c r="D80" s="99"/>
      <c r="E80" s="21"/>
      <c r="F80" s="21"/>
      <c r="G80" s="33"/>
      <c r="H80" s="33"/>
      <c r="I80" s="21"/>
    </row>
    <row r="81" spans="1:9" ht="15.75" hidden="1" customHeight="1">
      <c r="A81" s="33">
        <v>20</v>
      </c>
      <c r="B81" s="79" t="s">
        <v>143</v>
      </c>
      <c r="C81" s="47" t="s">
        <v>56</v>
      </c>
      <c r="D81" s="80"/>
      <c r="E81" s="17">
        <v>327.9</v>
      </c>
      <c r="F81" s="17"/>
      <c r="G81" s="81">
        <v>2.1</v>
      </c>
      <c r="H81" s="81"/>
      <c r="I81" s="14">
        <v>12446.28</v>
      </c>
    </row>
    <row r="82" spans="1:9" ht="31.5" hidden="1" customHeight="1">
      <c r="A82" s="33">
        <v>21</v>
      </c>
      <c r="B82" s="46" t="s">
        <v>82</v>
      </c>
      <c r="C82" s="47"/>
      <c r="D82" s="82"/>
      <c r="E82" s="17"/>
      <c r="F82" s="17"/>
      <c r="G82" s="43">
        <v>1.63</v>
      </c>
      <c r="H82" s="43"/>
      <c r="I82" s="14">
        <v>9660.68</v>
      </c>
    </row>
    <row r="83" spans="1:9" ht="15.75" hidden="1" customHeight="1">
      <c r="A83" s="65"/>
      <c r="B83" s="50" t="s">
        <v>85</v>
      </c>
      <c r="C83" s="52"/>
      <c r="D83" s="17"/>
      <c r="E83" s="17"/>
      <c r="F83" s="17"/>
      <c r="G83" s="21"/>
      <c r="H83" s="21"/>
      <c r="I83" s="35">
        <f>SUM(I16+I17+I18+I20+I21+I24+I26+I27+I28+I39+I40+I41+I42+I43+I44+I50+I58+I59+I62+I65+I81+I82)</f>
        <v>96253.15</v>
      </c>
    </row>
    <row r="84" spans="1:9" ht="15.75" customHeight="1">
      <c r="A84" s="197" t="s">
        <v>63</v>
      </c>
      <c r="B84" s="200"/>
      <c r="C84" s="200"/>
      <c r="D84" s="200"/>
      <c r="E84" s="200"/>
      <c r="F84" s="200"/>
      <c r="G84" s="200"/>
      <c r="H84" s="200"/>
      <c r="I84" s="201"/>
    </row>
    <row r="85" spans="1:9" ht="31.5" customHeight="1">
      <c r="A85" s="33">
        <v>1</v>
      </c>
      <c r="B85" s="69" t="s">
        <v>170</v>
      </c>
      <c r="C85" s="84" t="s">
        <v>169</v>
      </c>
      <c r="D85" s="70">
        <v>191</v>
      </c>
      <c r="E85" s="21"/>
      <c r="F85" s="14">
        <v>16</v>
      </c>
      <c r="G85" s="14">
        <f>103656/303</f>
        <v>342.0990099009901</v>
      </c>
      <c r="H85" s="109">
        <f t="shared" ref="H85" si="0">G85*F85/1000</f>
        <v>5.4735841584158411</v>
      </c>
      <c r="I85" s="14">
        <f>G85*D85</f>
        <v>65340.910891089108</v>
      </c>
    </row>
    <row r="86" spans="1:9" ht="15.75" hidden="1" customHeight="1">
      <c r="A86" s="33">
        <v>23</v>
      </c>
      <c r="B86" s="69" t="s">
        <v>90</v>
      </c>
      <c r="C86" s="84" t="s">
        <v>165</v>
      </c>
      <c r="D86" s="83"/>
      <c r="E86" s="83"/>
      <c r="F86" s="83"/>
      <c r="G86" s="14">
        <v>290.67</v>
      </c>
      <c r="H86" s="14"/>
      <c r="I86" s="14">
        <v>290.67</v>
      </c>
    </row>
    <row r="87" spans="1:9" ht="31.5" hidden="1" customHeight="1">
      <c r="A87" s="33">
        <v>24</v>
      </c>
      <c r="B87" s="69" t="s">
        <v>98</v>
      </c>
      <c r="C87" s="84" t="s">
        <v>101</v>
      </c>
      <c r="D87" s="83"/>
      <c r="E87" s="83"/>
      <c r="F87" s="83"/>
      <c r="G87" s="14">
        <v>559.62</v>
      </c>
      <c r="H87" s="14"/>
      <c r="I87" s="14">
        <v>559.62</v>
      </c>
    </row>
    <row r="88" spans="1:9" ht="31.5" hidden="1" customHeight="1">
      <c r="A88" s="33">
        <v>25</v>
      </c>
      <c r="B88" s="69" t="s">
        <v>162</v>
      </c>
      <c r="C88" s="84" t="s">
        <v>101</v>
      </c>
      <c r="D88" s="83"/>
      <c r="E88" s="83"/>
      <c r="F88" s="83"/>
      <c r="G88" s="14">
        <v>762.37</v>
      </c>
      <c r="H88" s="14"/>
      <c r="I88" s="14">
        <v>1524.74</v>
      </c>
    </row>
    <row r="89" spans="1:9" ht="31.5" hidden="1" customHeight="1">
      <c r="A89" s="33">
        <v>26</v>
      </c>
      <c r="B89" s="69" t="s">
        <v>163</v>
      </c>
      <c r="C89" s="84" t="s">
        <v>86</v>
      </c>
      <c r="D89" s="83"/>
      <c r="E89" s="83"/>
      <c r="F89" s="83"/>
      <c r="G89" s="14">
        <v>1187</v>
      </c>
      <c r="H89" s="14"/>
      <c r="I89" s="14">
        <v>5935</v>
      </c>
    </row>
    <row r="90" spans="1:9" ht="31.5" hidden="1" customHeight="1">
      <c r="A90" s="33">
        <v>27</v>
      </c>
      <c r="B90" s="69" t="s">
        <v>164</v>
      </c>
      <c r="C90" s="84" t="s">
        <v>86</v>
      </c>
      <c r="D90" s="83"/>
      <c r="E90" s="83"/>
      <c r="F90" s="83"/>
      <c r="G90" s="14">
        <v>1272</v>
      </c>
      <c r="H90" s="14"/>
      <c r="I90" s="14">
        <v>1272</v>
      </c>
    </row>
    <row r="91" spans="1:9" ht="15.75" hidden="1" customHeight="1">
      <c r="A91" s="33">
        <v>28</v>
      </c>
      <c r="B91" s="91" t="s">
        <v>111</v>
      </c>
      <c r="C91" s="84" t="s">
        <v>135</v>
      </c>
      <c r="D91" s="83"/>
      <c r="E91" s="33"/>
      <c r="F91" s="33"/>
      <c r="G91" s="14">
        <v>50.68</v>
      </c>
      <c r="H91" s="14"/>
      <c r="I91" s="14">
        <v>6132.28</v>
      </c>
    </row>
    <row r="92" spans="1:9" ht="31.5" hidden="1" customHeight="1">
      <c r="A92" s="33">
        <v>29</v>
      </c>
      <c r="B92" s="91" t="s">
        <v>161</v>
      </c>
      <c r="C92" s="84" t="s">
        <v>38</v>
      </c>
      <c r="D92" s="83"/>
      <c r="E92" s="33"/>
      <c r="F92" s="33"/>
      <c r="G92" s="14">
        <v>3397.65</v>
      </c>
      <c r="H92" s="14"/>
      <c r="I92" s="14">
        <v>67.95</v>
      </c>
    </row>
    <row r="93" spans="1:9" ht="15.75" hidden="1" customHeight="1">
      <c r="A93" s="33">
        <v>30</v>
      </c>
      <c r="B93" s="92" t="s">
        <v>159</v>
      </c>
      <c r="C93" s="33" t="s">
        <v>122</v>
      </c>
      <c r="D93" s="83"/>
      <c r="E93" s="33"/>
      <c r="F93" s="33"/>
      <c r="G93" s="14">
        <v>3113.97</v>
      </c>
      <c r="H93" s="14"/>
      <c r="I93" s="14">
        <v>249.12</v>
      </c>
    </row>
    <row r="94" spans="1:9" ht="31.5" hidden="1" customHeight="1">
      <c r="A94" s="33">
        <v>31</v>
      </c>
      <c r="B94" s="91" t="s">
        <v>160</v>
      </c>
      <c r="C94" s="89" t="s">
        <v>106</v>
      </c>
      <c r="D94" s="83"/>
      <c r="E94" s="33"/>
      <c r="F94" s="33"/>
      <c r="G94" s="14">
        <v>8916.31</v>
      </c>
      <c r="H94" s="14"/>
      <c r="I94" s="14">
        <v>262.14</v>
      </c>
    </row>
    <row r="95" spans="1:9" ht="15.75" hidden="1" customHeight="1">
      <c r="A95" s="33">
        <v>32</v>
      </c>
      <c r="B95" s="93" t="s">
        <v>91</v>
      </c>
      <c r="C95" s="84" t="s">
        <v>135</v>
      </c>
      <c r="D95" s="83"/>
      <c r="E95" s="33"/>
      <c r="F95" s="33"/>
      <c r="G95" s="14">
        <v>179.96</v>
      </c>
      <c r="H95" s="14"/>
      <c r="I95" s="14">
        <v>179.96</v>
      </c>
    </row>
    <row r="96" spans="1:9" ht="15.75" hidden="1" customHeight="1">
      <c r="A96" s="33">
        <v>33</v>
      </c>
      <c r="B96" s="94" t="s">
        <v>116</v>
      </c>
      <c r="C96" s="90" t="s">
        <v>135</v>
      </c>
      <c r="D96" s="83"/>
      <c r="E96" s="33"/>
      <c r="F96" s="33"/>
      <c r="G96" s="14">
        <v>81.73</v>
      </c>
      <c r="H96" s="14"/>
      <c r="I96" s="14">
        <v>81.73</v>
      </c>
    </row>
    <row r="97" spans="1:9" ht="15.75" customHeight="1">
      <c r="A97" s="33"/>
      <c r="B97" s="57" t="s">
        <v>52</v>
      </c>
      <c r="C97" s="53"/>
      <c r="D97" s="67"/>
      <c r="E97" s="53">
        <v>1</v>
      </c>
      <c r="F97" s="53"/>
      <c r="G97" s="53"/>
      <c r="H97" s="53"/>
      <c r="I97" s="35">
        <f>SUM(I85)</f>
        <v>65340.910891089108</v>
      </c>
    </row>
    <row r="98" spans="1:9" ht="15.75" customHeight="1">
      <c r="A98" s="33"/>
      <c r="B98" s="63" t="s">
        <v>83</v>
      </c>
      <c r="C98" s="17"/>
      <c r="D98" s="17"/>
      <c r="E98" s="54"/>
      <c r="F98" s="54"/>
      <c r="G98" s="55"/>
      <c r="H98" s="55"/>
      <c r="I98" s="20">
        <v>0</v>
      </c>
    </row>
    <row r="99" spans="1:9" ht="15.75" customHeight="1">
      <c r="A99" s="68"/>
      <c r="B99" s="58" t="s">
        <v>53</v>
      </c>
      <c r="C99" s="41"/>
      <c r="D99" s="41"/>
      <c r="E99" s="41"/>
      <c r="F99" s="41"/>
      <c r="G99" s="41"/>
      <c r="H99" s="41"/>
      <c r="I99" s="56">
        <f>I97</f>
        <v>65340.910891089108</v>
      </c>
    </row>
    <row r="100" spans="1:9" ht="15.75" customHeight="1">
      <c r="A100" s="190" t="s">
        <v>171</v>
      </c>
      <c r="B100" s="190"/>
      <c r="C100" s="190"/>
      <c r="D100" s="190"/>
      <c r="E100" s="190"/>
      <c r="F100" s="190"/>
      <c r="G100" s="190"/>
      <c r="H100" s="190"/>
      <c r="I100" s="190"/>
    </row>
    <row r="101" spans="1:9" ht="15.75" customHeight="1">
      <c r="A101" s="101"/>
      <c r="B101" s="182" t="s">
        <v>172</v>
      </c>
      <c r="C101" s="182"/>
      <c r="D101" s="182"/>
      <c r="E101" s="182"/>
      <c r="F101" s="182"/>
      <c r="G101" s="182"/>
      <c r="H101" s="123"/>
      <c r="I101" s="3"/>
    </row>
    <row r="102" spans="1:9" ht="15.75" customHeight="1">
      <c r="A102" s="97"/>
      <c r="B102" s="178" t="s">
        <v>6</v>
      </c>
      <c r="C102" s="178"/>
      <c r="D102" s="178"/>
      <c r="E102" s="178"/>
      <c r="F102" s="178"/>
      <c r="G102" s="178"/>
      <c r="H102" s="28"/>
      <c r="I102" s="5"/>
    </row>
    <row r="103" spans="1:9" ht="15.75" customHeight="1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 customHeight="1">
      <c r="A104" s="183" t="s">
        <v>7</v>
      </c>
      <c r="B104" s="183"/>
      <c r="C104" s="183"/>
      <c r="D104" s="183"/>
      <c r="E104" s="183"/>
      <c r="F104" s="183"/>
      <c r="G104" s="183"/>
      <c r="H104" s="183"/>
      <c r="I104" s="183"/>
    </row>
    <row r="105" spans="1:9" ht="15.75" customHeight="1">
      <c r="A105" s="183" t="s">
        <v>8</v>
      </c>
      <c r="B105" s="183"/>
      <c r="C105" s="183"/>
      <c r="D105" s="183"/>
      <c r="E105" s="183"/>
      <c r="F105" s="183"/>
      <c r="G105" s="183"/>
      <c r="H105" s="183"/>
      <c r="I105" s="183"/>
    </row>
    <row r="106" spans="1:9" ht="15.75" customHeight="1">
      <c r="A106" s="184" t="s">
        <v>65</v>
      </c>
      <c r="B106" s="184"/>
      <c r="C106" s="184"/>
      <c r="D106" s="184"/>
      <c r="E106" s="184"/>
      <c r="F106" s="184"/>
      <c r="G106" s="184"/>
      <c r="H106" s="184"/>
      <c r="I106" s="184"/>
    </row>
    <row r="107" spans="1:9" ht="15.75" customHeight="1">
      <c r="A107" s="11"/>
    </row>
    <row r="108" spans="1:9" ht="15.75" customHeight="1">
      <c r="A108" s="185" t="s">
        <v>9</v>
      </c>
      <c r="B108" s="185"/>
      <c r="C108" s="185"/>
      <c r="D108" s="185"/>
      <c r="E108" s="185"/>
      <c r="F108" s="185"/>
      <c r="G108" s="185"/>
      <c r="H108" s="185"/>
      <c r="I108" s="185"/>
    </row>
    <row r="109" spans="1:9" ht="15.75" customHeight="1">
      <c r="A109" s="4"/>
    </row>
    <row r="110" spans="1:9" ht="15.75" customHeight="1">
      <c r="B110" s="98" t="s">
        <v>10</v>
      </c>
      <c r="C110" s="202" t="s">
        <v>99</v>
      </c>
      <c r="D110" s="202"/>
      <c r="E110" s="202"/>
      <c r="F110" s="117"/>
      <c r="I110" s="96"/>
    </row>
    <row r="111" spans="1:9" ht="15.75" customHeight="1">
      <c r="A111" s="97"/>
      <c r="C111" s="178" t="s">
        <v>11</v>
      </c>
      <c r="D111" s="178"/>
      <c r="E111" s="178"/>
      <c r="F111" s="28"/>
      <c r="I111" s="95" t="s">
        <v>12</v>
      </c>
    </row>
    <row r="112" spans="1:9" ht="15.75" customHeight="1">
      <c r="A112" s="29"/>
      <c r="C112" s="12"/>
      <c r="D112" s="12"/>
      <c r="G112" s="12"/>
      <c r="H112" s="12"/>
    </row>
    <row r="113" spans="1:9" ht="15.75" customHeight="1">
      <c r="B113" s="98" t="s">
        <v>13</v>
      </c>
      <c r="C113" s="179"/>
      <c r="D113" s="179"/>
      <c r="E113" s="179"/>
      <c r="F113" s="118"/>
      <c r="I113" s="96"/>
    </row>
    <row r="114" spans="1:9" ht="15.75" customHeight="1">
      <c r="A114" s="97"/>
      <c r="C114" s="180" t="s">
        <v>11</v>
      </c>
      <c r="D114" s="180"/>
      <c r="E114" s="180"/>
      <c r="F114" s="97"/>
      <c r="I114" s="95" t="s">
        <v>12</v>
      </c>
    </row>
    <row r="115" spans="1:9" ht="15.75" customHeight="1">
      <c r="A115" s="4" t="s">
        <v>14</v>
      </c>
    </row>
    <row r="116" spans="1:9">
      <c r="A116" s="181" t="s">
        <v>15</v>
      </c>
      <c r="B116" s="181"/>
      <c r="C116" s="181"/>
      <c r="D116" s="181"/>
      <c r="E116" s="181"/>
      <c r="F116" s="181"/>
      <c r="G116" s="181"/>
      <c r="H116" s="181"/>
      <c r="I116" s="181"/>
    </row>
    <row r="117" spans="1:9" ht="45" customHeight="1">
      <c r="A117" s="170" t="s">
        <v>16</v>
      </c>
      <c r="B117" s="170"/>
      <c r="C117" s="170"/>
      <c r="D117" s="170"/>
      <c r="E117" s="170"/>
      <c r="F117" s="170"/>
      <c r="G117" s="170"/>
      <c r="H117" s="170"/>
      <c r="I117" s="170"/>
    </row>
    <row r="118" spans="1:9" ht="30" customHeight="1">
      <c r="A118" s="170" t="s">
        <v>17</v>
      </c>
      <c r="B118" s="170"/>
      <c r="C118" s="170"/>
      <c r="D118" s="170"/>
      <c r="E118" s="170"/>
      <c r="F118" s="170"/>
      <c r="G118" s="170"/>
      <c r="H118" s="170"/>
      <c r="I118" s="170"/>
    </row>
    <row r="119" spans="1:9" ht="30" customHeight="1">
      <c r="A119" s="170" t="s">
        <v>21</v>
      </c>
      <c r="B119" s="170"/>
      <c r="C119" s="170"/>
      <c r="D119" s="170"/>
      <c r="E119" s="170"/>
      <c r="F119" s="170"/>
      <c r="G119" s="170"/>
      <c r="H119" s="170"/>
      <c r="I119" s="170"/>
    </row>
    <row r="120" spans="1:9" ht="15" customHeight="1">
      <c r="A120" s="170" t="s">
        <v>20</v>
      </c>
      <c r="B120" s="170"/>
      <c r="C120" s="170"/>
      <c r="D120" s="170"/>
      <c r="E120" s="170"/>
      <c r="F120" s="170"/>
      <c r="G120" s="170"/>
      <c r="H120" s="170"/>
      <c r="I120" s="170"/>
    </row>
  </sheetData>
  <autoFilter ref="I12:I71"/>
  <mergeCells count="28">
    <mergeCell ref="A108:I108"/>
    <mergeCell ref="R76:U76"/>
    <mergeCell ref="A118:I118"/>
    <mergeCell ref="A119:I119"/>
    <mergeCell ref="A120:I120"/>
    <mergeCell ref="A84:I84"/>
    <mergeCell ref="C110:E110"/>
    <mergeCell ref="C111:E111"/>
    <mergeCell ref="C113:E113"/>
    <mergeCell ref="C114:E114"/>
    <mergeCell ref="A116:I116"/>
    <mergeCell ref="A117:I117"/>
    <mergeCell ref="B101:G101"/>
    <mergeCell ref="B102:G102"/>
    <mergeCell ref="A104:I104"/>
    <mergeCell ref="A105:I105"/>
    <mergeCell ref="A106:I106"/>
    <mergeCell ref="A100:I100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8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94</v>
      </c>
      <c r="I1" s="30"/>
      <c r="J1" s="1"/>
      <c r="K1" s="1"/>
      <c r="L1" s="1"/>
      <c r="M1" s="1"/>
    </row>
    <row r="2" spans="1:13" ht="15.75" customHeight="1">
      <c r="A2" s="32" t="s">
        <v>67</v>
      </c>
      <c r="J2" s="2"/>
      <c r="K2" s="2"/>
      <c r="L2" s="2"/>
      <c r="M2" s="2"/>
    </row>
    <row r="3" spans="1:13" ht="15.75" customHeight="1">
      <c r="A3" s="191" t="s">
        <v>257</v>
      </c>
      <c r="B3" s="191"/>
      <c r="C3" s="191"/>
      <c r="D3" s="191"/>
      <c r="E3" s="191"/>
      <c r="F3" s="191"/>
      <c r="G3" s="191"/>
      <c r="H3" s="191"/>
      <c r="I3" s="191"/>
      <c r="J3" s="3"/>
      <c r="K3" s="3"/>
      <c r="L3" s="3"/>
    </row>
    <row r="4" spans="1:13" ht="31.5" customHeight="1">
      <c r="A4" s="192" t="s">
        <v>144</v>
      </c>
      <c r="B4" s="192"/>
      <c r="C4" s="192"/>
      <c r="D4" s="192"/>
      <c r="E4" s="192"/>
      <c r="F4" s="192"/>
      <c r="G4" s="192"/>
      <c r="H4" s="192"/>
      <c r="I4" s="192"/>
    </row>
    <row r="5" spans="1:13" ht="15.75" customHeight="1">
      <c r="A5" s="191" t="s">
        <v>258</v>
      </c>
      <c r="B5" s="193"/>
      <c r="C5" s="193"/>
      <c r="D5" s="193"/>
      <c r="E5" s="193"/>
      <c r="F5" s="193"/>
      <c r="G5" s="193"/>
      <c r="H5" s="193"/>
      <c r="I5" s="193"/>
      <c r="J5" s="2"/>
      <c r="K5" s="2"/>
      <c r="L5" s="2"/>
      <c r="M5" s="2"/>
    </row>
    <row r="6" spans="1:13" ht="15.75" customHeight="1">
      <c r="A6" s="2"/>
      <c r="B6" s="162"/>
      <c r="C6" s="162"/>
      <c r="D6" s="162"/>
      <c r="E6" s="162"/>
      <c r="F6" s="162"/>
      <c r="G6" s="162"/>
      <c r="H6" s="162"/>
      <c r="I6" s="34">
        <v>43069</v>
      </c>
      <c r="J6" s="2"/>
      <c r="K6" s="2"/>
      <c r="L6" s="2"/>
      <c r="M6" s="2"/>
    </row>
    <row r="7" spans="1:13" ht="15.75" customHeight="1">
      <c r="B7" s="160"/>
      <c r="C7" s="160"/>
      <c r="D7" s="160"/>
      <c r="E7" s="160"/>
      <c r="F7" s="3"/>
      <c r="G7" s="3"/>
      <c r="H7" s="3"/>
      <c r="J7" s="3"/>
      <c r="K7" s="3"/>
      <c r="L7" s="3"/>
      <c r="M7" s="3"/>
    </row>
    <row r="8" spans="1:13" ht="78.75" customHeight="1">
      <c r="A8" s="194" t="s">
        <v>168</v>
      </c>
      <c r="B8" s="194"/>
      <c r="C8" s="194"/>
      <c r="D8" s="194"/>
      <c r="E8" s="194"/>
      <c r="F8" s="194"/>
      <c r="G8" s="194"/>
      <c r="H8" s="194"/>
      <c r="I8" s="194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195" t="s">
        <v>261</v>
      </c>
      <c r="B10" s="195"/>
      <c r="C10" s="195"/>
      <c r="D10" s="195"/>
      <c r="E10" s="195"/>
      <c r="F10" s="195"/>
      <c r="G10" s="195"/>
      <c r="H10" s="195"/>
      <c r="I10" s="19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6" t="s">
        <v>61</v>
      </c>
      <c r="B14" s="196"/>
      <c r="C14" s="196"/>
      <c r="D14" s="196"/>
      <c r="E14" s="196"/>
      <c r="F14" s="196"/>
      <c r="G14" s="196"/>
      <c r="H14" s="196"/>
      <c r="I14" s="196"/>
      <c r="J14" s="8"/>
      <c r="K14" s="8"/>
      <c r="L14" s="8"/>
      <c r="M14" s="8"/>
    </row>
    <row r="15" spans="1:13" ht="15.75" customHeight="1">
      <c r="A15" s="186" t="s">
        <v>4</v>
      </c>
      <c r="B15" s="186"/>
      <c r="C15" s="186"/>
      <c r="D15" s="186"/>
      <c r="E15" s="186"/>
      <c r="F15" s="186"/>
      <c r="G15" s="186"/>
      <c r="H15" s="186"/>
      <c r="I15" s="186"/>
      <c r="J15" s="8"/>
      <c r="K15" s="8"/>
      <c r="L15" s="8"/>
      <c r="M15" s="8"/>
    </row>
    <row r="16" spans="1:13" ht="15.75" customHeight="1">
      <c r="A16" s="33">
        <v>1</v>
      </c>
      <c r="B16" s="124" t="s">
        <v>95</v>
      </c>
      <c r="C16" s="90" t="s">
        <v>117</v>
      </c>
      <c r="D16" s="124" t="s">
        <v>118</v>
      </c>
      <c r="E16" s="125">
        <v>160.5</v>
      </c>
      <c r="F16" s="126">
        <f>SUM(E16*156/100)</f>
        <v>250.38</v>
      </c>
      <c r="G16" s="126">
        <v>175.38</v>
      </c>
      <c r="H16" s="127">
        <f t="shared" ref="H16:H28" si="0">SUM(F16*G16/1000)</f>
        <v>43.9116444</v>
      </c>
      <c r="I16" s="14">
        <f>F16/12*G16</f>
        <v>3659.3036999999995</v>
      </c>
      <c r="J16" s="8"/>
      <c r="K16" s="8"/>
      <c r="L16" s="8"/>
      <c r="M16" s="8"/>
    </row>
    <row r="17" spans="1:13" ht="15.75" customHeight="1">
      <c r="A17" s="33">
        <v>2</v>
      </c>
      <c r="B17" s="124" t="s">
        <v>102</v>
      </c>
      <c r="C17" s="90" t="s">
        <v>117</v>
      </c>
      <c r="D17" s="124" t="s">
        <v>119</v>
      </c>
      <c r="E17" s="125">
        <v>642</v>
      </c>
      <c r="F17" s="126">
        <f>SUM(E17*104/100)</f>
        <v>667.68</v>
      </c>
      <c r="G17" s="126">
        <v>175.38</v>
      </c>
      <c r="H17" s="127">
        <f t="shared" si="0"/>
        <v>117.09771839999998</v>
      </c>
      <c r="I17" s="14">
        <f>F17/12*G17</f>
        <v>9758.1431999999986</v>
      </c>
      <c r="J17" s="26"/>
      <c r="K17" s="8"/>
      <c r="L17" s="8"/>
      <c r="M17" s="8"/>
    </row>
    <row r="18" spans="1:13" ht="15.75" customHeight="1">
      <c r="A18" s="33">
        <v>3</v>
      </c>
      <c r="B18" s="124" t="s">
        <v>103</v>
      </c>
      <c r="C18" s="90" t="s">
        <v>117</v>
      </c>
      <c r="D18" s="124" t="s">
        <v>120</v>
      </c>
      <c r="E18" s="125">
        <f>SUM(E16+E17)</f>
        <v>802.5</v>
      </c>
      <c r="F18" s="126">
        <f>SUM(E18*24/100)</f>
        <v>192.6</v>
      </c>
      <c r="G18" s="126">
        <v>504.5</v>
      </c>
      <c r="H18" s="127">
        <f t="shared" si="0"/>
        <v>97.166699999999992</v>
      </c>
      <c r="I18" s="14">
        <f>F18/12*G18</f>
        <v>8097.2250000000004</v>
      </c>
      <c r="J18" s="26"/>
      <c r="K18" s="8"/>
      <c r="L18" s="8"/>
      <c r="M18" s="8"/>
    </row>
    <row r="19" spans="1:13" ht="15.75" hidden="1" customHeight="1">
      <c r="A19" s="33">
        <v>4</v>
      </c>
      <c r="B19" s="124" t="s">
        <v>121</v>
      </c>
      <c r="C19" s="90" t="s">
        <v>122</v>
      </c>
      <c r="D19" s="124" t="s">
        <v>123</v>
      </c>
      <c r="E19" s="125">
        <v>38.4</v>
      </c>
      <c r="F19" s="126">
        <f>SUM(E19/10)</f>
        <v>3.84</v>
      </c>
      <c r="G19" s="126">
        <v>170.16</v>
      </c>
      <c r="H19" s="127">
        <f t="shared" si="0"/>
        <v>0.65341439999999995</v>
      </c>
      <c r="I19" s="14">
        <f>F19/2*G19</f>
        <v>326.7072</v>
      </c>
      <c r="J19" s="26"/>
      <c r="K19" s="8"/>
      <c r="L19" s="8"/>
      <c r="M19" s="8"/>
    </row>
    <row r="20" spans="1:13" ht="15.75" customHeight="1">
      <c r="A20" s="33">
        <v>4</v>
      </c>
      <c r="B20" s="124" t="s">
        <v>107</v>
      </c>
      <c r="C20" s="90" t="s">
        <v>117</v>
      </c>
      <c r="D20" s="124" t="s">
        <v>31</v>
      </c>
      <c r="E20" s="125">
        <v>58.4</v>
      </c>
      <c r="F20" s="126">
        <f>SUM(E20*12/100)</f>
        <v>7.0079999999999991</v>
      </c>
      <c r="G20" s="126">
        <v>217.88</v>
      </c>
      <c r="H20" s="127">
        <f t="shared" si="0"/>
        <v>1.5269030399999997</v>
      </c>
      <c r="I20" s="14">
        <f>F20/12*G20</f>
        <v>127.24191999999999</v>
      </c>
      <c r="J20" s="26"/>
      <c r="K20" s="8"/>
      <c r="L20" s="8"/>
      <c r="M20" s="8"/>
    </row>
    <row r="21" spans="1:13" ht="15.75" customHeight="1">
      <c r="A21" s="33">
        <v>5</v>
      </c>
      <c r="B21" s="124" t="s">
        <v>108</v>
      </c>
      <c r="C21" s="90" t="s">
        <v>117</v>
      </c>
      <c r="D21" s="124" t="s">
        <v>31</v>
      </c>
      <c r="E21" s="125">
        <v>9.08</v>
      </c>
      <c r="F21" s="126">
        <f>SUM(E21*12/100)</f>
        <v>1.0896000000000001</v>
      </c>
      <c r="G21" s="126">
        <v>216.12</v>
      </c>
      <c r="H21" s="127">
        <f t="shared" si="0"/>
        <v>0.23548435200000004</v>
      </c>
      <c r="I21" s="14">
        <f>F21/12*G21</f>
        <v>19.623696000000002</v>
      </c>
      <c r="J21" s="26"/>
      <c r="K21" s="8"/>
      <c r="L21" s="8"/>
      <c r="M21" s="8"/>
    </row>
    <row r="22" spans="1:13" ht="15.75" hidden="1" customHeight="1">
      <c r="A22" s="33">
        <v>7</v>
      </c>
      <c r="B22" s="124" t="s">
        <v>124</v>
      </c>
      <c r="C22" s="90" t="s">
        <v>54</v>
      </c>
      <c r="D22" s="124" t="s">
        <v>123</v>
      </c>
      <c r="E22" s="125">
        <v>822.72</v>
      </c>
      <c r="F22" s="126">
        <f>SUM(E22/100)</f>
        <v>8.2271999999999998</v>
      </c>
      <c r="G22" s="126">
        <v>269.26</v>
      </c>
      <c r="H22" s="127">
        <f t="shared" si="0"/>
        <v>2.2152558719999997</v>
      </c>
      <c r="I22" s="14">
        <f>F22*G22</f>
        <v>2215.2558719999997</v>
      </c>
      <c r="J22" s="26"/>
      <c r="K22" s="8"/>
      <c r="L22" s="8"/>
      <c r="M22" s="8"/>
    </row>
    <row r="23" spans="1:13" ht="15.75" hidden="1" customHeight="1">
      <c r="A23" s="33">
        <v>8</v>
      </c>
      <c r="B23" s="124" t="s">
        <v>125</v>
      </c>
      <c r="C23" s="90" t="s">
        <v>54</v>
      </c>
      <c r="D23" s="124" t="s">
        <v>123</v>
      </c>
      <c r="E23" s="128">
        <v>96.6</v>
      </c>
      <c r="F23" s="126">
        <f>SUM(E23/100)</f>
        <v>0.96599999999999997</v>
      </c>
      <c r="G23" s="126">
        <v>44.29</v>
      </c>
      <c r="H23" s="127">
        <f t="shared" si="0"/>
        <v>4.2784139999999998E-2</v>
      </c>
      <c r="I23" s="14">
        <f>F23*G23</f>
        <v>42.784140000000001</v>
      </c>
      <c r="J23" s="26"/>
      <c r="K23" s="8"/>
      <c r="L23" s="8"/>
      <c r="M23" s="8"/>
    </row>
    <row r="24" spans="1:13" ht="15.75" customHeight="1">
      <c r="A24" s="33">
        <v>6</v>
      </c>
      <c r="B24" s="124" t="s">
        <v>113</v>
      </c>
      <c r="C24" s="90" t="s">
        <v>54</v>
      </c>
      <c r="D24" s="124" t="s">
        <v>31</v>
      </c>
      <c r="E24" s="129">
        <v>32</v>
      </c>
      <c r="F24" s="126">
        <f>32*12/1000</f>
        <v>0.38400000000000001</v>
      </c>
      <c r="G24" s="126">
        <v>389.42</v>
      </c>
      <c r="H24" s="127">
        <f>G24*F24/100</f>
        <v>1.4953728000000002</v>
      </c>
      <c r="I24" s="14">
        <f>F24/12*G24</f>
        <v>12.461440000000001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124" t="s">
        <v>145</v>
      </c>
      <c r="C25" s="90" t="s">
        <v>54</v>
      </c>
      <c r="D25" s="124" t="s">
        <v>55</v>
      </c>
      <c r="E25" s="130">
        <v>38</v>
      </c>
      <c r="F25" s="126">
        <v>0.38</v>
      </c>
      <c r="G25" s="126">
        <v>216.12</v>
      </c>
      <c r="H25" s="127">
        <f>G25*F25/1000</f>
        <v>8.2125600000000007E-2</v>
      </c>
      <c r="I25" s="14">
        <f>F25*G25</f>
        <v>82.125600000000006</v>
      </c>
      <c r="J25" s="26"/>
      <c r="K25" s="8"/>
      <c r="L25" s="8"/>
      <c r="M25" s="8"/>
    </row>
    <row r="26" spans="1:13" ht="15.75" customHeight="1">
      <c r="A26" s="33">
        <v>7</v>
      </c>
      <c r="B26" s="124" t="s">
        <v>114</v>
      </c>
      <c r="C26" s="90" t="s">
        <v>54</v>
      </c>
      <c r="D26" s="124" t="s">
        <v>146</v>
      </c>
      <c r="E26" s="125">
        <v>17</v>
      </c>
      <c r="F26" s="126">
        <f>SUM(E26*12/100)</f>
        <v>2.04</v>
      </c>
      <c r="G26" s="126">
        <v>520.79999999999995</v>
      </c>
      <c r="H26" s="127">
        <f t="shared" si="0"/>
        <v>1.062432</v>
      </c>
      <c r="I26" s="14">
        <f>F26/12*G26</f>
        <v>88.536000000000001</v>
      </c>
      <c r="J26" s="26"/>
      <c r="K26" s="8"/>
      <c r="L26" s="8"/>
      <c r="M26" s="8"/>
    </row>
    <row r="27" spans="1:13" ht="15.75" customHeight="1">
      <c r="A27" s="33">
        <v>8</v>
      </c>
      <c r="B27" s="124" t="s">
        <v>69</v>
      </c>
      <c r="C27" s="90" t="s">
        <v>34</v>
      </c>
      <c r="D27" s="124" t="s">
        <v>92</v>
      </c>
      <c r="E27" s="125">
        <v>0.1</v>
      </c>
      <c r="F27" s="126">
        <f>SUM(E27*365)</f>
        <v>36.5</v>
      </c>
      <c r="G27" s="126">
        <v>147.03</v>
      </c>
      <c r="H27" s="127">
        <f t="shared" si="0"/>
        <v>5.3665950000000002</v>
      </c>
      <c r="I27" s="14">
        <f>F27/12*G27</f>
        <v>447.21625</v>
      </c>
      <c r="J27" s="26"/>
      <c r="K27" s="8"/>
      <c r="L27" s="8"/>
      <c r="M27" s="8"/>
    </row>
    <row r="28" spans="1:13" ht="15.75" customHeight="1">
      <c r="A28" s="33">
        <v>9</v>
      </c>
      <c r="B28" s="131" t="s">
        <v>23</v>
      </c>
      <c r="C28" s="90" t="s">
        <v>24</v>
      </c>
      <c r="D28" s="124" t="s">
        <v>92</v>
      </c>
      <c r="E28" s="125">
        <v>5926.8</v>
      </c>
      <c r="F28" s="126">
        <f>SUM(E28*12)</f>
        <v>71121.600000000006</v>
      </c>
      <c r="G28" s="126">
        <v>4.53</v>
      </c>
      <c r="H28" s="127">
        <f t="shared" si="0"/>
        <v>322.18084800000008</v>
      </c>
      <c r="I28" s="14">
        <f>F28/12*G28</f>
        <v>26848.404000000002</v>
      </c>
      <c r="J28" s="26"/>
      <c r="K28" s="8"/>
      <c r="L28" s="8"/>
      <c r="M28" s="8"/>
    </row>
    <row r="29" spans="1:13" ht="15.75" customHeight="1">
      <c r="A29" s="186" t="s">
        <v>93</v>
      </c>
      <c r="B29" s="186"/>
      <c r="C29" s="186"/>
      <c r="D29" s="186"/>
      <c r="E29" s="186"/>
      <c r="F29" s="186"/>
      <c r="G29" s="186"/>
      <c r="H29" s="186"/>
      <c r="I29" s="186"/>
      <c r="J29" s="26"/>
      <c r="K29" s="8"/>
      <c r="L29" s="8"/>
      <c r="M29" s="8"/>
    </row>
    <row r="30" spans="1:13" ht="15.75" hidden="1" customHeight="1">
      <c r="A30" s="52"/>
      <c r="B30" s="62" t="s">
        <v>29</v>
      </c>
      <c r="C30" s="62"/>
      <c r="D30" s="62"/>
      <c r="E30" s="62"/>
      <c r="F30" s="62"/>
      <c r="G30" s="62"/>
      <c r="H30" s="62"/>
      <c r="I30" s="21"/>
      <c r="J30" s="26"/>
      <c r="K30" s="8"/>
      <c r="L30" s="8"/>
      <c r="M30" s="8"/>
    </row>
    <row r="31" spans="1:13" ht="15.75" hidden="1" customHeight="1">
      <c r="A31" s="52">
        <v>10</v>
      </c>
      <c r="B31" s="124" t="s">
        <v>126</v>
      </c>
      <c r="C31" s="90" t="s">
        <v>127</v>
      </c>
      <c r="D31" s="124" t="s">
        <v>148</v>
      </c>
      <c r="E31" s="126">
        <v>2732.4</v>
      </c>
      <c r="F31" s="126">
        <f>SUM(E31*26/1000)</f>
        <v>71.042400000000015</v>
      </c>
      <c r="G31" s="126">
        <v>155.88999999999999</v>
      </c>
      <c r="H31" s="127">
        <f t="shared" ref="H31:H33" si="1">SUM(F31*G31/1000)</f>
        <v>11.074799736000001</v>
      </c>
      <c r="I31" s="14">
        <f>F31/6*G31</f>
        <v>1845.7999560000003</v>
      </c>
      <c r="J31" s="26"/>
      <c r="K31" s="8"/>
      <c r="L31" s="8"/>
      <c r="M31" s="8"/>
    </row>
    <row r="32" spans="1:13" ht="31.5" hidden="1" customHeight="1">
      <c r="A32" s="52">
        <v>11</v>
      </c>
      <c r="B32" s="124" t="s">
        <v>149</v>
      </c>
      <c r="C32" s="90" t="s">
        <v>127</v>
      </c>
      <c r="D32" s="124" t="s">
        <v>128</v>
      </c>
      <c r="E32" s="126">
        <v>547.85</v>
      </c>
      <c r="F32" s="126">
        <f>SUM(E32*78/1000)</f>
        <v>42.732300000000002</v>
      </c>
      <c r="G32" s="126">
        <v>258.63</v>
      </c>
      <c r="H32" s="127">
        <f t="shared" si="1"/>
        <v>11.051854749</v>
      </c>
      <c r="I32" s="14">
        <f t="shared" ref="I32:I35" si="2">F32/6*G32</f>
        <v>1841.9757915000002</v>
      </c>
      <c r="J32" s="26"/>
      <c r="K32" s="8"/>
      <c r="L32" s="8"/>
      <c r="M32" s="8"/>
    </row>
    <row r="33" spans="1:14" ht="15.75" hidden="1" customHeight="1">
      <c r="A33" s="52">
        <v>16</v>
      </c>
      <c r="B33" s="124" t="s">
        <v>28</v>
      </c>
      <c r="C33" s="90" t="s">
        <v>127</v>
      </c>
      <c r="D33" s="124" t="s">
        <v>55</v>
      </c>
      <c r="E33" s="126">
        <v>2732.4</v>
      </c>
      <c r="F33" s="126">
        <f>SUM(E33/1000)</f>
        <v>2.7324000000000002</v>
      </c>
      <c r="G33" s="126">
        <v>3020.33</v>
      </c>
      <c r="H33" s="127">
        <f t="shared" si="1"/>
        <v>8.2527496920000001</v>
      </c>
      <c r="I33" s="14">
        <f>F33*G33</f>
        <v>8252.7496919999994</v>
      </c>
      <c r="J33" s="26"/>
      <c r="K33" s="8"/>
      <c r="L33" s="8"/>
      <c r="M33" s="8"/>
    </row>
    <row r="34" spans="1:14" ht="15.75" hidden="1" customHeight="1">
      <c r="A34" s="52">
        <v>12</v>
      </c>
      <c r="B34" s="124" t="s">
        <v>147</v>
      </c>
      <c r="C34" s="90" t="s">
        <v>40</v>
      </c>
      <c r="D34" s="124" t="s">
        <v>68</v>
      </c>
      <c r="E34" s="126">
        <v>8</v>
      </c>
      <c r="F34" s="126">
        <v>12.4</v>
      </c>
      <c r="G34" s="126">
        <v>1302.02</v>
      </c>
      <c r="H34" s="127">
        <v>16.145</v>
      </c>
      <c r="I34" s="14">
        <f t="shared" si="2"/>
        <v>2690.8413333333338</v>
      </c>
      <c r="J34" s="26"/>
      <c r="K34" s="8"/>
      <c r="L34" s="8"/>
      <c r="M34" s="8"/>
    </row>
    <row r="35" spans="1:14" ht="15.75" hidden="1" customHeight="1">
      <c r="A35" s="52">
        <v>13</v>
      </c>
      <c r="B35" s="124" t="s">
        <v>129</v>
      </c>
      <c r="C35" s="90" t="s">
        <v>32</v>
      </c>
      <c r="D35" s="124" t="s">
        <v>68</v>
      </c>
      <c r="E35" s="132">
        <v>1</v>
      </c>
      <c r="F35" s="126">
        <v>155</v>
      </c>
      <c r="G35" s="126">
        <v>56.69</v>
      </c>
      <c r="H35" s="127">
        <f>SUM(G35*155/1000)</f>
        <v>8.7869499999999992</v>
      </c>
      <c r="I35" s="14">
        <f t="shared" si="2"/>
        <v>1464.4916666666666</v>
      </c>
      <c r="J35" s="26"/>
      <c r="K35" s="8"/>
      <c r="L35" s="8"/>
      <c r="M35" s="8"/>
    </row>
    <row r="36" spans="1:14" ht="15.75" hidden="1" customHeight="1">
      <c r="A36" s="52">
        <v>4</v>
      </c>
      <c r="B36" s="124" t="s">
        <v>70</v>
      </c>
      <c r="C36" s="90" t="s">
        <v>34</v>
      </c>
      <c r="D36" s="124" t="s">
        <v>72</v>
      </c>
      <c r="E36" s="125"/>
      <c r="F36" s="126">
        <v>2</v>
      </c>
      <c r="G36" s="126">
        <v>191.32</v>
      </c>
      <c r="H36" s="127">
        <f t="shared" ref="H36:H37" si="3">SUM(F36*G36/1000)</f>
        <v>0.38263999999999998</v>
      </c>
      <c r="I36" s="14">
        <v>0</v>
      </c>
      <c r="J36" s="26"/>
      <c r="K36" s="8"/>
    </row>
    <row r="37" spans="1:14" ht="15.75" hidden="1" customHeight="1">
      <c r="A37" s="33">
        <v>8</v>
      </c>
      <c r="B37" s="124" t="s">
        <v>71</v>
      </c>
      <c r="C37" s="90" t="s">
        <v>33</v>
      </c>
      <c r="D37" s="124" t="s">
        <v>72</v>
      </c>
      <c r="E37" s="125"/>
      <c r="F37" s="126">
        <v>3</v>
      </c>
      <c r="G37" s="126">
        <v>1136.32</v>
      </c>
      <c r="H37" s="127">
        <f t="shared" si="3"/>
        <v>3.40896</v>
      </c>
      <c r="I37" s="14">
        <v>0</v>
      </c>
      <c r="J37" s="27"/>
    </row>
    <row r="38" spans="1:14" ht="15.75" customHeight="1">
      <c r="A38" s="52"/>
      <c r="B38" s="60" t="s">
        <v>5</v>
      </c>
      <c r="C38" s="60"/>
      <c r="D38" s="60"/>
      <c r="E38" s="60"/>
      <c r="F38" s="14"/>
      <c r="G38" s="15"/>
      <c r="H38" s="15"/>
      <c r="I38" s="21"/>
      <c r="J38" s="27"/>
    </row>
    <row r="39" spans="1:14" ht="15.75" customHeight="1">
      <c r="A39" s="38">
        <v>10</v>
      </c>
      <c r="B39" s="124" t="s">
        <v>27</v>
      </c>
      <c r="C39" s="90" t="s">
        <v>33</v>
      </c>
      <c r="D39" s="124"/>
      <c r="E39" s="125"/>
      <c r="F39" s="126">
        <v>15</v>
      </c>
      <c r="G39" s="126">
        <v>1527.22</v>
      </c>
      <c r="H39" s="127">
        <f>SUM(F39*G39/1000)</f>
        <v>22.908300000000001</v>
      </c>
      <c r="I39" s="14">
        <f t="shared" ref="I39:I44" si="4">F39/6*G39</f>
        <v>3818.05</v>
      </c>
      <c r="J39" s="27"/>
    </row>
    <row r="40" spans="1:14" ht="15.75" customHeight="1">
      <c r="A40" s="38">
        <v>11</v>
      </c>
      <c r="B40" s="124" t="s">
        <v>73</v>
      </c>
      <c r="C40" s="90" t="s">
        <v>30</v>
      </c>
      <c r="D40" s="124" t="s">
        <v>130</v>
      </c>
      <c r="E40" s="126">
        <v>547.85</v>
      </c>
      <c r="F40" s="126">
        <f>SUM(E40*50/1000)</f>
        <v>27.392499999999998</v>
      </c>
      <c r="G40" s="126">
        <v>2102.71</v>
      </c>
      <c r="H40" s="127">
        <f t="shared" ref="H40:H44" si="5">SUM(F40*G40/1000)</f>
        <v>57.598483674999997</v>
      </c>
      <c r="I40" s="14">
        <f t="shared" si="4"/>
        <v>9599.747279166666</v>
      </c>
      <c r="J40" s="27"/>
    </row>
    <row r="41" spans="1:14" ht="15.75" customHeight="1">
      <c r="A41" s="38">
        <v>12</v>
      </c>
      <c r="B41" s="124" t="s">
        <v>74</v>
      </c>
      <c r="C41" s="90" t="s">
        <v>30</v>
      </c>
      <c r="D41" s="124" t="s">
        <v>131</v>
      </c>
      <c r="E41" s="126">
        <v>140</v>
      </c>
      <c r="F41" s="126">
        <f>SUM(E41*155/1000)</f>
        <v>21.7</v>
      </c>
      <c r="G41" s="126">
        <v>350.75</v>
      </c>
      <c r="H41" s="127">
        <f t="shared" si="5"/>
        <v>7.611275</v>
      </c>
      <c r="I41" s="14">
        <f t="shared" si="4"/>
        <v>1268.5458333333333</v>
      </c>
      <c r="J41" s="27"/>
    </row>
    <row r="42" spans="1:14" ht="31.5" customHeight="1">
      <c r="A42" s="38">
        <v>13</v>
      </c>
      <c r="B42" s="124" t="s">
        <v>88</v>
      </c>
      <c r="C42" s="90" t="s">
        <v>127</v>
      </c>
      <c r="D42" s="124" t="s">
        <v>150</v>
      </c>
      <c r="E42" s="126">
        <v>140</v>
      </c>
      <c r="F42" s="126">
        <f>SUM(E42*12/1000)</f>
        <v>1.68</v>
      </c>
      <c r="G42" s="126">
        <v>5803.28</v>
      </c>
      <c r="H42" s="127">
        <f t="shared" si="5"/>
        <v>9.7495103999999984</v>
      </c>
      <c r="I42" s="14">
        <f t="shared" si="4"/>
        <v>1624.9183999999998</v>
      </c>
      <c r="J42" s="27"/>
    </row>
    <row r="43" spans="1:14" ht="15.75" hidden="1" customHeight="1">
      <c r="A43" s="38">
        <v>14</v>
      </c>
      <c r="B43" s="124" t="s">
        <v>132</v>
      </c>
      <c r="C43" s="90" t="s">
        <v>127</v>
      </c>
      <c r="D43" s="124" t="s">
        <v>75</v>
      </c>
      <c r="E43" s="126">
        <v>140</v>
      </c>
      <c r="F43" s="126">
        <f>SUM(E43*45/1000)</f>
        <v>6.3</v>
      </c>
      <c r="G43" s="126">
        <v>428.7</v>
      </c>
      <c r="H43" s="127">
        <f t="shared" si="5"/>
        <v>2.7008100000000002</v>
      </c>
      <c r="I43" s="14">
        <f t="shared" si="4"/>
        <v>450.13499999999999</v>
      </c>
      <c r="J43" s="27"/>
    </row>
    <row r="44" spans="1:14" ht="15.75" customHeight="1">
      <c r="A44" s="38">
        <v>14</v>
      </c>
      <c r="B44" s="124" t="s">
        <v>76</v>
      </c>
      <c r="C44" s="90" t="s">
        <v>34</v>
      </c>
      <c r="D44" s="124"/>
      <c r="E44" s="125"/>
      <c r="F44" s="126">
        <v>0.9</v>
      </c>
      <c r="G44" s="126">
        <v>798</v>
      </c>
      <c r="H44" s="127">
        <f t="shared" si="5"/>
        <v>0.71820000000000006</v>
      </c>
      <c r="I44" s="14">
        <f t="shared" si="4"/>
        <v>119.69999999999999</v>
      </c>
      <c r="J44" s="27"/>
      <c r="L44" s="23"/>
      <c r="M44" s="24"/>
      <c r="N44" s="25"/>
    </row>
    <row r="45" spans="1:14" ht="15.75" hidden="1" customHeight="1">
      <c r="A45" s="187" t="s">
        <v>176</v>
      </c>
      <c r="B45" s="188"/>
      <c r="C45" s="188"/>
      <c r="D45" s="188"/>
      <c r="E45" s="188"/>
      <c r="F45" s="188"/>
      <c r="G45" s="188"/>
      <c r="H45" s="188"/>
      <c r="I45" s="189"/>
      <c r="J45" s="27"/>
      <c r="L45" s="23"/>
      <c r="M45" s="24"/>
      <c r="N45" s="25"/>
    </row>
    <row r="46" spans="1:14" ht="15.75" hidden="1" customHeight="1">
      <c r="A46" s="52">
        <v>14</v>
      </c>
      <c r="B46" s="124" t="s">
        <v>133</v>
      </c>
      <c r="C46" s="90" t="s">
        <v>127</v>
      </c>
      <c r="D46" s="124" t="s">
        <v>42</v>
      </c>
      <c r="E46" s="125">
        <v>1640.4</v>
      </c>
      <c r="F46" s="126">
        <f>SUM(E46*2/1000)</f>
        <v>3.2808000000000002</v>
      </c>
      <c r="G46" s="14">
        <v>849.49</v>
      </c>
      <c r="H46" s="127">
        <f t="shared" ref="H46:H54" si="6">SUM(F46*G46/1000)</f>
        <v>2.7870067920000001</v>
      </c>
      <c r="I46" s="14">
        <f t="shared" ref="I46:I48" si="7">F46/2*G46</f>
        <v>1393.5033960000001</v>
      </c>
      <c r="J46" s="27"/>
      <c r="L46" s="23"/>
      <c r="M46" s="24"/>
      <c r="N46" s="25"/>
    </row>
    <row r="47" spans="1:14" ht="15.75" hidden="1" customHeight="1">
      <c r="A47" s="52">
        <v>15</v>
      </c>
      <c r="B47" s="124" t="s">
        <v>35</v>
      </c>
      <c r="C47" s="90" t="s">
        <v>127</v>
      </c>
      <c r="D47" s="124" t="s">
        <v>42</v>
      </c>
      <c r="E47" s="125">
        <v>918.25</v>
      </c>
      <c r="F47" s="126">
        <f>SUM(E47*2/1000)</f>
        <v>1.8365</v>
      </c>
      <c r="G47" s="14">
        <v>579.48</v>
      </c>
      <c r="H47" s="127">
        <f t="shared" si="6"/>
        <v>1.06421502</v>
      </c>
      <c r="I47" s="14">
        <f t="shared" si="7"/>
        <v>532.10751000000005</v>
      </c>
      <c r="J47" s="27"/>
      <c r="L47" s="23"/>
      <c r="M47" s="24"/>
      <c r="N47" s="25"/>
    </row>
    <row r="48" spans="1:14" ht="15.75" hidden="1" customHeight="1">
      <c r="A48" s="52">
        <v>16</v>
      </c>
      <c r="B48" s="124" t="s">
        <v>36</v>
      </c>
      <c r="C48" s="90" t="s">
        <v>127</v>
      </c>
      <c r="D48" s="124" t="s">
        <v>42</v>
      </c>
      <c r="E48" s="125">
        <v>5592.26</v>
      </c>
      <c r="F48" s="126">
        <f>SUM(E48*2/1000)</f>
        <v>11.184520000000001</v>
      </c>
      <c r="G48" s="14">
        <v>579.48</v>
      </c>
      <c r="H48" s="127">
        <f t="shared" si="6"/>
        <v>6.4812056496000006</v>
      </c>
      <c r="I48" s="14">
        <f t="shared" si="7"/>
        <v>3240.6028248000002</v>
      </c>
      <c r="J48" s="27"/>
      <c r="L48" s="23"/>
      <c r="M48" s="24"/>
      <c r="N48" s="25"/>
    </row>
    <row r="49" spans="1:14" ht="15.75" hidden="1" customHeight="1">
      <c r="A49" s="52">
        <v>17</v>
      </c>
      <c r="B49" s="124" t="s">
        <v>37</v>
      </c>
      <c r="C49" s="90" t="s">
        <v>127</v>
      </c>
      <c r="D49" s="124" t="s">
        <v>42</v>
      </c>
      <c r="E49" s="125">
        <v>2817.65</v>
      </c>
      <c r="F49" s="126">
        <f>SUM(E49*2/1000)</f>
        <v>5.6353</v>
      </c>
      <c r="G49" s="14">
        <v>606.77</v>
      </c>
      <c r="H49" s="127">
        <f t="shared" si="6"/>
        <v>3.4193309809999999</v>
      </c>
      <c r="I49" s="14">
        <f>F49/2*G49</f>
        <v>1709.6654905</v>
      </c>
      <c r="J49" s="27"/>
      <c r="L49" s="23"/>
      <c r="M49" s="24"/>
      <c r="N49" s="25"/>
    </row>
    <row r="50" spans="1:14" ht="15.75" hidden="1" customHeight="1">
      <c r="A50" s="52">
        <v>18</v>
      </c>
      <c r="B50" s="124" t="s">
        <v>58</v>
      </c>
      <c r="C50" s="90" t="s">
        <v>127</v>
      </c>
      <c r="D50" s="124" t="s">
        <v>152</v>
      </c>
      <c r="E50" s="125">
        <v>3280.8</v>
      </c>
      <c r="F50" s="126">
        <f>SUM(E50*5/1000)</f>
        <v>16.404</v>
      </c>
      <c r="G50" s="14">
        <v>1213.55</v>
      </c>
      <c r="H50" s="127">
        <f t="shared" si="6"/>
        <v>19.9070742</v>
      </c>
      <c r="I50" s="14">
        <f>F50/5*G50</f>
        <v>3981.4148399999999</v>
      </c>
      <c r="J50" s="27"/>
      <c r="L50" s="23"/>
      <c r="M50" s="24"/>
      <c r="N50" s="25"/>
    </row>
    <row r="51" spans="1:14" ht="31.5" hidden="1" customHeight="1">
      <c r="A51" s="52">
        <v>14</v>
      </c>
      <c r="B51" s="124" t="s">
        <v>134</v>
      </c>
      <c r="C51" s="90" t="s">
        <v>127</v>
      </c>
      <c r="D51" s="124" t="s">
        <v>42</v>
      </c>
      <c r="E51" s="125">
        <v>3280.8</v>
      </c>
      <c r="F51" s="126">
        <f>SUM(E51*2/1000)</f>
        <v>6.5616000000000003</v>
      </c>
      <c r="G51" s="14">
        <v>1213.55</v>
      </c>
      <c r="H51" s="127">
        <f t="shared" si="6"/>
        <v>7.9628296799999996</v>
      </c>
      <c r="I51" s="14">
        <f>F51/2*G51</f>
        <v>3981.4148399999999</v>
      </c>
      <c r="J51" s="27"/>
      <c r="L51" s="23"/>
      <c r="M51" s="24"/>
      <c r="N51" s="25"/>
    </row>
    <row r="52" spans="1:14" ht="31.5" hidden="1" customHeight="1">
      <c r="A52" s="52">
        <v>15</v>
      </c>
      <c r="B52" s="124" t="s">
        <v>151</v>
      </c>
      <c r="C52" s="90" t="s">
        <v>38</v>
      </c>
      <c r="D52" s="124" t="s">
        <v>42</v>
      </c>
      <c r="E52" s="125">
        <v>40</v>
      </c>
      <c r="F52" s="126">
        <f>SUM(E52*2/100)</f>
        <v>0.8</v>
      </c>
      <c r="G52" s="14">
        <v>2730.49</v>
      </c>
      <c r="H52" s="127">
        <f t="shared" si="6"/>
        <v>2.1843919999999999</v>
      </c>
      <c r="I52" s="14">
        <f>F52/2*G52</f>
        <v>1092.1959999999999</v>
      </c>
      <c r="J52" s="27"/>
      <c r="L52" s="23"/>
      <c r="M52" s="24"/>
      <c r="N52" s="25"/>
    </row>
    <row r="53" spans="1:14" ht="15.75" hidden="1" customHeight="1">
      <c r="A53" s="52">
        <v>16</v>
      </c>
      <c r="B53" s="124" t="s">
        <v>39</v>
      </c>
      <c r="C53" s="90" t="s">
        <v>40</v>
      </c>
      <c r="D53" s="124" t="s">
        <v>42</v>
      </c>
      <c r="E53" s="125">
        <v>1</v>
      </c>
      <c r="F53" s="126">
        <v>0.02</v>
      </c>
      <c r="G53" s="14">
        <v>5652.13</v>
      </c>
      <c r="H53" s="127">
        <f t="shared" si="6"/>
        <v>0.11304260000000001</v>
      </c>
      <c r="I53" s="14">
        <f>F53/2*G53</f>
        <v>56.521300000000004</v>
      </c>
      <c r="J53" s="27"/>
      <c r="L53" s="23"/>
      <c r="M53" s="24"/>
      <c r="N53" s="25"/>
    </row>
    <row r="54" spans="1:14" ht="15.75" hidden="1" customHeight="1">
      <c r="A54" s="52">
        <v>17</v>
      </c>
      <c r="B54" s="124" t="s">
        <v>41</v>
      </c>
      <c r="C54" s="90" t="s">
        <v>135</v>
      </c>
      <c r="D54" s="124" t="s">
        <v>77</v>
      </c>
      <c r="E54" s="125">
        <v>238</v>
      </c>
      <c r="F54" s="126">
        <f>SUM(E54)*3</f>
        <v>714</v>
      </c>
      <c r="G54" s="14">
        <v>65.67</v>
      </c>
      <c r="H54" s="127">
        <f t="shared" si="6"/>
        <v>46.888380000000005</v>
      </c>
      <c r="I54" s="14">
        <f>E54*G54</f>
        <v>15629.460000000001</v>
      </c>
      <c r="J54" s="27"/>
      <c r="L54" s="23"/>
      <c r="M54" s="24"/>
      <c r="N54" s="25"/>
    </row>
    <row r="55" spans="1:14" ht="15.75" customHeight="1">
      <c r="A55" s="187" t="s">
        <v>236</v>
      </c>
      <c r="B55" s="188"/>
      <c r="C55" s="188"/>
      <c r="D55" s="188"/>
      <c r="E55" s="188"/>
      <c r="F55" s="188"/>
      <c r="G55" s="188"/>
      <c r="H55" s="188"/>
      <c r="I55" s="189"/>
      <c r="J55" s="27"/>
      <c r="L55" s="23"/>
      <c r="M55" s="24"/>
      <c r="N55" s="25"/>
    </row>
    <row r="56" spans="1:14" ht="15.75" customHeight="1">
      <c r="A56" s="163"/>
      <c r="B56" s="59" t="s">
        <v>43</v>
      </c>
      <c r="C56" s="18"/>
      <c r="D56" s="17"/>
      <c r="E56" s="17"/>
      <c r="F56" s="17"/>
      <c r="G56" s="33"/>
      <c r="H56" s="33"/>
      <c r="I56" s="21"/>
      <c r="J56" s="27"/>
      <c r="L56" s="23"/>
      <c r="M56" s="24"/>
      <c r="N56" s="25"/>
    </row>
    <row r="57" spans="1:14" ht="15.75" hidden="1" customHeight="1">
      <c r="A57" s="52">
        <v>15</v>
      </c>
      <c r="B57" s="124" t="s">
        <v>153</v>
      </c>
      <c r="C57" s="90" t="s">
        <v>117</v>
      </c>
      <c r="D57" s="124" t="s">
        <v>55</v>
      </c>
      <c r="E57" s="133">
        <v>1640.4</v>
      </c>
      <c r="F57" s="14">
        <f>E57/100</f>
        <v>16.404</v>
      </c>
      <c r="G57" s="126">
        <v>472.59</v>
      </c>
      <c r="H57" s="127">
        <f>SUM(F57*G57/1000)</f>
        <v>7.7523663599999999</v>
      </c>
      <c r="I57" s="14">
        <v>0</v>
      </c>
      <c r="J57" s="27"/>
      <c r="L57" s="23"/>
      <c r="M57" s="24"/>
      <c r="N57" s="25"/>
    </row>
    <row r="58" spans="1:14" ht="31.5" customHeight="1">
      <c r="A58" s="52">
        <v>15</v>
      </c>
      <c r="B58" s="124" t="s">
        <v>154</v>
      </c>
      <c r="C58" s="90" t="s">
        <v>117</v>
      </c>
      <c r="D58" s="124" t="s">
        <v>155</v>
      </c>
      <c r="E58" s="125">
        <v>164.04</v>
      </c>
      <c r="F58" s="14">
        <f>E58*6/100</f>
        <v>9.8423999999999996</v>
      </c>
      <c r="G58" s="134">
        <v>1547.28</v>
      </c>
      <c r="H58" s="127">
        <f>F58*G58/1000</f>
        <v>15.228948671999998</v>
      </c>
      <c r="I58" s="14">
        <f>F58/6*G58</f>
        <v>2538.1581119999996</v>
      </c>
      <c r="J58" s="27"/>
      <c r="L58" s="23"/>
      <c r="M58" s="24"/>
      <c r="N58" s="25"/>
    </row>
    <row r="59" spans="1:14" ht="15.75" customHeight="1">
      <c r="A59" s="52">
        <v>16</v>
      </c>
      <c r="B59" s="135" t="s">
        <v>104</v>
      </c>
      <c r="C59" s="136" t="s">
        <v>117</v>
      </c>
      <c r="D59" s="135" t="s">
        <v>156</v>
      </c>
      <c r="E59" s="137">
        <v>8</v>
      </c>
      <c r="F59" s="138">
        <f>E59*8/100</f>
        <v>0.64</v>
      </c>
      <c r="G59" s="134">
        <v>1547.28</v>
      </c>
      <c r="H59" s="139">
        <f>F59*G59/1000</f>
        <v>0.99025920000000001</v>
      </c>
      <c r="I59" s="14">
        <f>F59/6*G59</f>
        <v>165.04320000000001</v>
      </c>
      <c r="J59" s="27"/>
      <c r="L59" s="23"/>
      <c r="M59" s="24"/>
      <c r="N59" s="25"/>
    </row>
    <row r="60" spans="1:14" ht="15.75" hidden="1" customHeight="1">
      <c r="A60" s="52"/>
      <c r="B60" s="135" t="s">
        <v>109</v>
      </c>
      <c r="C60" s="136" t="s">
        <v>110</v>
      </c>
      <c r="D60" s="135" t="s">
        <v>42</v>
      </c>
      <c r="E60" s="137">
        <v>8</v>
      </c>
      <c r="F60" s="138">
        <v>16</v>
      </c>
      <c r="G60" s="140">
        <v>180.78</v>
      </c>
      <c r="H60" s="139">
        <f>F60*G60/1000</f>
        <v>2.8924799999999999</v>
      </c>
      <c r="I60" s="14">
        <v>0</v>
      </c>
      <c r="J60" s="27"/>
      <c r="L60" s="23"/>
      <c r="M60" s="24"/>
      <c r="N60" s="25"/>
    </row>
    <row r="61" spans="1:14" ht="15.75" customHeight="1">
      <c r="A61" s="52"/>
      <c r="B61" s="161" t="s">
        <v>44</v>
      </c>
      <c r="C61" s="161"/>
      <c r="D61" s="161"/>
      <c r="E61" s="161"/>
      <c r="F61" s="161"/>
      <c r="G61" s="161"/>
      <c r="H61" s="161"/>
      <c r="I61" s="42"/>
      <c r="J61" s="27"/>
      <c r="L61" s="23"/>
      <c r="M61" s="24"/>
      <c r="N61" s="25"/>
    </row>
    <row r="62" spans="1:14" ht="15.75" customHeight="1">
      <c r="A62" s="52">
        <v>17</v>
      </c>
      <c r="B62" s="135" t="s">
        <v>105</v>
      </c>
      <c r="C62" s="136" t="s">
        <v>26</v>
      </c>
      <c r="D62" s="135" t="s">
        <v>157</v>
      </c>
      <c r="E62" s="137">
        <v>329.4</v>
      </c>
      <c r="F62" s="138">
        <f>E62*12</f>
        <v>3952.7999999999997</v>
      </c>
      <c r="G62" s="141">
        <v>2.5960000000000001</v>
      </c>
      <c r="H62" s="139">
        <f>G62*F62</f>
        <v>10261.468799999999</v>
      </c>
      <c r="I62" s="14">
        <f>F62/12*G62</f>
        <v>855.12239999999997</v>
      </c>
      <c r="J62" s="27"/>
      <c r="L62" s="23"/>
      <c r="M62" s="24"/>
      <c r="N62" s="25"/>
    </row>
    <row r="63" spans="1:14" ht="15.75" hidden="1" customHeight="1">
      <c r="A63" s="52"/>
      <c r="B63" s="135" t="s">
        <v>45</v>
      </c>
      <c r="C63" s="136" t="s">
        <v>26</v>
      </c>
      <c r="D63" s="135" t="s">
        <v>55</v>
      </c>
      <c r="E63" s="137">
        <v>1640.4</v>
      </c>
      <c r="F63" s="138">
        <v>16.404</v>
      </c>
      <c r="G63" s="142">
        <v>739.61</v>
      </c>
      <c r="H63" s="139">
        <f>G63*F63/1000</f>
        <v>12.132562439999999</v>
      </c>
      <c r="I63" s="14">
        <v>0</v>
      </c>
      <c r="J63" s="27"/>
      <c r="L63" s="23"/>
      <c r="M63" s="24"/>
      <c r="N63" s="25"/>
    </row>
    <row r="64" spans="1:14" ht="15.75" customHeight="1">
      <c r="A64" s="52"/>
      <c r="B64" s="161" t="s">
        <v>46</v>
      </c>
      <c r="C64" s="18"/>
      <c r="D64" s="46"/>
      <c r="E64" s="46"/>
      <c r="F64" s="17"/>
      <c r="G64" s="33"/>
      <c r="H64" s="33"/>
      <c r="I64" s="21"/>
      <c r="J64" s="27"/>
      <c r="L64" s="23"/>
      <c r="M64" s="24"/>
      <c r="N64" s="25"/>
    </row>
    <row r="65" spans="1:22" ht="15.75" customHeight="1">
      <c r="A65" s="52">
        <v>18</v>
      </c>
      <c r="B65" s="16" t="s">
        <v>47</v>
      </c>
      <c r="C65" s="18" t="s">
        <v>135</v>
      </c>
      <c r="D65" s="16" t="s">
        <v>72</v>
      </c>
      <c r="E65" s="21">
        <v>40</v>
      </c>
      <c r="F65" s="126">
        <v>40</v>
      </c>
      <c r="G65" s="14">
        <v>222.4</v>
      </c>
      <c r="H65" s="109">
        <f t="shared" ref="H65:H72" si="8">SUM(F65*G65/1000)</f>
        <v>8.8960000000000008</v>
      </c>
      <c r="I65" s="14">
        <f>G65</f>
        <v>222.4</v>
      </c>
      <c r="J65" s="27"/>
      <c r="L65" s="23"/>
      <c r="M65" s="24"/>
      <c r="N65" s="25"/>
    </row>
    <row r="66" spans="1:22" ht="15.75" hidden="1" customHeight="1">
      <c r="A66" s="33">
        <v>29</v>
      </c>
      <c r="B66" s="16" t="s">
        <v>48</v>
      </c>
      <c r="C66" s="18" t="s">
        <v>135</v>
      </c>
      <c r="D66" s="16" t="s">
        <v>72</v>
      </c>
      <c r="E66" s="21">
        <v>15</v>
      </c>
      <c r="F66" s="126">
        <v>15</v>
      </c>
      <c r="G66" s="14">
        <v>76.25</v>
      </c>
      <c r="H66" s="109">
        <f t="shared" si="8"/>
        <v>1.14375</v>
      </c>
      <c r="I66" s="14">
        <v>0</v>
      </c>
      <c r="J66" s="27"/>
      <c r="L66" s="23"/>
      <c r="M66" s="24"/>
      <c r="N66" s="25"/>
    </row>
    <row r="67" spans="1:22" ht="15.75" hidden="1" customHeight="1">
      <c r="A67" s="33">
        <v>26</v>
      </c>
      <c r="B67" s="16" t="s">
        <v>49</v>
      </c>
      <c r="C67" s="18" t="s">
        <v>136</v>
      </c>
      <c r="D67" s="16" t="s">
        <v>55</v>
      </c>
      <c r="E67" s="125">
        <v>24648</v>
      </c>
      <c r="F67" s="14">
        <f>SUM(E67/100)</f>
        <v>246.48</v>
      </c>
      <c r="G67" s="14">
        <v>212.15</v>
      </c>
      <c r="H67" s="109">
        <f t="shared" si="8"/>
        <v>52.290731999999998</v>
      </c>
      <c r="I67" s="14">
        <f>F67*G67</f>
        <v>52290.731999999996</v>
      </c>
      <c r="J67" s="27"/>
      <c r="L67" s="23"/>
      <c r="M67" s="24"/>
      <c r="N67" s="25"/>
    </row>
    <row r="68" spans="1:22" ht="15.75" hidden="1" customHeight="1">
      <c r="A68" s="33">
        <v>27</v>
      </c>
      <c r="B68" s="16" t="s">
        <v>50</v>
      </c>
      <c r="C68" s="18" t="s">
        <v>137</v>
      </c>
      <c r="D68" s="16"/>
      <c r="E68" s="125">
        <v>24648</v>
      </c>
      <c r="F68" s="14">
        <f>SUM(E68/1000)</f>
        <v>24.648</v>
      </c>
      <c r="G68" s="14">
        <v>165.21</v>
      </c>
      <c r="H68" s="109">
        <f t="shared" si="8"/>
        <v>4.0720960800000006</v>
      </c>
      <c r="I68" s="14">
        <f t="shared" ref="I68:I71" si="9">F68*G68</f>
        <v>4072.0960800000003</v>
      </c>
      <c r="J68" s="27"/>
      <c r="L68" s="23"/>
      <c r="M68" s="24"/>
      <c r="N68" s="25"/>
    </row>
    <row r="69" spans="1:22" ht="15.75" hidden="1" customHeight="1">
      <c r="A69" s="33">
        <v>28</v>
      </c>
      <c r="B69" s="16" t="s">
        <v>51</v>
      </c>
      <c r="C69" s="18" t="s">
        <v>81</v>
      </c>
      <c r="D69" s="16" t="s">
        <v>55</v>
      </c>
      <c r="E69" s="125">
        <v>2730</v>
      </c>
      <c r="F69" s="14">
        <f>SUM(E69/100)</f>
        <v>27.3</v>
      </c>
      <c r="G69" s="14">
        <v>2074.63</v>
      </c>
      <c r="H69" s="109">
        <f t="shared" si="8"/>
        <v>56.637399000000002</v>
      </c>
      <c r="I69" s="14">
        <f t="shared" si="9"/>
        <v>56637.399000000005</v>
      </c>
      <c r="J69" s="27"/>
      <c r="L69" s="23"/>
    </row>
    <row r="70" spans="1:22" ht="15.75" hidden="1" customHeight="1">
      <c r="A70" s="33">
        <v>29</v>
      </c>
      <c r="B70" s="145" t="s">
        <v>138</v>
      </c>
      <c r="C70" s="18" t="s">
        <v>34</v>
      </c>
      <c r="D70" s="16"/>
      <c r="E70" s="125">
        <v>20.28</v>
      </c>
      <c r="F70" s="14">
        <f>SUM(E70)</f>
        <v>20.28</v>
      </c>
      <c r="G70" s="14">
        <v>45.32</v>
      </c>
      <c r="H70" s="109">
        <f t="shared" si="8"/>
        <v>0.91908960000000006</v>
      </c>
      <c r="I70" s="14">
        <f t="shared" si="9"/>
        <v>919.08960000000002</v>
      </c>
    </row>
    <row r="71" spans="1:22" ht="15.75" hidden="1" customHeight="1">
      <c r="A71" s="33">
        <v>30</v>
      </c>
      <c r="B71" s="145" t="s">
        <v>181</v>
      </c>
      <c r="C71" s="18" t="s">
        <v>34</v>
      </c>
      <c r="D71" s="16"/>
      <c r="E71" s="125">
        <v>20.28</v>
      </c>
      <c r="F71" s="14">
        <f>SUM(E71)</f>
        <v>20.28</v>
      </c>
      <c r="G71" s="14">
        <v>42.28</v>
      </c>
      <c r="H71" s="109">
        <f t="shared" si="8"/>
        <v>0.85743840000000016</v>
      </c>
      <c r="I71" s="14">
        <f t="shared" si="9"/>
        <v>857.43840000000012</v>
      </c>
    </row>
    <row r="72" spans="1:22" ht="15.75" hidden="1" customHeight="1">
      <c r="A72" s="33">
        <v>21</v>
      </c>
      <c r="B72" s="16" t="s">
        <v>59</v>
      </c>
      <c r="C72" s="18" t="s">
        <v>60</v>
      </c>
      <c r="D72" s="16" t="s">
        <v>55</v>
      </c>
      <c r="E72" s="21">
        <v>12</v>
      </c>
      <c r="F72" s="126">
        <f>SUM(E72)</f>
        <v>12</v>
      </c>
      <c r="G72" s="14">
        <v>49.88</v>
      </c>
      <c r="H72" s="109">
        <f t="shared" si="8"/>
        <v>0.59856000000000009</v>
      </c>
      <c r="I72" s="14">
        <f>G72*12</f>
        <v>598.56000000000006</v>
      </c>
    </row>
    <row r="73" spans="1:22" ht="15.75" hidden="1" customHeight="1">
      <c r="A73" s="163"/>
      <c r="B73" s="161" t="s">
        <v>140</v>
      </c>
      <c r="C73" s="161"/>
      <c r="D73" s="161"/>
      <c r="E73" s="161"/>
      <c r="F73" s="161"/>
      <c r="G73" s="161"/>
      <c r="H73" s="161"/>
      <c r="I73" s="21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9"/>
    </row>
    <row r="74" spans="1:22" ht="15.75" hidden="1" customHeight="1">
      <c r="A74" s="33">
        <v>16</v>
      </c>
      <c r="B74" s="124" t="s">
        <v>141</v>
      </c>
      <c r="C74" s="18"/>
      <c r="D74" s="16"/>
      <c r="E74" s="115"/>
      <c r="F74" s="14">
        <v>1</v>
      </c>
      <c r="G74" s="14">
        <v>27356</v>
      </c>
      <c r="H74" s="109">
        <f>G74*F74/1000</f>
        <v>27.356000000000002</v>
      </c>
      <c r="I74" s="14">
        <f>G74</f>
        <v>27356</v>
      </c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33"/>
      <c r="B75" s="60" t="s">
        <v>78</v>
      </c>
      <c r="C75" s="60"/>
      <c r="D75" s="60"/>
      <c r="E75" s="60"/>
      <c r="F75" s="21"/>
      <c r="G75" s="33"/>
      <c r="H75" s="33"/>
      <c r="I75" s="21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33"/>
      <c r="B76" s="16" t="s">
        <v>97</v>
      </c>
      <c r="C76" s="18" t="s">
        <v>32</v>
      </c>
      <c r="D76" s="16"/>
      <c r="E76" s="21">
        <v>2</v>
      </c>
      <c r="F76" s="126">
        <f>SUM(E76)</f>
        <v>2</v>
      </c>
      <c r="G76" s="14">
        <v>358.51</v>
      </c>
      <c r="H76" s="109">
        <f>SUM(F76*G76/1000)</f>
        <v>0.71701999999999999</v>
      </c>
      <c r="I76" s="14">
        <v>0</v>
      </c>
      <c r="J76" s="5"/>
      <c r="K76" s="5"/>
      <c r="L76" s="5"/>
      <c r="M76" s="5"/>
      <c r="N76" s="5"/>
      <c r="O76" s="5"/>
      <c r="P76" s="5"/>
      <c r="Q76" s="5"/>
      <c r="R76" s="180"/>
      <c r="S76" s="180"/>
      <c r="T76" s="180"/>
      <c r="U76" s="180"/>
    </row>
    <row r="77" spans="1:22" ht="15.75" hidden="1" customHeight="1">
      <c r="A77" s="33"/>
      <c r="B77" s="16" t="s">
        <v>79</v>
      </c>
      <c r="C77" s="18" t="s">
        <v>32</v>
      </c>
      <c r="D77" s="16"/>
      <c r="E77" s="21">
        <v>1</v>
      </c>
      <c r="F77" s="14">
        <v>1</v>
      </c>
      <c r="G77" s="14">
        <v>852.99</v>
      </c>
      <c r="H77" s="109">
        <f>F77*G77/1000</f>
        <v>0.85299000000000003</v>
      </c>
      <c r="I77" s="14">
        <v>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2" ht="15.75" hidden="1" customHeight="1">
      <c r="A78" s="33"/>
      <c r="B78" s="61" t="s">
        <v>80</v>
      </c>
      <c r="C78" s="47"/>
      <c r="D78" s="33"/>
      <c r="E78" s="33"/>
      <c r="F78" s="21"/>
      <c r="G78" s="43" t="s">
        <v>158</v>
      </c>
      <c r="H78" s="43"/>
      <c r="I78" s="21"/>
    </row>
    <row r="79" spans="1:22" ht="15.75" hidden="1" customHeight="1">
      <c r="A79" s="33">
        <v>39</v>
      </c>
      <c r="B79" s="63" t="s">
        <v>142</v>
      </c>
      <c r="C79" s="18" t="s">
        <v>81</v>
      </c>
      <c r="D79" s="16"/>
      <c r="E79" s="21"/>
      <c r="F79" s="14">
        <v>1.35</v>
      </c>
      <c r="G79" s="14">
        <v>2759.44</v>
      </c>
      <c r="H79" s="109">
        <f>SUM(F79*G79/1000)</f>
        <v>3.725244</v>
      </c>
      <c r="I79" s="14">
        <v>0</v>
      </c>
    </row>
    <row r="80" spans="1:22" ht="15.75" customHeight="1">
      <c r="A80" s="171" t="s">
        <v>237</v>
      </c>
      <c r="B80" s="172"/>
      <c r="C80" s="172"/>
      <c r="D80" s="172"/>
      <c r="E80" s="172"/>
      <c r="F80" s="172"/>
      <c r="G80" s="172"/>
      <c r="H80" s="172"/>
      <c r="I80" s="173"/>
    </row>
    <row r="81" spans="1:9" ht="15.75" customHeight="1">
      <c r="A81" s="33">
        <v>19</v>
      </c>
      <c r="B81" s="124" t="s">
        <v>143</v>
      </c>
      <c r="C81" s="18" t="s">
        <v>56</v>
      </c>
      <c r="D81" s="147" t="s">
        <v>57</v>
      </c>
      <c r="E81" s="14">
        <v>5926.8</v>
      </c>
      <c r="F81" s="14">
        <f>SUM(E81*12)</f>
        <v>71121.600000000006</v>
      </c>
      <c r="G81" s="14">
        <v>2.1</v>
      </c>
      <c r="H81" s="109">
        <f>SUM(F81*G81/1000)</f>
        <v>149.35536000000002</v>
      </c>
      <c r="I81" s="14">
        <f>F81/12*G81</f>
        <v>12446.28</v>
      </c>
    </row>
    <row r="82" spans="1:9" ht="31.5" customHeight="1">
      <c r="A82" s="33">
        <v>20</v>
      </c>
      <c r="B82" s="16" t="s">
        <v>82</v>
      </c>
      <c r="C82" s="18"/>
      <c r="D82" s="147" t="s">
        <v>57</v>
      </c>
      <c r="E82" s="125">
        <v>5926.8</v>
      </c>
      <c r="F82" s="14">
        <f>E82*12</f>
        <v>71121.600000000006</v>
      </c>
      <c r="G82" s="14">
        <v>1.63</v>
      </c>
      <c r="H82" s="109">
        <f>F82*G82/1000</f>
        <v>115.928208</v>
      </c>
      <c r="I82" s="14">
        <f>F82/12*G82</f>
        <v>9660.6839999999993</v>
      </c>
    </row>
    <row r="83" spans="1:9" ht="15.75" customHeight="1">
      <c r="A83" s="163"/>
      <c r="B83" s="50" t="s">
        <v>85</v>
      </c>
      <c r="C83" s="52"/>
      <c r="D83" s="17"/>
      <c r="E83" s="17"/>
      <c r="F83" s="17"/>
      <c r="G83" s="21"/>
      <c r="H83" s="21"/>
      <c r="I83" s="35">
        <f>SUM(I16+I17+I18+I20+I21+I24+I26+I27+I28+I39+I40+I41+I42+I44+I58+I59+I62+I65+I81+I82)</f>
        <v>91376.804430499978</v>
      </c>
    </row>
    <row r="84" spans="1:9" ht="15.75" customHeight="1">
      <c r="A84" s="174" t="s">
        <v>63</v>
      </c>
      <c r="B84" s="175"/>
      <c r="C84" s="175"/>
      <c r="D84" s="175"/>
      <c r="E84" s="175"/>
      <c r="F84" s="175"/>
      <c r="G84" s="175"/>
      <c r="H84" s="175"/>
      <c r="I84" s="176"/>
    </row>
    <row r="85" spans="1:9" ht="31.5" customHeight="1">
      <c r="A85" s="33">
        <v>21</v>
      </c>
      <c r="B85" s="69" t="s">
        <v>161</v>
      </c>
      <c r="C85" s="84" t="s">
        <v>38</v>
      </c>
      <c r="D85" s="63"/>
      <c r="E85" s="14"/>
      <c r="F85" s="14">
        <v>7.0000000000000007E-2</v>
      </c>
      <c r="G85" s="14">
        <v>3581.13</v>
      </c>
      <c r="H85" s="109">
        <f t="shared" ref="H85:H94" si="10">G85*F85/1000</f>
        <v>0.25067910000000004</v>
      </c>
      <c r="I85" s="14">
        <f>G85*0.01</f>
        <v>35.811300000000003</v>
      </c>
    </row>
    <row r="86" spans="1:9" ht="15.75" customHeight="1">
      <c r="A86" s="33">
        <v>22</v>
      </c>
      <c r="B86" s="152" t="s">
        <v>111</v>
      </c>
      <c r="C86" s="153" t="s">
        <v>135</v>
      </c>
      <c r="D86" s="63"/>
      <c r="E86" s="43"/>
      <c r="F86" s="43">
        <v>1089</v>
      </c>
      <c r="G86" s="44">
        <v>53.42</v>
      </c>
      <c r="H86" s="146">
        <f t="shared" si="10"/>
        <v>58.174380000000006</v>
      </c>
      <c r="I86" s="164">
        <f>G86*121</f>
        <v>6463.8200000000006</v>
      </c>
    </row>
    <row r="87" spans="1:9" ht="31.5" customHeight="1">
      <c r="A87" s="33">
        <v>23</v>
      </c>
      <c r="B87" s="69" t="s">
        <v>84</v>
      </c>
      <c r="C87" s="84" t="s">
        <v>135</v>
      </c>
      <c r="D87" s="63"/>
      <c r="E87" s="43"/>
      <c r="F87" s="43">
        <v>8</v>
      </c>
      <c r="G87" s="43">
        <v>83.36</v>
      </c>
      <c r="H87" s="146">
        <f t="shared" si="10"/>
        <v>0.66688000000000003</v>
      </c>
      <c r="I87" s="14">
        <f>G87</f>
        <v>83.36</v>
      </c>
    </row>
    <row r="88" spans="1:9" ht="31.5" customHeight="1">
      <c r="A88" s="33">
        <v>24</v>
      </c>
      <c r="B88" s="69" t="s">
        <v>163</v>
      </c>
      <c r="C88" s="84" t="s">
        <v>86</v>
      </c>
      <c r="D88" s="63"/>
      <c r="E88" s="43"/>
      <c r="F88" s="43">
        <v>27.5</v>
      </c>
      <c r="G88" s="43">
        <v>1187</v>
      </c>
      <c r="H88" s="146">
        <f t="shared" si="10"/>
        <v>32.642499999999998</v>
      </c>
      <c r="I88" s="14">
        <f>G88*4</f>
        <v>4748</v>
      </c>
    </row>
    <row r="89" spans="1:9" ht="15.75" customHeight="1">
      <c r="A89" s="33">
        <v>25</v>
      </c>
      <c r="B89" s="69" t="s">
        <v>185</v>
      </c>
      <c r="C89" s="84" t="s">
        <v>89</v>
      </c>
      <c r="D89" s="82"/>
      <c r="E89" s="43"/>
      <c r="F89" s="43">
        <v>7</v>
      </c>
      <c r="G89" s="43">
        <v>195.85</v>
      </c>
      <c r="H89" s="146">
        <f>G89*F89/1000</f>
        <v>1.3709500000000001</v>
      </c>
      <c r="I89" s="14">
        <f>G89*2</f>
        <v>391.7</v>
      </c>
    </row>
    <row r="90" spans="1:9" ht="31.5" customHeight="1">
      <c r="A90" s="33">
        <v>26</v>
      </c>
      <c r="B90" s="169" t="s">
        <v>186</v>
      </c>
      <c r="C90" s="52" t="s">
        <v>187</v>
      </c>
      <c r="D90" s="63"/>
      <c r="E90" s="14"/>
      <c r="F90" s="14">
        <v>3</v>
      </c>
      <c r="G90" s="14">
        <v>1934.94</v>
      </c>
      <c r="H90" s="109">
        <f t="shared" ref="H90" si="11">G90*F90/1000</f>
        <v>5.8048199999999994</v>
      </c>
      <c r="I90" s="14">
        <f>G90</f>
        <v>1934.94</v>
      </c>
    </row>
    <row r="91" spans="1:9" ht="31.5" customHeight="1">
      <c r="A91" s="33">
        <v>27</v>
      </c>
      <c r="B91" s="69" t="s">
        <v>164</v>
      </c>
      <c r="C91" s="84" t="s">
        <v>86</v>
      </c>
      <c r="D91" s="63"/>
      <c r="E91" s="14"/>
      <c r="F91" s="14">
        <v>44.5</v>
      </c>
      <c r="G91" s="14">
        <v>1272</v>
      </c>
      <c r="H91" s="109">
        <f t="shared" si="10"/>
        <v>56.603999999999999</v>
      </c>
      <c r="I91" s="14">
        <f>G91*4</f>
        <v>5088</v>
      </c>
    </row>
    <row r="92" spans="1:9" ht="31.5" customHeight="1">
      <c r="A92" s="33">
        <v>28</v>
      </c>
      <c r="B92" s="69" t="s">
        <v>216</v>
      </c>
      <c r="C92" s="84" t="s">
        <v>115</v>
      </c>
      <c r="D92" s="82"/>
      <c r="E92" s="43"/>
      <c r="F92" s="43">
        <v>2</v>
      </c>
      <c r="G92" s="43">
        <v>54.17</v>
      </c>
      <c r="H92" s="146">
        <f t="shared" si="10"/>
        <v>0.10834000000000001</v>
      </c>
      <c r="I92" s="14">
        <f>G92</f>
        <v>54.17</v>
      </c>
    </row>
    <row r="93" spans="1:9" ht="15.75" customHeight="1">
      <c r="A93" s="33">
        <v>29</v>
      </c>
      <c r="B93" s="69" t="s">
        <v>249</v>
      </c>
      <c r="C93" s="84" t="s">
        <v>135</v>
      </c>
      <c r="D93" s="46"/>
      <c r="E93" s="20"/>
      <c r="F93" s="43">
        <v>1</v>
      </c>
      <c r="G93" s="43">
        <v>70</v>
      </c>
      <c r="H93" s="146">
        <f t="shared" si="10"/>
        <v>7.0000000000000007E-2</v>
      </c>
      <c r="I93" s="14">
        <f>G93</f>
        <v>70</v>
      </c>
    </row>
    <row r="94" spans="1:9" ht="15.75" customHeight="1">
      <c r="A94" s="33">
        <v>30</v>
      </c>
      <c r="B94" s="148" t="s">
        <v>250</v>
      </c>
      <c r="C94" s="33" t="s">
        <v>251</v>
      </c>
      <c r="D94" s="165"/>
      <c r="E94" s="21"/>
      <c r="F94" s="166">
        <v>1</v>
      </c>
      <c r="G94" s="14">
        <v>2911</v>
      </c>
      <c r="H94" s="109">
        <f t="shared" si="10"/>
        <v>2.911</v>
      </c>
      <c r="I94" s="14">
        <f>G94</f>
        <v>2911</v>
      </c>
    </row>
    <row r="95" spans="1:9" ht="15.75" customHeight="1">
      <c r="A95" s="33"/>
      <c r="B95" s="57" t="s">
        <v>52</v>
      </c>
      <c r="C95" s="53"/>
      <c r="D95" s="67"/>
      <c r="E95" s="67"/>
      <c r="F95" s="53">
        <v>1</v>
      </c>
      <c r="G95" s="53"/>
      <c r="H95" s="53"/>
      <c r="I95" s="35">
        <f>SUM(I85:I94)</f>
        <v>21780.801299999999</v>
      </c>
    </row>
    <row r="96" spans="1:9" ht="15.75" customHeight="1">
      <c r="A96" s="33"/>
      <c r="B96" s="63" t="s">
        <v>83</v>
      </c>
      <c r="C96" s="17"/>
      <c r="D96" s="17"/>
      <c r="E96" s="17"/>
      <c r="F96" s="54"/>
      <c r="G96" s="55"/>
      <c r="H96" s="55"/>
      <c r="I96" s="20">
        <v>0</v>
      </c>
    </row>
    <row r="97" spans="1:9" ht="15.75" customHeight="1">
      <c r="A97" s="68"/>
      <c r="B97" s="58" t="s">
        <v>182</v>
      </c>
      <c r="C97" s="41"/>
      <c r="D97" s="41"/>
      <c r="E97" s="41"/>
      <c r="F97" s="41"/>
      <c r="G97" s="41"/>
      <c r="H97" s="41"/>
      <c r="I97" s="56">
        <f>I83+I95</f>
        <v>113157.60573049998</v>
      </c>
    </row>
    <row r="98" spans="1:9" ht="15.75" customHeight="1">
      <c r="A98" s="190" t="s">
        <v>267</v>
      </c>
      <c r="B98" s="190"/>
      <c r="C98" s="190"/>
      <c r="D98" s="190"/>
      <c r="E98" s="190"/>
      <c r="F98" s="190"/>
      <c r="G98" s="190"/>
      <c r="H98" s="190"/>
      <c r="I98" s="190"/>
    </row>
    <row r="99" spans="1:9" ht="15.75" customHeight="1">
      <c r="A99" s="108"/>
      <c r="B99" s="182" t="s">
        <v>268</v>
      </c>
      <c r="C99" s="182"/>
      <c r="D99" s="182"/>
      <c r="E99" s="182"/>
      <c r="F99" s="182"/>
      <c r="G99" s="182"/>
      <c r="H99" s="123"/>
      <c r="I99" s="3"/>
    </row>
    <row r="100" spans="1:9" ht="15.75" customHeight="1">
      <c r="A100" s="159"/>
      <c r="B100" s="178" t="s">
        <v>6</v>
      </c>
      <c r="C100" s="178"/>
      <c r="D100" s="178"/>
      <c r="E100" s="178"/>
      <c r="F100" s="178"/>
      <c r="G100" s="178"/>
      <c r="H100" s="28"/>
      <c r="I100" s="5"/>
    </row>
    <row r="101" spans="1:9" ht="15.75" customHeight="1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 customHeight="1">
      <c r="A102" s="183" t="s">
        <v>7</v>
      </c>
      <c r="B102" s="183"/>
      <c r="C102" s="183"/>
      <c r="D102" s="183"/>
      <c r="E102" s="183"/>
      <c r="F102" s="183"/>
      <c r="G102" s="183"/>
      <c r="H102" s="183"/>
      <c r="I102" s="183"/>
    </row>
    <row r="103" spans="1:9" ht="15.75" customHeight="1">
      <c r="A103" s="183" t="s">
        <v>8</v>
      </c>
      <c r="B103" s="183"/>
      <c r="C103" s="183"/>
      <c r="D103" s="183"/>
      <c r="E103" s="183"/>
      <c r="F103" s="183"/>
      <c r="G103" s="183"/>
      <c r="H103" s="183"/>
      <c r="I103" s="183"/>
    </row>
    <row r="104" spans="1:9" ht="15.75" customHeight="1">
      <c r="A104" s="184" t="s">
        <v>65</v>
      </c>
      <c r="B104" s="184"/>
      <c r="C104" s="184"/>
      <c r="D104" s="184"/>
      <c r="E104" s="184"/>
      <c r="F104" s="184"/>
      <c r="G104" s="184"/>
      <c r="H104" s="184"/>
      <c r="I104" s="184"/>
    </row>
    <row r="105" spans="1:9" ht="15.75" customHeight="1">
      <c r="A105" s="11"/>
    </row>
    <row r="106" spans="1:9" ht="15.75" customHeight="1">
      <c r="A106" s="185" t="s">
        <v>9</v>
      </c>
      <c r="B106" s="185"/>
      <c r="C106" s="185"/>
      <c r="D106" s="185"/>
      <c r="E106" s="185"/>
      <c r="F106" s="185"/>
      <c r="G106" s="185"/>
      <c r="H106" s="185"/>
      <c r="I106" s="185"/>
    </row>
    <row r="107" spans="1:9" ht="15.75" customHeight="1">
      <c r="A107" s="4"/>
    </row>
    <row r="108" spans="1:9" ht="15.75" customHeight="1">
      <c r="B108" s="160" t="s">
        <v>10</v>
      </c>
      <c r="C108" s="177" t="s">
        <v>99</v>
      </c>
      <c r="D108" s="177"/>
      <c r="E108" s="177"/>
      <c r="F108" s="177"/>
      <c r="I108" s="158"/>
    </row>
    <row r="109" spans="1:9" ht="15.75" customHeight="1">
      <c r="A109" s="159"/>
      <c r="C109" s="178" t="s">
        <v>11</v>
      </c>
      <c r="D109" s="178"/>
      <c r="E109" s="178"/>
      <c r="F109" s="178"/>
      <c r="I109" s="157" t="s">
        <v>12</v>
      </c>
    </row>
    <row r="110" spans="1:9" ht="15.75" customHeight="1">
      <c r="A110" s="29"/>
      <c r="C110" s="12"/>
      <c r="D110" s="12"/>
      <c r="E110" s="12"/>
      <c r="G110" s="12"/>
      <c r="H110" s="12"/>
    </row>
    <row r="111" spans="1:9" ht="15.75" customHeight="1">
      <c r="B111" s="160" t="s">
        <v>13</v>
      </c>
      <c r="C111" s="179"/>
      <c r="D111" s="179"/>
      <c r="E111" s="179"/>
      <c r="F111" s="179"/>
      <c r="I111" s="158"/>
    </row>
    <row r="112" spans="1:9" ht="15.75" customHeight="1">
      <c r="A112" s="159"/>
      <c r="C112" s="180" t="s">
        <v>11</v>
      </c>
      <c r="D112" s="180"/>
      <c r="E112" s="180"/>
      <c r="F112" s="180"/>
      <c r="I112" s="157" t="s">
        <v>12</v>
      </c>
    </row>
    <row r="113" spans="1:9" ht="15.75" customHeight="1">
      <c r="A113" s="4" t="s">
        <v>14</v>
      </c>
    </row>
    <row r="114" spans="1:9">
      <c r="A114" s="181" t="s">
        <v>15</v>
      </c>
      <c r="B114" s="181"/>
      <c r="C114" s="181"/>
      <c r="D114" s="181"/>
      <c r="E114" s="181"/>
      <c r="F114" s="181"/>
      <c r="G114" s="181"/>
      <c r="H114" s="181"/>
      <c r="I114" s="181"/>
    </row>
    <row r="115" spans="1:9" ht="45" customHeight="1">
      <c r="A115" s="170" t="s">
        <v>16</v>
      </c>
      <c r="B115" s="170"/>
      <c r="C115" s="170"/>
      <c r="D115" s="170"/>
      <c r="E115" s="170"/>
      <c r="F115" s="170"/>
      <c r="G115" s="170"/>
      <c r="H115" s="170"/>
      <c r="I115" s="170"/>
    </row>
    <row r="116" spans="1:9" ht="30" customHeight="1">
      <c r="A116" s="170" t="s">
        <v>17</v>
      </c>
      <c r="B116" s="170"/>
      <c r="C116" s="170"/>
      <c r="D116" s="170"/>
      <c r="E116" s="170"/>
      <c r="F116" s="170"/>
      <c r="G116" s="170"/>
      <c r="H116" s="170"/>
      <c r="I116" s="170"/>
    </row>
    <row r="117" spans="1:9" ht="30" customHeight="1">
      <c r="A117" s="170" t="s">
        <v>21</v>
      </c>
      <c r="B117" s="170"/>
      <c r="C117" s="170"/>
      <c r="D117" s="170"/>
      <c r="E117" s="170"/>
      <c r="F117" s="170"/>
      <c r="G117" s="170"/>
      <c r="H117" s="170"/>
      <c r="I117" s="170"/>
    </row>
    <row r="118" spans="1:9" ht="15" customHeight="1">
      <c r="A118" s="170" t="s">
        <v>20</v>
      </c>
      <c r="B118" s="170"/>
      <c r="C118" s="170"/>
      <c r="D118" s="170"/>
      <c r="E118" s="170"/>
      <c r="F118" s="170"/>
      <c r="G118" s="170"/>
      <c r="H118" s="170"/>
      <c r="I118" s="170"/>
    </row>
  </sheetData>
  <autoFilter ref="I12:I71"/>
  <mergeCells count="29">
    <mergeCell ref="A80:I80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5:I55"/>
    <mergeCell ref="R76:U76"/>
    <mergeCell ref="C112:F112"/>
    <mergeCell ref="A84:I84"/>
    <mergeCell ref="A98:I98"/>
    <mergeCell ref="B99:G99"/>
    <mergeCell ref="B100:G100"/>
    <mergeCell ref="A102:I102"/>
    <mergeCell ref="A103:I103"/>
    <mergeCell ref="A104:I104"/>
    <mergeCell ref="A106:I106"/>
    <mergeCell ref="C108:F108"/>
    <mergeCell ref="C109:F109"/>
    <mergeCell ref="C111:F111"/>
    <mergeCell ref="A114:I114"/>
    <mergeCell ref="A115:I115"/>
    <mergeCell ref="A116:I116"/>
    <mergeCell ref="A117:I117"/>
    <mergeCell ref="A118:I11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V115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94</v>
      </c>
      <c r="I1" s="30"/>
      <c r="J1" s="1"/>
      <c r="K1" s="1"/>
      <c r="L1" s="1"/>
      <c r="M1" s="1"/>
    </row>
    <row r="2" spans="1:13" ht="15.75" customHeight="1">
      <c r="A2" s="32" t="s">
        <v>67</v>
      </c>
      <c r="J2" s="2"/>
      <c r="K2" s="2"/>
      <c r="L2" s="2"/>
      <c r="M2" s="2"/>
    </row>
    <row r="3" spans="1:13" ht="15.75" customHeight="1">
      <c r="A3" s="191" t="s">
        <v>259</v>
      </c>
      <c r="B3" s="191"/>
      <c r="C3" s="191"/>
      <c r="D3" s="191"/>
      <c r="E3" s="191"/>
      <c r="F3" s="191"/>
      <c r="G3" s="191"/>
      <c r="H3" s="191"/>
      <c r="I3" s="191"/>
      <c r="J3" s="3"/>
      <c r="K3" s="3"/>
      <c r="L3" s="3"/>
    </row>
    <row r="4" spans="1:13" ht="31.5" customHeight="1">
      <c r="A4" s="192" t="s">
        <v>144</v>
      </c>
      <c r="B4" s="192"/>
      <c r="C4" s="192"/>
      <c r="D4" s="192"/>
      <c r="E4" s="192"/>
      <c r="F4" s="192"/>
      <c r="G4" s="192"/>
      <c r="H4" s="192"/>
      <c r="I4" s="192"/>
    </row>
    <row r="5" spans="1:13" ht="15.75" customHeight="1">
      <c r="A5" s="191" t="s">
        <v>260</v>
      </c>
      <c r="B5" s="193"/>
      <c r="C5" s="193"/>
      <c r="D5" s="193"/>
      <c r="E5" s="193"/>
      <c r="F5" s="193"/>
      <c r="G5" s="193"/>
      <c r="H5" s="193"/>
      <c r="I5" s="193"/>
      <c r="J5" s="2"/>
      <c r="K5" s="2"/>
      <c r="L5" s="2"/>
      <c r="M5" s="2"/>
    </row>
    <row r="6" spans="1:13" ht="15.75" customHeight="1">
      <c r="A6" s="2"/>
      <c r="B6" s="162"/>
      <c r="C6" s="162"/>
      <c r="D6" s="162"/>
      <c r="E6" s="162"/>
      <c r="F6" s="162"/>
      <c r="G6" s="162"/>
      <c r="H6" s="162"/>
      <c r="I6" s="34">
        <v>43100</v>
      </c>
      <c r="J6" s="2"/>
      <c r="K6" s="2"/>
      <c r="L6" s="2"/>
      <c r="M6" s="2"/>
    </row>
    <row r="7" spans="1:13" ht="15.75" customHeight="1">
      <c r="B7" s="160"/>
      <c r="C7" s="160"/>
      <c r="D7" s="160"/>
      <c r="E7" s="160"/>
      <c r="F7" s="3"/>
      <c r="G7" s="3"/>
      <c r="H7" s="3"/>
      <c r="J7" s="3"/>
      <c r="K7" s="3"/>
      <c r="L7" s="3"/>
      <c r="M7" s="3"/>
    </row>
    <row r="8" spans="1:13" ht="78.75" customHeight="1">
      <c r="A8" s="194" t="s">
        <v>168</v>
      </c>
      <c r="B8" s="194"/>
      <c r="C8" s="194"/>
      <c r="D8" s="194"/>
      <c r="E8" s="194"/>
      <c r="F8" s="194"/>
      <c r="G8" s="194"/>
      <c r="H8" s="194"/>
      <c r="I8" s="194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195" t="s">
        <v>261</v>
      </c>
      <c r="B10" s="195"/>
      <c r="C10" s="195"/>
      <c r="D10" s="195"/>
      <c r="E10" s="195"/>
      <c r="F10" s="195"/>
      <c r="G10" s="195"/>
      <c r="H10" s="195"/>
      <c r="I10" s="19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6" t="s">
        <v>61</v>
      </c>
      <c r="B14" s="196"/>
      <c r="C14" s="196"/>
      <c r="D14" s="196"/>
      <c r="E14" s="196"/>
      <c r="F14" s="196"/>
      <c r="G14" s="196"/>
      <c r="H14" s="196"/>
      <c r="I14" s="196"/>
      <c r="J14" s="8"/>
      <c r="K14" s="8"/>
      <c r="L14" s="8"/>
      <c r="M14" s="8"/>
    </row>
    <row r="15" spans="1:13" ht="15.75" customHeight="1">
      <c r="A15" s="186" t="s">
        <v>4</v>
      </c>
      <c r="B15" s="186"/>
      <c r="C15" s="186"/>
      <c r="D15" s="186"/>
      <c r="E15" s="186"/>
      <c r="F15" s="186"/>
      <c r="G15" s="186"/>
      <c r="H15" s="186"/>
      <c r="I15" s="186"/>
      <c r="J15" s="8"/>
      <c r="K15" s="8"/>
      <c r="L15" s="8"/>
      <c r="M15" s="8"/>
    </row>
    <row r="16" spans="1:13" ht="15.75" customHeight="1">
      <c r="A16" s="33">
        <v>1</v>
      </c>
      <c r="B16" s="124" t="s">
        <v>95</v>
      </c>
      <c r="C16" s="90" t="s">
        <v>117</v>
      </c>
      <c r="D16" s="124" t="s">
        <v>118</v>
      </c>
      <c r="E16" s="125">
        <v>160.5</v>
      </c>
      <c r="F16" s="126">
        <f>SUM(E16*156/100)</f>
        <v>250.38</v>
      </c>
      <c r="G16" s="126">
        <v>175.38</v>
      </c>
      <c r="H16" s="127">
        <f t="shared" ref="H16:H28" si="0">SUM(F16*G16/1000)</f>
        <v>43.9116444</v>
      </c>
      <c r="I16" s="14">
        <f>F16/12*G16</f>
        <v>3659.3036999999995</v>
      </c>
      <c r="J16" s="8"/>
      <c r="K16" s="8"/>
      <c r="L16" s="8"/>
      <c r="M16" s="8"/>
    </row>
    <row r="17" spans="1:13" ht="15.75" customHeight="1">
      <c r="A17" s="33">
        <v>2</v>
      </c>
      <c r="B17" s="124" t="s">
        <v>102</v>
      </c>
      <c r="C17" s="90" t="s">
        <v>117</v>
      </c>
      <c r="D17" s="124" t="s">
        <v>119</v>
      </c>
      <c r="E17" s="125">
        <v>642</v>
      </c>
      <c r="F17" s="126">
        <f>SUM(E17*104/100)</f>
        <v>667.68</v>
      </c>
      <c r="G17" s="126">
        <v>175.38</v>
      </c>
      <c r="H17" s="127">
        <f t="shared" si="0"/>
        <v>117.09771839999998</v>
      </c>
      <c r="I17" s="14">
        <f>F17/12*G17</f>
        <v>9758.1431999999986</v>
      </c>
      <c r="J17" s="26"/>
      <c r="K17" s="8"/>
      <c r="L17" s="8"/>
      <c r="M17" s="8"/>
    </row>
    <row r="18" spans="1:13" ht="15.75" customHeight="1">
      <c r="A18" s="33">
        <v>3</v>
      </c>
      <c r="B18" s="124" t="s">
        <v>103</v>
      </c>
      <c r="C18" s="90" t="s">
        <v>117</v>
      </c>
      <c r="D18" s="124" t="s">
        <v>120</v>
      </c>
      <c r="E18" s="125">
        <f>SUM(E16+E17)</f>
        <v>802.5</v>
      </c>
      <c r="F18" s="126">
        <f>SUM(E18*24/100)</f>
        <v>192.6</v>
      </c>
      <c r="G18" s="126">
        <v>504.5</v>
      </c>
      <c r="H18" s="127">
        <f t="shared" si="0"/>
        <v>97.166699999999992</v>
      </c>
      <c r="I18" s="14">
        <f>F18/12*G18</f>
        <v>8097.2250000000004</v>
      </c>
      <c r="J18" s="26"/>
      <c r="K18" s="8"/>
      <c r="L18" s="8"/>
      <c r="M18" s="8"/>
    </row>
    <row r="19" spans="1:13" ht="15.75" hidden="1" customHeight="1">
      <c r="A19" s="33">
        <v>4</v>
      </c>
      <c r="B19" s="124" t="s">
        <v>121</v>
      </c>
      <c r="C19" s="90" t="s">
        <v>122</v>
      </c>
      <c r="D19" s="124" t="s">
        <v>123</v>
      </c>
      <c r="E19" s="125">
        <v>38.4</v>
      </c>
      <c r="F19" s="126">
        <f>SUM(E19/10)</f>
        <v>3.84</v>
      </c>
      <c r="G19" s="126">
        <v>170.16</v>
      </c>
      <c r="H19" s="127">
        <f t="shared" si="0"/>
        <v>0.65341439999999995</v>
      </c>
      <c r="I19" s="14">
        <f>F19/2*G19</f>
        <v>326.7072</v>
      </c>
      <c r="J19" s="26"/>
      <c r="K19" s="8"/>
      <c r="L19" s="8"/>
      <c r="M19" s="8"/>
    </row>
    <row r="20" spans="1:13" ht="15.75" customHeight="1">
      <c r="A20" s="33">
        <v>4</v>
      </c>
      <c r="B20" s="124" t="s">
        <v>107</v>
      </c>
      <c r="C20" s="90" t="s">
        <v>117</v>
      </c>
      <c r="D20" s="124" t="s">
        <v>31</v>
      </c>
      <c r="E20" s="125">
        <v>58.4</v>
      </c>
      <c r="F20" s="126">
        <f>SUM(E20*12/100)</f>
        <v>7.0079999999999991</v>
      </c>
      <c r="G20" s="126">
        <v>217.88</v>
      </c>
      <c r="H20" s="127">
        <f t="shared" si="0"/>
        <v>1.5269030399999997</v>
      </c>
      <c r="I20" s="14">
        <f>F20/12*G20</f>
        <v>127.24191999999999</v>
      </c>
      <c r="J20" s="26"/>
      <c r="K20" s="8"/>
      <c r="L20" s="8"/>
      <c r="M20" s="8"/>
    </row>
    <row r="21" spans="1:13" ht="15.75" customHeight="1">
      <c r="A21" s="33">
        <v>5</v>
      </c>
      <c r="B21" s="124" t="s">
        <v>108</v>
      </c>
      <c r="C21" s="90" t="s">
        <v>117</v>
      </c>
      <c r="D21" s="124" t="s">
        <v>31</v>
      </c>
      <c r="E21" s="125">
        <v>9.08</v>
      </c>
      <c r="F21" s="126">
        <f>SUM(E21*12/100)</f>
        <v>1.0896000000000001</v>
      </c>
      <c r="G21" s="126">
        <v>216.12</v>
      </c>
      <c r="H21" s="127">
        <f t="shared" si="0"/>
        <v>0.23548435200000004</v>
      </c>
      <c r="I21" s="14">
        <f>F21/12*G21</f>
        <v>19.623696000000002</v>
      </c>
      <c r="J21" s="26"/>
      <c r="K21" s="8"/>
      <c r="L21" s="8"/>
      <c r="M21" s="8"/>
    </row>
    <row r="22" spans="1:13" ht="15.75" hidden="1" customHeight="1">
      <c r="A22" s="33">
        <v>7</v>
      </c>
      <c r="B22" s="124" t="s">
        <v>124</v>
      </c>
      <c r="C22" s="90" t="s">
        <v>54</v>
      </c>
      <c r="D22" s="124" t="s">
        <v>123</v>
      </c>
      <c r="E22" s="125">
        <v>822.72</v>
      </c>
      <c r="F22" s="126">
        <f>SUM(E22/100)</f>
        <v>8.2271999999999998</v>
      </c>
      <c r="G22" s="126">
        <v>269.26</v>
      </c>
      <c r="H22" s="127">
        <f t="shared" si="0"/>
        <v>2.2152558719999997</v>
      </c>
      <c r="I22" s="14">
        <f>F22*G22</f>
        <v>2215.2558719999997</v>
      </c>
      <c r="J22" s="26"/>
      <c r="K22" s="8"/>
      <c r="L22" s="8"/>
      <c r="M22" s="8"/>
    </row>
    <row r="23" spans="1:13" ht="15.75" hidden="1" customHeight="1">
      <c r="A23" s="33">
        <v>8</v>
      </c>
      <c r="B23" s="124" t="s">
        <v>125</v>
      </c>
      <c r="C23" s="90" t="s">
        <v>54</v>
      </c>
      <c r="D23" s="124" t="s">
        <v>123</v>
      </c>
      <c r="E23" s="128">
        <v>96.6</v>
      </c>
      <c r="F23" s="126">
        <f>SUM(E23/100)</f>
        <v>0.96599999999999997</v>
      </c>
      <c r="G23" s="126">
        <v>44.29</v>
      </c>
      <c r="H23" s="127">
        <f t="shared" si="0"/>
        <v>4.2784139999999998E-2</v>
      </c>
      <c r="I23" s="14">
        <f>F23*G23</f>
        <v>42.784140000000001</v>
      </c>
      <c r="J23" s="26"/>
      <c r="K23" s="8"/>
      <c r="L23" s="8"/>
      <c r="M23" s="8"/>
    </row>
    <row r="24" spans="1:13" ht="15.75" customHeight="1">
      <c r="A24" s="33">
        <v>6</v>
      </c>
      <c r="B24" s="124" t="s">
        <v>113</v>
      </c>
      <c r="C24" s="90" t="s">
        <v>54</v>
      </c>
      <c r="D24" s="124" t="s">
        <v>31</v>
      </c>
      <c r="E24" s="129">
        <v>32</v>
      </c>
      <c r="F24" s="126">
        <f>32*12/1000</f>
        <v>0.38400000000000001</v>
      </c>
      <c r="G24" s="126">
        <v>389.42</v>
      </c>
      <c r="H24" s="127">
        <f>G24*F24/100</f>
        <v>1.4953728000000002</v>
      </c>
      <c r="I24" s="14">
        <f>F24/12*G24</f>
        <v>12.461440000000001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124" t="s">
        <v>145</v>
      </c>
      <c r="C25" s="90" t="s">
        <v>54</v>
      </c>
      <c r="D25" s="124" t="s">
        <v>55</v>
      </c>
      <c r="E25" s="130">
        <v>38</v>
      </c>
      <c r="F25" s="126">
        <v>0.38</v>
      </c>
      <c r="G25" s="126">
        <v>216.12</v>
      </c>
      <c r="H25" s="127">
        <f>G25*F25/1000</f>
        <v>8.2125600000000007E-2</v>
      </c>
      <c r="I25" s="14">
        <f>F25*G25</f>
        <v>82.125600000000006</v>
      </c>
      <c r="J25" s="26"/>
      <c r="K25" s="8"/>
      <c r="L25" s="8"/>
      <c r="M25" s="8"/>
    </row>
    <row r="26" spans="1:13" ht="15.75" customHeight="1">
      <c r="A26" s="33">
        <v>7</v>
      </c>
      <c r="B26" s="124" t="s">
        <v>114</v>
      </c>
      <c r="C26" s="90" t="s">
        <v>54</v>
      </c>
      <c r="D26" s="124" t="s">
        <v>146</v>
      </c>
      <c r="E26" s="125">
        <v>17</v>
      </c>
      <c r="F26" s="126">
        <f>SUM(E26*12/100)</f>
        <v>2.04</v>
      </c>
      <c r="G26" s="126">
        <v>520.79999999999995</v>
      </c>
      <c r="H26" s="127">
        <f t="shared" si="0"/>
        <v>1.062432</v>
      </c>
      <c r="I26" s="14">
        <f>F26/12*G26</f>
        <v>88.536000000000001</v>
      </c>
      <c r="J26" s="26"/>
      <c r="K26" s="8"/>
      <c r="L26" s="8"/>
      <c r="M26" s="8"/>
    </row>
    <row r="27" spans="1:13" ht="15.75" customHeight="1">
      <c r="A27" s="33">
        <v>8</v>
      </c>
      <c r="B27" s="124" t="s">
        <v>69</v>
      </c>
      <c r="C27" s="90" t="s">
        <v>34</v>
      </c>
      <c r="D27" s="124" t="s">
        <v>92</v>
      </c>
      <c r="E27" s="125">
        <v>0.1</v>
      </c>
      <c r="F27" s="126">
        <f>SUM(E27*365)</f>
        <v>36.5</v>
      </c>
      <c r="G27" s="126">
        <v>147.03</v>
      </c>
      <c r="H27" s="127">
        <f t="shared" si="0"/>
        <v>5.3665950000000002</v>
      </c>
      <c r="I27" s="14">
        <f>F27/12*G27</f>
        <v>447.21625</v>
      </c>
      <c r="J27" s="26"/>
      <c r="K27" s="8"/>
      <c r="L27" s="8"/>
      <c r="M27" s="8"/>
    </row>
    <row r="28" spans="1:13" ht="15.75" customHeight="1">
      <c r="A28" s="33">
        <v>9</v>
      </c>
      <c r="B28" s="131" t="s">
        <v>23</v>
      </c>
      <c r="C28" s="90" t="s">
        <v>24</v>
      </c>
      <c r="D28" s="124" t="s">
        <v>92</v>
      </c>
      <c r="E28" s="125">
        <v>5926.8</v>
      </c>
      <c r="F28" s="126">
        <f>SUM(E28*12)</f>
        <v>71121.600000000006</v>
      </c>
      <c r="G28" s="126">
        <v>4.53</v>
      </c>
      <c r="H28" s="127">
        <f t="shared" si="0"/>
        <v>322.18084800000008</v>
      </c>
      <c r="I28" s="14">
        <f>F28/12*G28</f>
        <v>26848.404000000002</v>
      </c>
      <c r="J28" s="26"/>
      <c r="K28" s="8"/>
      <c r="L28" s="8"/>
      <c r="M28" s="8"/>
    </row>
    <row r="29" spans="1:13" ht="15.75" customHeight="1">
      <c r="A29" s="186" t="s">
        <v>93</v>
      </c>
      <c r="B29" s="186"/>
      <c r="C29" s="186"/>
      <c r="D29" s="186"/>
      <c r="E29" s="186"/>
      <c r="F29" s="186"/>
      <c r="G29" s="186"/>
      <c r="H29" s="186"/>
      <c r="I29" s="186"/>
      <c r="J29" s="26"/>
      <c r="K29" s="8"/>
      <c r="L29" s="8"/>
      <c r="M29" s="8"/>
    </row>
    <row r="30" spans="1:13" ht="15.75" hidden="1" customHeight="1">
      <c r="A30" s="52"/>
      <c r="B30" s="62" t="s">
        <v>29</v>
      </c>
      <c r="C30" s="62"/>
      <c r="D30" s="62"/>
      <c r="E30" s="62"/>
      <c r="F30" s="62"/>
      <c r="G30" s="62"/>
      <c r="H30" s="62"/>
      <c r="I30" s="21"/>
      <c r="J30" s="26"/>
      <c r="K30" s="8"/>
      <c r="L30" s="8"/>
      <c r="M30" s="8"/>
    </row>
    <row r="31" spans="1:13" ht="15.75" hidden="1" customHeight="1">
      <c r="A31" s="52">
        <v>10</v>
      </c>
      <c r="B31" s="124" t="s">
        <v>126</v>
      </c>
      <c r="C31" s="90" t="s">
        <v>127</v>
      </c>
      <c r="D31" s="124" t="s">
        <v>148</v>
      </c>
      <c r="E31" s="126">
        <v>2732.4</v>
      </c>
      <c r="F31" s="126">
        <f>SUM(E31*26/1000)</f>
        <v>71.042400000000015</v>
      </c>
      <c r="G31" s="126">
        <v>155.88999999999999</v>
      </c>
      <c r="H31" s="127">
        <f t="shared" ref="H31:H33" si="1">SUM(F31*G31/1000)</f>
        <v>11.074799736000001</v>
      </c>
      <c r="I31" s="14">
        <f>F31/6*G31</f>
        <v>1845.7999560000003</v>
      </c>
      <c r="J31" s="26"/>
      <c r="K31" s="8"/>
      <c r="L31" s="8"/>
      <c r="M31" s="8"/>
    </row>
    <row r="32" spans="1:13" ht="31.5" hidden="1" customHeight="1">
      <c r="A32" s="52">
        <v>11</v>
      </c>
      <c r="B32" s="124" t="s">
        <v>149</v>
      </c>
      <c r="C32" s="90" t="s">
        <v>127</v>
      </c>
      <c r="D32" s="124" t="s">
        <v>128</v>
      </c>
      <c r="E32" s="126">
        <v>547.85</v>
      </c>
      <c r="F32" s="126">
        <f>SUM(E32*78/1000)</f>
        <v>42.732300000000002</v>
      </c>
      <c r="G32" s="126">
        <v>258.63</v>
      </c>
      <c r="H32" s="127">
        <f t="shared" si="1"/>
        <v>11.051854749</v>
      </c>
      <c r="I32" s="14">
        <f t="shared" ref="I32:I35" si="2">F32/6*G32</f>
        <v>1841.9757915000002</v>
      </c>
      <c r="J32" s="26"/>
      <c r="K32" s="8"/>
      <c r="L32" s="8"/>
      <c r="M32" s="8"/>
    </row>
    <row r="33" spans="1:14" ht="15.75" hidden="1" customHeight="1">
      <c r="A33" s="52">
        <v>16</v>
      </c>
      <c r="B33" s="124" t="s">
        <v>28</v>
      </c>
      <c r="C33" s="90" t="s">
        <v>127</v>
      </c>
      <c r="D33" s="124" t="s">
        <v>55</v>
      </c>
      <c r="E33" s="126">
        <v>2732.4</v>
      </c>
      <c r="F33" s="126">
        <f>SUM(E33/1000)</f>
        <v>2.7324000000000002</v>
      </c>
      <c r="G33" s="126">
        <v>3020.33</v>
      </c>
      <c r="H33" s="127">
        <f t="shared" si="1"/>
        <v>8.2527496920000001</v>
      </c>
      <c r="I33" s="14">
        <f>F33*G33</f>
        <v>8252.7496919999994</v>
      </c>
      <c r="J33" s="26"/>
      <c r="K33" s="8"/>
      <c r="L33" s="8"/>
      <c r="M33" s="8"/>
    </row>
    <row r="34" spans="1:14" ht="15.75" hidden="1" customHeight="1">
      <c r="A34" s="52">
        <v>12</v>
      </c>
      <c r="B34" s="124" t="s">
        <v>147</v>
      </c>
      <c r="C34" s="90" t="s">
        <v>40</v>
      </c>
      <c r="D34" s="124" t="s">
        <v>68</v>
      </c>
      <c r="E34" s="126">
        <v>8</v>
      </c>
      <c r="F34" s="126">
        <v>12.4</v>
      </c>
      <c r="G34" s="126">
        <v>1302.02</v>
      </c>
      <c r="H34" s="127">
        <v>16.145</v>
      </c>
      <c r="I34" s="14">
        <f t="shared" si="2"/>
        <v>2690.8413333333338</v>
      </c>
      <c r="J34" s="26"/>
      <c r="K34" s="8"/>
      <c r="L34" s="8"/>
      <c r="M34" s="8"/>
    </row>
    <row r="35" spans="1:14" ht="15.75" hidden="1" customHeight="1">
      <c r="A35" s="52">
        <v>13</v>
      </c>
      <c r="B35" s="124" t="s">
        <v>129</v>
      </c>
      <c r="C35" s="90" t="s">
        <v>32</v>
      </c>
      <c r="D35" s="124" t="s">
        <v>68</v>
      </c>
      <c r="E35" s="132">
        <v>1</v>
      </c>
      <c r="F35" s="126">
        <v>155</v>
      </c>
      <c r="G35" s="126">
        <v>56.69</v>
      </c>
      <c r="H35" s="127">
        <f>SUM(G35*155/1000)</f>
        <v>8.7869499999999992</v>
      </c>
      <c r="I35" s="14">
        <f t="shared" si="2"/>
        <v>1464.4916666666666</v>
      </c>
      <c r="J35" s="26"/>
      <c r="K35" s="8"/>
      <c r="L35" s="8"/>
      <c r="M35" s="8"/>
    </row>
    <row r="36" spans="1:14" ht="15.75" hidden="1" customHeight="1">
      <c r="A36" s="52">
        <v>4</v>
      </c>
      <c r="B36" s="124" t="s">
        <v>70</v>
      </c>
      <c r="C36" s="90" t="s">
        <v>34</v>
      </c>
      <c r="D36" s="124" t="s">
        <v>72</v>
      </c>
      <c r="E36" s="125"/>
      <c r="F36" s="126">
        <v>2</v>
      </c>
      <c r="G36" s="126">
        <v>191.32</v>
      </c>
      <c r="H36" s="127">
        <f t="shared" ref="H36:H37" si="3">SUM(F36*G36/1000)</f>
        <v>0.38263999999999998</v>
      </c>
      <c r="I36" s="14">
        <v>0</v>
      </c>
      <c r="J36" s="26"/>
      <c r="K36" s="8"/>
    </row>
    <row r="37" spans="1:14" ht="15.75" hidden="1" customHeight="1">
      <c r="A37" s="33">
        <v>8</v>
      </c>
      <c r="B37" s="124" t="s">
        <v>71</v>
      </c>
      <c r="C37" s="90" t="s">
        <v>33</v>
      </c>
      <c r="D37" s="124" t="s">
        <v>72</v>
      </c>
      <c r="E37" s="125"/>
      <c r="F37" s="126">
        <v>3</v>
      </c>
      <c r="G37" s="126">
        <v>1136.32</v>
      </c>
      <c r="H37" s="127">
        <f t="shared" si="3"/>
        <v>3.40896</v>
      </c>
      <c r="I37" s="14">
        <v>0</v>
      </c>
      <c r="J37" s="27"/>
    </row>
    <row r="38" spans="1:14" ht="15.75" customHeight="1">
      <c r="A38" s="52"/>
      <c r="B38" s="60" t="s">
        <v>5</v>
      </c>
      <c r="C38" s="60"/>
      <c r="D38" s="60"/>
      <c r="E38" s="60"/>
      <c r="F38" s="14"/>
      <c r="G38" s="15"/>
      <c r="H38" s="15"/>
      <c r="I38" s="21"/>
      <c r="J38" s="27"/>
    </row>
    <row r="39" spans="1:14" ht="15.75" customHeight="1">
      <c r="A39" s="38">
        <v>10</v>
      </c>
      <c r="B39" s="124" t="s">
        <v>27</v>
      </c>
      <c r="C39" s="90" t="s">
        <v>33</v>
      </c>
      <c r="D39" s="124"/>
      <c r="E39" s="125"/>
      <c r="F39" s="126">
        <v>15</v>
      </c>
      <c r="G39" s="126">
        <v>1527.22</v>
      </c>
      <c r="H39" s="127">
        <f>SUM(F39*G39/1000)</f>
        <v>22.908300000000001</v>
      </c>
      <c r="I39" s="14">
        <f t="shared" ref="I39:I44" si="4">F39/6*G39</f>
        <v>3818.05</v>
      </c>
      <c r="J39" s="27"/>
    </row>
    <row r="40" spans="1:14" ht="15.75" customHeight="1">
      <c r="A40" s="38">
        <v>11</v>
      </c>
      <c r="B40" s="124" t="s">
        <v>73</v>
      </c>
      <c r="C40" s="90" t="s">
        <v>30</v>
      </c>
      <c r="D40" s="124" t="s">
        <v>130</v>
      </c>
      <c r="E40" s="126">
        <v>547.85</v>
      </c>
      <c r="F40" s="126">
        <f>SUM(E40*50/1000)</f>
        <v>27.392499999999998</v>
      </c>
      <c r="G40" s="126">
        <v>2102.71</v>
      </c>
      <c r="H40" s="127">
        <f t="shared" ref="H40:H44" si="5">SUM(F40*G40/1000)</f>
        <v>57.598483674999997</v>
      </c>
      <c r="I40" s="14">
        <f t="shared" si="4"/>
        <v>9599.747279166666</v>
      </c>
      <c r="J40" s="27"/>
    </row>
    <row r="41" spans="1:14" ht="15.75" customHeight="1">
      <c r="A41" s="38">
        <v>12</v>
      </c>
      <c r="B41" s="124" t="s">
        <v>74</v>
      </c>
      <c r="C41" s="90" t="s">
        <v>30</v>
      </c>
      <c r="D41" s="124" t="s">
        <v>131</v>
      </c>
      <c r="E41" s="126">
        <v>140</v>
      </c>
      <c r="F41" s="126">
        <f>SUM(E41*155/1000)</f>
        <v>21.7</v>
      </c>
      <c r="G41" s="126">
        <v>350.75</v>
      </c>
      <c r="H41" s="127">
        <f t="shared" si="5"/>
        <v>7.611275</v>
      </c>
      <c r="I41" s="14">
        <f t="shared" si="4"/>
        <v>1268.5458333333333</v>
      </c>
      <c r="J41" s="27"/>
    </row>
    <row r="42" spans="1:14" ht="31.5" customHeight="1">
      <c r="A42" s="38">
        <v>13</v>
      </c>
      <c r="B42" s="124" t="s">
        <v>88</v>
      </c>
      <c r="C42" s="90" t="s">
        <v>127</v>
      </c>
      <c r="D42" s="124" t="s">
        <v>150</v>
      </c>
      <c r="E42" s="126">
        <v>140</v>
      </c>
      <c r="F42" s="126">
        <f>SUM(E42*12/1000)</f>
        <v>1.68</v>
      </c>
      <c r="G42" s="126">
        <v>5803.28</v>
      </c>
      <c r="H42" s="127">
        <f t="shared" si="5"/>
        <v>9.7495103999999984</v>
      </c>
      <c r="I42" s="14">
        <f t="shared" si="4"/>
        <v>1624.9183999999998</v>
      </c>
      <c r="J42" s="27"/>
    </row>
    <row r="43" spans="1:14" ht="15.75" hidden="1" customHeight="1">
      <c r="A43" s="38">
        <v>14</v>
      </c>
      <c r="B43" s="124" t="s">
        <v>132</v>
      </c>
      <c r="C43" s="90" t="s">
        <v>127</v>
      </c>
      <c r="D43" s="124" t="s">
        <v>75</v>
      </c>
      <c r="E43" s="126">
        <v>140</v>
      </c>
      <c r="F43" s="126">
        <f>SUM(E43*45/1000)</f>
        <v>6.3</v>
      </c>
      <c r="G43" s="126">
        <v>428.7</v>
      </c>
      <c r="H43" s="127">
        <f t="shared" si="5"/>
        <v>2.7008100000000002</v>
      </c>
      <c r="I43" s="14">
        <f t="shared" si="4"/>
        <v>450.13499999999999</v>
      </c>
      <c r="J43" s="27"/>
    </row>
    <row r="44" spans="1:14" ht="15.75" customHeight="1">
      <c r="A44" s="38">
        <v>14</v>
      </c>
      <c r="B44" s="124" t="s">
        <v>76</v>
      </c>
      <c r="C44" s="90" t="s">
        <v>34</v>
      </c>
      <c r="D44" s="124"/>
      <c r="E44" s="125"/>
      <c r="F44" s="126">
        <v>0.9</v>
      </c>
      <c r="G44" s="126">
        <v>798</v>
      </c>
      <c r="H44" s="127">
        <f t="shared" si="5"/>
        <v>0.71820000000000006</v>
      </c>
      <c r="I44" s="14">
        <f t="shared" si="4"/>
        <v>119.69999999999999</v>
      </c>
      <c r="J44" s="27"/>
      <c r="L44" s="23"/>
      <c r="M44" s="24"/>
      <c r="N44" s="25"/>
    </row>
    <row r="45" spans="1:14" ht="15.75" customHeight="1">
      <c r="A45" s="187" t="s">
        <v>176</v>
      </c>
      <c r="B45" s="188"/>
      <c r="C45" s="188"/>
      <c r="D45" s="188"/>
      <c r="E45" s="188"/>
      <c r="F45" s="188"/>
      <c r="G45" s="188"/>
      <c r="H45" s="188"/>
      <c r="I45" s="189"/>
      <c r="J45" s="27"/>
      <c r="L45" s="23"/>
      <c r="M45" s="24"/>
      <c r="N45" s="25"/>
    </row>
    <row r="46" spans="1:14" ht="15.75" hidden="1" customHeight="1">
      <c r="A46" s="52">
        <v>14</v>
      </c>
      <c r="B46" s="124" t="s">
        <v>133</v>
      </c>
      <c r="C46" s="90" t="s">
        <v>127</v>
      </c>
      <c r="D46" s="124" t="s">
        <v>42</v>
      </c>
      <c r="E46" s="125">
        <v>1640.4</v>
      </c>
      <c r="F46" s="126">
        <f>SUM(E46*2/1000)</f>
        <v>3.2808000000000002</v>
      </c>
      <c r="G46" s="14">
        <v>849.49</v>
      </c>
      <c r="H46" s="127">
        <f t="shared" ref="H46:H54" si="6">SUM(F46*G46/1000)</f>
        <v>2.7870067920000001</v>
      </c>
      <c r="I46" s="14">
        <f t="shared" ref="I46:I48" si="7">F46/2*G46</f>
        <v>1393.5033960000001</v>
      </c>
      <c r="J46" s="27"/>
      <c r="L46" s="23"/>
      <c r="M46" s="24"/>
      <c r="N46" s="25"/>
    </row>
    <row r="47" spans="1:14" ht="15.75" hidden="1" customHeight="1">
      <c r="A47" s="52">
        <v>15</v>
      </c>
      <c r="B47" s="124" t="s">
        <v>35</v>
      </c>
      <c r="C47" s="90" t="s">
        <v>127</v>
      </c>
      <c r="D47" s="124" t="s">
        <v>42</v>
      </c>
      <c r="E47" s="125">
        <v>918.25</v>
      </c>
      <c r="F47" s="126">
        <f>SUM(E47*2/1000)</f>
        <v>1.8365</v>
      </c>
      <c r="G47" s="14">
        <v>579.48</v>
      </c>
      <c r="H47" s="127">
        <f t="shared" si="6"/>
        <v>1.06421502</v>
      </c>
      <c r="I47" s="14">
        <f t="shared" si="7"/>
        <v>532.10751000000005</v>
      </c>
      <c r="J47" s="27"/>
      <c r="L47" s="23"/>
      <c r="M47" s="24"/>
      <c r="N47" s="25"/>
    </row>
    <row r="48" spans="1:14" ht="15.75" hidden="1" customHeight="1">
      <c r="A48" s="52">
        <v>16</v>
      </c>
      <c r="B48" s="124" t="s">
        <v>36</v>
      </c>
      <c r="C48" s="90" t="s">
        <v>127</v>
      </c>
      <c r="D48" s="124" t="s">
        <v>42</v>
      </c>
      <c r="E48" s="125">
        <v>5592.26</v>
      </c>
      <c r="F48" s="126">
        <f>SUM(E48*2/1000)</f>
        <v>11.184520000000001</v>
      </c>
      <c r="G48" s="14">
        <v>579.48</v>
      </c>
      <c r="H48" s="127">
        <f t="shared" si="6"/>
        <v>6.4812056496000006</v>
      </c>
      <c r="I48" s="14">
        <f t="shared" si="7"/>
        <v>3240.6028248000002</v>
      </c>
      <c r="J48" s="27"/>
      <c r="L48" s="23"/>
      <c r="M48" s="24"/>
      <c r="N48" s="25"/>
    </row>
    <row r="49" spans="1:14" ht="15.75" hidden="1" customHeight="1">
      <c r="A49" s="52">
        <v>17</v>
      </c>
      <c r="B49" s="124" t="s">
        <v>37</v>
      </c>
      <c r="C49" s="90" t="s">
        <v>127</v>
      </c>
      <c r="D49" s="124" t="s">
        <v>42</v>
      </c>
      <c r="E49" s="125">
        <v>2817.65</v>
      </c>
      <c r="F49" s="126">
        <f>SUM(E49*2/1000)</f>
        <v>5.6353</v>
      </c>
      <c r="G49" s="14">
        <v>606.77</v>
      </c>
      <c r="H49" s="127">
        <f t="shared" si="6"/>
        <v>3.4193309809999999</v>
      </c>
      <c r="I49" s="14">
        <f>F49/2*G49</f>
        <v>1709.6654905</v>
      </c>
      <c r="J49" s="27"/>
      <c r="L49" s="23"/>
      <c r="M49" s="24"/>
      <c r="N49" s="25"/>
    </row>
    <row r="50" spans="1:14" ht="15.75" customHeight="1">
      <c r="A50" s="52">
        <v>15</v>
      </c>
      <c r="B50" s="124" t="s">
        <v>58</v>
      </c>
      <c r="C50" s="90" t="s">
        <v>127</v>
      </c>
      <c r="D50" s="124" t="s">
        <v>152</v>
      </c>
      <c r="E50" s="125">
        <v>3280.8</v>
      </c>
      <c r="F50" s="126">
        <f>SUM(E50*5/1000)</f>
        <v>16.404</v>
      </c>
      <c r="G50" s="14">
        <v>1213.55</v>
      </c>
      <c r="H50" s="127">
        <f t="shared" si="6"/>
        <v>19.9070742</v>
      </c>
      <c r="I50" s="14">
        <f>F50/5*G50</f>
        <v>3981.4148399999999</v>
      </c>
      <c r="J50" s="27"/>
      <c r="L50" s="23"/>
      <c r="M50" s="24"/>
      <c r="N50" s="25"/>
    </row>
    <row r="51" spans="1:14" ht="31.5" hidden="1" customHeight="1">
      <c r="A51" s="52">
        <v>14</v>
      </c>
      <c r="B51" s="124" t="s">
        <v>134</v>
      </c>
      <c r="C51" s="90" t="s">
        <v>127</v>
      </c>
      <c r="D51" s="124" t="s">
        <v>42</v>
      </c>
      <c r="E51" s="125">
        <v>3280.8</v>
      </c>
      <c r="F51" s="126">
        <f>SUM(E51*2/1000)</f>
        <v>6.5616000000000003</v>
      </c>
      <c r="G51" s="14">
        <v>1213.55</v>
      </c>
      <c r="H51" s="127">
        <f t="shared" si="6"/>
        <v>7.9628296799999996</v>
      </c>
      <c r="I51" s="14">
        <f>F51/2*G51</f>
        <v>3981.4148399999999</v>
      </c>
      <c r="J51" s="27"/>
      <c r="L51" s="23"/>
      <c r="M51" s="24"/>
      <c r="N51" s="25"/>
    </row>
    <row r="52" spans="1:14" ht="31.5" hidden="1" customHeight="1">
      <c r="A52" s="52">
        <v>15</v>
      </c>
      <c r="B52" s="124" t="s">
        <v>151</v>
      </c>
      <c r="C52" s="90" t="s">
        <v>38</v>
      </c>
      <c r="D52" s="124" t="s">
        <v>42</v>
      </c>
      <c r="E52" s="125">
        <v>40</v>
      </c>
      <c r="F52" s="126">
        <f>SUM(E52*2/100)</f>
        <v>0.8</v>
      </c>
      <c r="G52" s="14">
        <v>2730.49</v>
      </c>
      <c r="H52" s="127">
        <f t="shared" si="6"/>
        <v>2.1843919999999999</v>
      </c>
      <c r="I52" s="14">
        <f>F52/2*G52</f>
        <v>1092.1959999999999</v>
      </c>
      <c r="J52" s="27"/>
      <c r="L52" s="23"/>
      <c r="M52" s="24"/>
      <c r="N52" s="25"/>
    </row>
    <row r="53" spans="1:14" ht="15.75" hidden="1" customHeight="1">
      <c r="A53" s="52">
        <v>16</v>
      </c>
      <c r="B53" s="124" t="s">
        <v>39</v>
      </c>
      <c r="C53" s="90" t="s">
        <v>40</v>
      </c>
      <c r="D53" s="124" t="s">
        <v>42</v>
      </c>
      <c r="E53" s="125">
        <v>1</v>
      </c>
      <c r="F53" s="126">
        <v>0.02</v>
      </c>
      <c r="G53" s="14">
        <v>5652.13</v>
      </c>
      <c r="H53" s="127">
        <f t="shared" si="6"/>
        <v>0.11304260000000001</v>
      </c>
      <c r="I53" s="14">
        <f>F53/2*G53</f>
        <v>56.521300000000004</v>
      </c>
      <c r="J53" s="27"/>
      <c r="L53" s="23"/>
      <c r="M53" s="24"/>
      <c r="N53" s="25"/>
    </row>
    <row r="54" spans="1:14" ht="15.75" hidden="1" customHeight="1">
      <c r="A54" s="52">
        <v>17</v>
      </c>
      <c r="B54" s="124" t="s">
        <v>41</v>
      </c>
      <c r="C54" s="90" t="s">
        <v>135</v>
      </c>
      <c r="D54" s="124" t="s">
        <v>77</v>
      </c>
      <c r="E54" s="125">
        <v>238</v>
      </c>
      <c r="F54" s="126">
        <f>SUM(E54)*3</f>
        <v>714</v>
      </c>
      <c r="G54" s="14">
        <v>65.67</v>
      </c>
      <c r="H54" s="127">
        <f t="shared" si="6"/>
        <v>46.888380000000005</v>
      </c>
      <c r="I54" s="14">
        <f>E54*G54</f>
        <v>15629.460000000001</v>
      </c>
      <c r="J54" s="27"/>
      <c r="L54" s="23"/>
      <c r="M54" s="24"/>
      <c r="N54" s="25"/>
    </row>
    <row r="55" spans="1:14" ht="15.75" customHeight="1">
      <c r="A55" s="187" t="s">
        <v>177</v>
      </c>
      <c r="B55" s="188"/>
      <c r="C55" s="188"/>
      <c r="D55" s="188"/>
      <c r="E55" s="188"/>
      <c r="F55" s="188"/>
      <c r="G55" s="188"/>
      <c r="H55" s="188"/>
      <c r="I55" s="189"/>
      <c r="J55" s="27"/>
      <c r="L55" s="23"/>
      <c r="M55" s="24"/>
      <c r="N55" s="25"/>
    </row>
    <row r="56" spans="1:14" ht="15.75" customHeight="1">
      <c r="A56" s="163"/>
      <c r="B56" s="59" t="s">
        <v>43</v>
      </c>
      <c r="C56" s="18"/>
      <c r="D56" s="17"/>
      <c r="E56" s="17"/>
      <c r="F56" s="17"/>
      <c r="G56" s="33"/>
      <c r="H56" s="33"/>
      <c r="I56" s="21"/>
      <c r="J56" s="27"/>
      <c r="L56" s="23"/>
      <c r="M56" s="24"/>
      <c r="N56" s="25"/>
    </row>
    <row r="57" spans="1:14" ht="15.75" hidden="1" customHeight="1">
      <c r="A57" s="52">
        <v>15</v>
      </c>
      <c r="B57" s="124" t="s">
        <v>153</v>
      </c>
      <c r="C57" s="90" t="s">
        <v>117</v>
      </c>
      <c r="D57" s="124" t="s">
        <v>55</v>
      </c>
      <c r="E57" s="133">
        <v>1640.4</v>
      </c>
      <c r="F57" s="14">
        <f>E57/100</f>
        <v>16.404</v>
      </c>
      <c r="G57" s="126">
        <v>472.59</v>
      </c>
      <c r="H57" s="127">
        <f>SUM(F57*G57/1000)</f>
        <v>7.7523663599999999</v>
      </c>
      <c r="I57" s="14">
        <v>0</v>
      </c>
      <c r="J57" s="27"/>
      <c r="L57" s="23"/>
      <c r="M57" s="24"/>
      <c r="N57" s="25"/>
    </row>
    <row r="58" spans="1:14" ht="31.5" customHeight="1">
      <c r="A58" s="52">
        <v>16</v>
      </c>
      <c r="B58" s="124" t="s">
        <v>154</v>
      </c>
      <c r="C58" s="90" t="s">
        <v>117</v>
      </c>
      <c r="D58" s="124" t="s">
        <v>155</v>
      </c>
      <c r="E58" s="125">
        <v>164.04</v>
      </c>
      <c r="F58" s="14">
        <f>E58*6/100</f>
        <v>9.8423999999999996</v>
      </c>
      <c r="G58" s="134">
        <v>1547.28</v>
      </c>
      <c r="H58" s="127">
        <f>F58*G58/1000</f>
        <v>15.228948671999998</v>
      </c>
      <c r="I58" s="14">
        <f>F58/6*G58</f>
        <v>2538.1581119999996</v>
      </c>
      <c r="J58" s="27"/>
      <c r="L58" s="23"/>
      <c r="M58" s="24"/>
      <c r="N58" s="25"/>
    </row>
    <row r="59" spans="1:14" ht="15.75" customHeight="1">
      <c r="A59" s="52">
        <v>17</v>
      </c>
      <c r="B59" s="135" t="s">
        <v>104</v>
      </c>
      <c r="C59" s="136" t="s">
        <v>117</v>
      </c>
      <c r="D59" s="135" t="s">
        <v>156</v>
      </c>
      <c r="E59" s="137">
        <v>8</v>
      </c>
      <c r="F59" s="138">
        <f>E59*8/100</f>
        <v>0.64</v>
      </c>
      <c r="G59" s="134">
        <v>1547.28</v>
      </c>
      <c r="H59" s="139">
        <f>F59*G59/1000</f>
        <v>0.99025920000000001</v>
      </c>
      <c r="I59" s="14">
        <f>F59/6*G59</f>
        <v>165.04320000000001</v>
      </c>
      <c r="J59" s="27"/>
      <c r="L59" s="23"/>
      <c r="M59" s="24"/>
      <c r="N59" s="25"/>
    </row>
    <row r="60" spans="1:14" ht="15.75" hidden="1" customHeight="1">
      <c r="A60" s="52"/>
      <c r="B60" s="135" t="s">
        <v>109</v>
      </c>
      <c r="C60" s="136" t="s">
        <v>110</v>
      </c>
      <c r="D60" s="135" t="s">
        <v>42</v>
      </c>
      <c r="E60" s="137">
        <v>8</v>
      </c>
      <c r="F60" s="138">
        <v>16</v>
      </c>
      <c r="G60" s="140">
        <v>180.78</v>
      </c>
      <c r="H60" s="139">
        <f>F60*G60/1000</f>
        <v>2.8924799999999999</v>
      </c>
      <c r="I60" s="14">
        <v>0</v>
      </c>
      <c r="J60" s="27"/>
      <c r="L60" s="23"/>
      <c r="M60" s="24"/>
      <c r="N60" s="25"/>
    </row>
    <row r="61" spans="1:14" ht="15.75" customHeight="1">
      <c r="A61" s="52"/>
      <c r="B61" s="161" t="s">
        <v>44</v>
      </c>
      <c r="C61" s="161"/>
      <c r="D61" s="161"/>
      <c r="E61" s="161"/>
      <c r="F61" s="161"/>
      <c r="G61" s="161"/>
      <c r="H61" s="161"/>
      <c r="I61" s="42"/>
      <c r="J61" s="27"/>
      <c r="L61" s="23"/>
      <c r="M61" s="24"/>
      <c r="N61" s="25"/>
    </row>
    <row r="62" spans="1:14" ht="15.75" customHeight="1">
      <c r="A62" s="52">
        <v>18</v>
      </c>
      <c r="B62" s="135" t="s">
        <v>105</v>
      </c>
      <c r="C62" s="136" t="s">
        <v>26</v>
      </c>
      <c r="D62" s="135" t="s">
        <v>157</v>
      </c>
      <c r="E62" s="137">
        <v>329.4</v>
      </c>
      <c r="F62" s="138">
        <f>E62*12</f>
        <v>3952.7999999999997</v>
      </c>
      <c r="G62" s="141">
        <v>2.5960000000000001</v>
      </c>
      <c r="H62" s="139">
        <f>G62*F62</f>
        <v>10261.468799999999</v>
      </c>
      <c r="I62" s="14">
        <f>F62/12*G62</f>
        <v>855.12239999999997</v>
      </c>
      <c r="J62" s="27"/>
      <c r="L62" s="23"/>
      <c r="M62" s="24"/>
      <c r="N62" s="25"/>
    </row>
    <row r="63" spans="1:14" ht="15.75" hidden="1" customHeight="1">
      <c r="A63" s="52"/>
      <c r="B63" s="135" t="s">
        <v>45</v>
      </c>
      <c r="C63" s="136" t="s">
        <v>26</v>
      </c>
      <c r="D63" s="135" t="s">
        <v>55</v>
      </c>
      <c r="E63" s="137">
        <v>1640.4</v>
      </c>
      <c r="F63" s="138">
        <v>16.404</v>
      </c>
      <c r="G63" s="142">
        <v>739.61</v>
      </c>
      <c r="H63" s="139">
        <f>G63*F63/1000</f>
        <v>12.132562439999999</v>
      </c>
      <c r="I63" s="14">
        <v>0</v>
      </c>
      <c r="J63" s="27"/>
      <c r="L63" s="23"/>
      <c r="M63" s="24"/>
      <c r="N63" s="25"/>
    </row>
    <row r="64" spans="1:14" ht="15.75" customHeight="1">
      <c r="A64" s="52"/>
      <c r="B64" s="161" t="s">
        <v>46</v>
      </c>
      <c r="C64" s="18"/>
      <c r="D64" s="46"/>
      <c r="E64" s="46"/>
      <c r="F64" s="17"/>
      <c r="G64" s="33"/>
      <c r="H64" s="33"/>
      <c r="I64" s="21"/>
      <c r="J64" s="27"/>
      <c r="L64" s="23"/>
      <c r="M64" s="24"/>
      <c r="N64" s="25"/>
    </row>
    <row r="65" spans="1:22" ht="15.75" customHeight="1">
      <c r="A65" s="52">
        <v>19</v>
      </c>
      <c r="B65" s="16" t="s">
        <v>47</v>
      </c>
      <c r="C65" s="18" t="s">
        <v>135</v>
      </c>
      <c r="D65" s="16" t="s">
        <v>72</v>
      </c>
      <c r="E65" s="21">
        <v>40</v>
      </c>
      <c r="F65" s="126">
        <v>40</v>
      </c>
      <c r="G65" s="14">
        <v>222.4</v>
      </c>
      <c r="H65" s="109">
        <f t="shared" ref="H65:H72" si="8">SUM(F65*G65/1000)</f>
        <v>8.8960000000000008</v>
      </c>
      <c r="I65" s="14">
        <f>G65*2</f>
        <v>444.8</v>
      </c>
      <c r="J65" s="27"/>
      <c r="L65" s="23"/>
      <c r="M65" s="24"/>
      <c r="N65" s="25"/>
    </row>
    <row r="66" spans="1:22" ht="15.75" hidden="1" customHeight="1">
      <c r="A66" s="33">
        <v>29</v>
      </c>
      <c r="B66" s="16" t="s">
        <v>48</v>
      </c>
      <c r="C66" s="18" t="s">
        <v>135</v>
      </c>
      <c r="D66" s="16" t="s">
        <v>72</v>
      </c>
      <c r="E66" s="21">
        <v>15</v>
      </c>
      <c r="F66" s="126">
        <v>15</v>
      </c>
      <c r="G66" s="14">
        <v>76.25</v>
      </c>
      <c r="H66" s="109">
        <f t="shared" si="8"/>
        <v>1.14375</v>
      </c>
      <c r="I66" s="14">
        <v>0</v>
      </c>
      <c r="J66" s="27"/>
      <c r="L66" s="23"/>
      <c r="M66" s="24"/>
      <c r="N66" s="25"/>
    </row>
    <row r="67" spans="1:22" ht="15.75" hidden="1" customHeight="1">
      <c r="A67" s="33">
        <v>26</v>
      </c>
      <c r="B67" s="16" t="s">
        <v>49</v>
      </c>
      <c r="C67" s="18" t="s">
        <v>136</v>
      </c>
      <c r="D67" s="16" t="s">
        <v>55</v>
      </c>
      <c r="E67" s="125">
        <v>24648</v>
      </c>
      <c r="F67" s="14">
        <f>SUM(E67/100)</f>
        <v>246.48</v>
      </c>
      <c r="G67" s="14">
        <v>212.15</v>
      </c>
      <c r="H67" s="109">
        <f t="shared" si="8"/>
        <v>52.290731999999998</v>
      </c>
      <c r="I67" s="14">
        <f>F67*G67</f>
        <v>52290.731999999996</v>
      </c>
      <c r="J67" s="27"/>
      <c r="L67" s="23"/>
      <c r="M67" s="24"/>
      <c r="N67" s="25"/>
    </row>
    <row r="68" spans="1:22" ht="15.75" hidden="1" customHeight="1">
      <c r="A68" s="33">
        <v>27</v>
      </c>
      <c r="B68" s="16" t="s">
        <v>50</v>
      </c>
      <c r="C68" s="18" t="s">
        <v>137</v>
      </c>
      <c r="D68" s="16"/>
      <c r="E68" s="125">
        <v>24648</v>
      </c>
      <c r="F68" s="14">
        <f>SUM(E68/1000)</f>
        <v>24.648</v>
      </c>
      <c r="G68" s="14">
        <v>165.21</v>
      </c>
      <c r="H68" s="109">
        <f t="shared" si="8"/>
        <v>4.0720960800000006</v>
      </c>
      <c r="I68" s="14">
        <f t="shared" ref="I68:I71" si="9">F68*G68</f>
        <v>4072.0960800000003</v>
      </c>
      <c r="J68" s="27"/>
      <c r="L68" s="23"/>
      <c r="M68" s="24"/>
      <c r="N68" s="25"/>
    </row>
    <row r="69" spans="1:22" ht="15.75" hidden="1" customHeight="1">
      <c r="A69" s="33">
        <v>28</v>
      </c>
      <c r="B69" s="16" t="s">
        <v>51</v>
      </c>
      <c r="C69" s="18" t="s">
        <v>81</v>
      </c>
      <c r="D69" s="16" t="s">
        <v>55</v>
      </c>
      <c r="E69" s="125">
        <v>2730</v>
      </c>
      <c r="F69" s="14">
        <f>SUM(E69/100)</f>
        <v>27.3</v>
      </c>
      <c r="G69" s="14">
        <v>2074.63</v>
      </c>
      <c r="H69" s="109">
        <f t="shared" si="8"/>
        <v>56.637399000000002</v>
      </c>
      <c r="I69" s="14">
        <f t="shared" si="9"/>
        <v>56637.399000000005</v>
      </c>
      <c r="J69" s="27"/>
      <c r="L69" s="23"/>
    </row>
    <row r="70" spans="1:22" ht="15.75" hidden="1" customHeight="1">
      <c r="A70" s="33">
        <v>29</v>
      </c>
      <c r="B70" s="145" t="s">
        <v>138</v>
      </c>
      <c r="C70" s="18" t="s">
        <v>34</v>
      </c>
      <c r="D70" s="16"/>
      <c r="E70" s="125">
        <v>20.28</v>
      </c>
      <c r="F70" s="14">
        <f>SUM(E70)</f>
        <v>20.28</v>
      </c>
      <c r="G70" s="14">
        <v>45.32</v>
      </c>
      <c r="H70" s="109">
        <f t="shared" si="8"/>
        <v>0.91908960000000006</v>
      </c>
      <c r="I70" s="14">
        <f t="shared" si="9"/>
        <v>919.08960000000002</v>
      </c>
    </row>
    <row r="71" spans="1:22" ht="15.75" hidden="1" customHeight="1">
      <c r="A71" s="33">
        <v>30</v>
      </c>
      <c r="B71" s="145" t="s">
        <v>181</v>
      </c>
      <c r="C71" s="18" t="s">
        <v>34</v>
      </c>
      <c r="D71" s="16"/>
      <c r="E71" s="125">
        <v>20.28</v>
      </c>
      <c r="F71" s="14">
        <f>SUM(E71)</f>
        <v>20.28</v>
      </c>
      <c r="G71" s="14">
        <v>42.28</v>
      </c>
      <c r="H71" s="109">
        <f t="shared" si="8"/>
        <v>0.85743840000000016</v>
      </c>
      <c r="I71" s="14">
        <f t="shared" si="9"/>
        <v>857.43840000000012</v>
      </c>
    </row>
    <row r="72" spans="1:22" ht="15.75" hidden="1" customHeight="1">
      <c r="A72" s="33">
        <v>21</v>
      </c>
      <c r="B72" s="16" t="s">
        <v>59</v>
      </c>
      <c r="C72" s="18" t="s">
        <v>60</v>
      </c>
      <c r="D72" s="16" t="s">
        <v>55</v>
      </c>
      <c r="E72" s="21">
        <v>12</v>
      </c>
      <c r="F72" s="126">
        <f>SUM(E72)</f>
        <v>12</v>
      </c>
      <c r="G72" s="14">
        <v>49.88</v>
      </c>
      <c r="H72" s="109">
        <f t="shared" si="8"/>
        <v>0.59856000000000009</v>
      </c>
      <c r="I72" s="14">
        <f>G72*12</f>
        <v>598.56000000000006</v>
      </c>
    </row>
    <row r="73" spans="1:22" ht="15.75" hidden="1" customHeight="1">
      <c r="A73" s="163"/>
      <c r="B73" s="161" t="s">
        <v>140</v>
      </c>
      <c r="C73" s="161"/>
      <c r="D73" s="161"/>
      <c r="E73" s="161"/>
      <c r="F73" s="161"/>
      <c r="G73" s="161"/>
      <c r="H73" s="161"/>
      <c r="I73" s="21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9"/>
    </row>
    <row r="74" spans="1:22" ht="15.75" hidden="1" customHeight="1">
      <c r="A74" s="33">
        <v>16</v>
      </c>
      <c r="B74" s="124" t="s">
        <v>141</v>
      </c>
      <c r="C74" s="18"/>
      <c r="D74" s="16"/>
      <c r="E74" s="115"/>
      <c r="F74" s="14">
        <v>1</v>
      </c>
      <c r="G74" s="14">
        <v>27356</v>
      </c>
      <c r="H74" s="109">
        <f>G74*F74/1000</f>
        <v>27.356000000000002</v>
      </c>
      <c r="I74" s="14">
        <f>G74</f>
        <v>27356</v>
      </c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33"/>
      <c r="B75" s="60" t="s">
        <v>78</v>
      </c>
      <c r="C75" s="60"/>
      <c r="D75" s="60"/>
      <c r="E75" s="60"/>
      <c r="F75" s="21"/>
      <c r="G75" s="33"/>
      <c r="H75" s="33"/>
      <c r="I75" s="21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33"/>
      <c r="B76" s="16" t="s">
        <v>97</v>
      </c>
      <c r="C76" s="18" t="s">
        <v>32</v>
      </c>
      <c r="D76" s="16"/>
      <c r="E76" s="21">
        <v>2</v>
      </c>
      <c r="F76" s="126">
        <f>SUM(E76)</f>
        <v>2</v>
      </c>
      <c r="G76" s="14">
        <v>358.51</v>
      </c>
      <c r="H76" s="109">
        <f>SUM(F76*G76/1000)</f>
        <v>0.71701999999999999</v>
      </c>
      <c r="I76" s="14">
        <v>0</v>
      </c>
      <c r="J76" s="5"/>
      <c r="K76" s="5"/>
      <c r="L76" s="5"/>
      <c r="M76" s="5"/>
      <c r="N76" s="5"/>
      <c r="O76" s="5"/>
      <c r="P76" s="5"/>
      <c r="Q76" s="5"/>
      <c r="R76" s="180"/>
      <c r="S76" s="180"/>
      <c r="T76" s="180"/>
      <c r="U76" s="180"/>
    </row>
    <row r="77" spans="1:22" ht="15.75" hidden="1" customHeight="1">
      <c r="A77" s="33"/>
      <c r="B77" s="16" t="s">
        <v>79</v>
      </c>
      <c r="C77" s="18" t="s">
        <v>32</v>
      </c>
      <c r="D77" s="16"/>
      <c r="E77" s="21">
        <v>1</v>
      </c>
      <c r="F77" s="14">
        <v>1</v>
      </c>
      <c r="G77" s="14">
        <v>852.99</v>
      </c>
      <c r="H77" s="109">
        <f>F77*G77/1000</f>
        <v>0.85299000000000003</v>
      </c>
      <c r="I77" s="14">
        <v>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2" ht="15.75" hidden="1" customHeight="1">
      <c r="A78" s="33"/>
      <c r="B78" s="61" t="s">
        <v>80</v>
      </c>
      <c r="C78" s="47"/>
      <c r="D78" s="33"/>
      <c r="E78" s="33"/>
      <c r="F78" s="21"/>
      <c r="G78" s="43" t="s">
        <v>158</v>
      </c>
      <c r="H78" s="43"/>
      <c r="I78" s="21"/>
    </row>
    <row r="79" spans="1:22" ht="15.75" hidden="1" customHeight="1">
      <c r="A79" s="33">
        <v>39</v>
      </c>
      <c r="B79" s="63" t="s">
        <v>142</v>
      </c>
      <c r="C79" s="18" t="s">
        <v>81</v>
      </c>
      <c r="D79" s="16"/>
      <c r="E79" s="21"/>
      <c r="F79" s="14">
        <v>1.35</v>
      </c>
      <c r="G79" s="14">
        <v>2759.44</v>
      </c>
      <c r="H79" s="109">
        <f>SUM(F79*G79/1000)</f>
        <v>3.725244</v>
      </c>
      <c r="I79" s="14">
        <v>0</v>
      </c>
    </row>
    <row r="80" spans="1:22" ht="15.75" customHeight="1">
      <c r="A80" s="171" t="s">
        <v>178</v>
      </c>
      <c r="B80" s="172"/>
      <c r="C80" s="172"/>
      <c r="D80" s="172"/>
      <c r="E80" s="172"/>
      <c r="F80" s="172"/>
      <c r="G80" s="172"/>
      <c r="H80" s="172"/>
      <c r="I80" s="173"/>
    </row>
    <row r="81" spans="1:9" ht="15.75" customHeight="1">
      <c r="A81" s="33">
        <v>20</v>
      </c>
      <c r="B81" s="124" t="s">
        <v>143</v>
      </c>
      <c r="C81" s="18" t="s">
        <v>56</v>
      </c>
      <c r="D81" s="147" t="s">
        <v>57</v>
      </c>
      <c r="E81" s="14">
        <v>5926.8</v>
      </c>
      <c r="F81" s="14">
        <f>SUM(E81*12)</f>
        <v>71121.600000000006</v>
      </c>
      <c r="G81" s="14">
        <v>2.1</v>
      </c>
      <c r="H81" s="109">
        <f>SUM(F81*G81/1000)</f>
        <v>149.35536000000002</v>
      </c>
      <c r="I81" s="14">
        <f>F81/12*G81</f>
        <v>12446.28</v>
      </c>
    </row>
    <row r="82" spans="1:9" ht="31.5" customHeight="1">
      <c r="A82" s="33">
        <v>21</v>
      </c>
      <c r="B82" s="16" t="s">
        <v>82</v>
      </c>
      <c r="C82" s="18"/>
      <c r="D82" s="147" t="s">
        <v>57</v>
      </c>
      <c r="E82" s="125">
        <v>5926.8</v>
      </c>
      <c r="F82" s="14">
        <f>E82*12</f>
        <v>71121.600000000006</v>
      </c>
      <c r="G82" s="14">
        <v>1.63</v>
      </c>
      <c r="H82" s="109">
        <f>F82*G82/1000</f>
        <v>115.928208</v>
      </c>
      <c r="I82" s="14">
        <f>F82/12*G82</f>
        <v>9660.6839999999993</v>
      </c>
    </row>
    <row r="83" spans="1:9" ht="15.75" customHeight="1">
      <c r="A83" s="163"/>
      <c r="B83" s="50" t="s">
        <v>85</v>
      </c>
      <c r="C83" s="52"/>
      <c r="D83" s="17"/>
      <c r="E83" s="17"/>
      <c r="F83" s="17"/>
      <c r="G83" s="21"/>
      <c r="H83" s="21"/>
      <c r="I83" s="35">
        <f>SUM(I16+I17+I18+I20+I21+I24+I26+I27+I28+I39+I40+I41+I42+I44+I50+I58+I59+I62+I65+I81+I82)</f>
        <v>95580.619270499999</v>
      </c>
    </row>
    <row r="84" spans="1:9" ht="15.75" customHeight="1">
      <c r="A84" s="174" t="s">
        <v>63</v>
      </c>
      <c r="B84" s="175"/>
      <c r="C84" s="175"/>
      <c r="D84" s="175"/>
      <c r="E84" s="175"/>
      <c r="F84" s="175"/>
      <c r="G84" s="175"/>
      <c r="H84" s="175"/>
      <c r="I84" s="176"/>
    </row>
    <row r="85" spans="1:9" ht="31.5" customHeight="1">
      <c r="A85" s="33">
        <v>22</v>
      </c>
      <c r="B85" s="69" t="s">
        <v>161</v>
      </c>
      <c r="C85" s="84" t="s">
        <v>38</v>
      </c>
      <c r="D85" s="63"/>
      <c r="E85" s="14"/>
      <c r="F85" s="14">
        <v>7.0000000000000007E-2</v>
      </c>
      <c r="G85" s="14">
        <v>3581.13</v>
      </c>
      <c r="H85" s="109">
        <f t="shared" ref="H85:H91" si="10">G85*F85/1000</f>
        <v>0.25067910000000004</v>
      </c>
      <c r="I85" s="14">
        <f>G85*0.01</f>
        <v>35.811300000000003</v>
      </c>
    </row>
    <row r="86" spans="1:9" ht="15.75" customHeight="1">
      <c r="A86" s="33">
        <v>23</v>
      </c>
      <c r="B86" s="152" t="s">
        <v>111</v>
      </c>
      <c r="C86" s="153" t="s">
        <v>135</v>
      </c>
      <c r="D86" s="63"/>
      <c r="E86" s="43"/>
      <c r="F86" s="43">
        <v>1089</v>
      </c>
      <c r="G86" s="44">
        <v>53.42</v>
      </c>
      <c r="H86" s="146">
        <f t="shared" si="10"/>
        <v>58.174380000000006</v>
      </c>
      <c r="I86" s="164">
        <f>G86*121</f>
        <v>6463.8200000000006</v>
      </c>
    </row>
    <row r="87" spans="1:9" ht="15.75" customHeight="1">
      <c r="A87" s="33">
        <v>24</v>
      </c>
      <c r="B87" s="69" t="s">
        <v>185</v>
      </c>
      <c r="C87" s="84" t="s">
        <v>89</v>
      </c>
      <c r="D87" s="82"/>
      <c r="E87" s="43"/>
      <c r="F87" s="43">
        <v>7</v>
      </c>
      <c r="G87" s="43">
        <v>195.85</v>
      </c>
      <c r="H87" s="146">
        <f>G87*F87/1000</f>
        <v>1.3709500000000001</v>
      </c>
      <c r="I87" s="14">
        <f>G87</f>
        <v>195.85</v>
      </c>
    </row>
    <row r="88" spans="1:9" ht="15.75" customHeight="1">
      <c r="A88" s="33">
        <v>25</v>
      </c>
      <c r="B88" s="69" t="s">
        <v>87</v>
      </c>
      <c r="C88" s="84" t="s">
        <v>135</v>
      </c>
      <c r="D88" s="63"/>
      <c r="E88" s="43"/>
      <c r="F88" s="43">
        <v>9</v>
      </c>
      <c r="G88" s="44">
        <v>189.88</v>
      </c>
      <c r="H88" s="146">
        <f>G88*F88/1000</f>
        <v>1.70892</v>
      </c>
      <c r="I88" s="14">
        <f>G88*4</f>
        <v>759.52</v>
      </c>
    </row>
    <row r="89" spans="1:9" ht="15.75" customHeight="1">
      <c r="A89" s="33">
        <v>26</v>
      </c>
      <c r="B89" s="149" t="s">
        <v>190</v>
      </c>
      <c r="C89" s="150" t="s">
        <v>100</v>
      </c>
      <c r="D89" s="82"/>
      <c r="E89" s="43"/>
      <c r="F89" s="43">
        <f>110/3</f>
        <v>36.666666666666664</v>
      </c>
      <c r="G89" s="43">
        <v>1120.8900000000001</v>
      </c>
      <c r="H89" s="146">
        <f>G89*F89/1000</f>
        <v>41.099299999999999</v>
      </c>
      <c r="I89" s="14">
        <f>G89*(40/3)</f>
        <v>14945.200000000003</v>
      </c>
    </row>
    <row r="90" spans="1:9" ht="15.75" customHeight="1">
      <c r="A90" s="33">
        <v>27</v>
      </c>
      <c r="B90" s="37" t="s">
        <v>116</v>
      </c>
      <c r="C90" s="51" t="s">
        <v>135</v>
      </c>
      <c r="D90" s="82"/>
      <c r="E90" s="43"/>
      <c r="F90" s="36">
        <v>14</v>
      </c>
      <c r="G90" s="44">
        <v>86.15</v>
      </c>
      <c r="H90" s="146">
        <f>G90*F90/1000</f>
        <v>1.2061000000000002</v>
      </c>
      <c r="I90" s="14">
        <f>G90*12</f>
        <v>1033.8000000000002</v>
      </c>
    </row>
    <row r="91" spans="1:9" ht="31.5" customHeight="1">
      <c r="A91" s="33">
        <v>28</v>
      </c>
      <c r="B91" s="69" t="s">
        <v>164</v>
      </c>
      <c r="C91" s="84" t="s">
        <v>86</v>
      </c>
      <c r="D91" s="63"/>
      <c r="E91" s="14"/>
      <c r="F91" s="14">
        <v>44.5</v>
      </c>
      <c r="G91" s="14">
        <v>1272</v>
      </c>
      <c r="H91" s="109">
        <f t="shared" si="10"/>
        <v>56.603999999999999</v>
      </c>
      <c r="I91" s="14">
        <f>G91*0.5</f>
        <v>636</v>
      </c>
    </row>
    <row r="92" spans="1:9" ht="15.75" customHeight="1">
      <c r="A92" s="33"/>
      <c r="B92" s="57" t="s">
        <v>52</v>
      </c>
      <c r="C92" s="53"/>
      <c r="D92" s="67"/>
      <c r="E92" s="67"/>
      <c r="F92" s="53">
        <v>1</v>
      </c>
      <c r="G92" s="53"/>
      <c r="H92" s="53"/>
      <c r="I92" s="35">
        <f>SUM(I85:I91)</f>
        <v>24070.001300000004</v>
      </c>
    </row>
    <row r="93" spans="1:9" ht="15.75" customHeight="1">
      <c r="A93" s="33"/>
      <c r="B93" s="63" t="s">
        <v>83</v>
      </c>
      <c r="C93" s="17"/>
      <c r="D93" s="17"/>
      <c r="E93" s="17"/>
      <c r="F93" s="54"/>
      <c r="G93" s="55"/>
      <c r="H93" s="55"/>
      <c r="I93" s="20">
        <v>0</v>
      </c>
    </row>
    <row r="94" spans="1:9" ht="15.75" customHeight="1">
      <c r="A94" s="68"/>
      <c r="B94" s="58" t="s">
        <v>182</v>
      </c>
      <c r="C94" s="41"/>
      <c r="D94" s="41"/>
      <c r="E94" s="41"/>
      <c r="F94" s="41"/>
      <c r="G94" s="41"/>
      <c r="H94" s="41"/>
      <c r="I94" s="56">
        <f>I83+I92</f>
        <v>119650.6205705</v>
      </c>
    </row>
    <row r="95" spans="1:9" ht="15.75" customHeight="1">
      <c r="A95" s="190" t="s">
        <v>269</v>
      </c>
      <c r="B95" s="190"/>
      <c r="C95" s="190"/>
      <c r="D95" s="190"/>
      <c r="E95" s="190"/>
      <c r="F95" s="190"/>
      <c r="G95" s="190"/>
      <c r="H95" s="190"/>
      <c r="I95" s="190"/>
    </row>
    <row r="96" spans="1:9" ht="15.75" customHeight="1">
      <c r="A96" s="108"/>
      <c r="B96" s="182" t="s">
        <v>270</v>
      </c>
      <c r="C96" s="182"/>
      <c r="D96" s="182"/>
      <c r="E96" s="182"/>
      <c r="F96" s="182"/>
      <c r="G96" s="182"/>
      <c r="H96" s="123"/>
      <c r="I96" s="3"/>
    </row>
    <row r="97" spans="1:9" ht="15.75" customHeight="1">
      <c r="A97" s="159"/>
      <c r="B97" s="178" t="s">
        <v>6</v>
      </c>
      <c r="C97" s="178"/>
      <c r="D97" s="178"/>
      <c r="E97" s="178"/>
      <c r="F97" s="178"/>
      <c r="G97" s="178"/>
      <c r="H97" s="28"/>
      <c r="I97" s="5"/>
    </row>
    <row r="98" spans="1:9" ht="15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 customHeight="1">
      <c r="A99" s="183" t="s">
        <v>7</v>
      </c>
      <c r="B99" s="183"/>
      <c r="C99" s="183"/>
      <c r="D99" s="183"/>
      <c r="E99" s="183"/>
      <c r="F99" s="183"/>
      <c r="G99" s="183"/>
      <c r="H99" s="183"/>
      <c r="I99" s="183"/>
    </row>
    <row r="100" spans="1:9" ht="15.75" customHeight="1">
      <c r="A100" s="183" t="s">
        <v>8</v>
      </c>
      <c r="B100" s="183"/>
      <c r="C100" s="183"/>
      <c r="D100" s="183"/>
      <c r="E100" s="183"/>
      <c r="F100" s="183"/>
      <c r="G100" s="183"/>
      <c r="H100" s="183"/>
      <c r="I100" s="183"/>
    </row>
    <row r="101" spans="1:9" ht="15.75" customHeight="1">
      <c r="A101" s="184" t="s">
        <v>65</v>
      </c>
      <c r="B101" s="184"/>
      <c r="C101" s="184"/>
      <c r="D101" s="184"/>
      <c r="E101" s="184"/>
      <c r="F101" s="184"/>
      <c r="G101" s="184"/>
      <c r="H101" s="184"/>
      <c r="I101" s="184"/>
    </row>
    <row r="102" spans="1:9" ht="15.75" customHeight="1">
      <c r="A102" s="11"/>
    </row>
    <row r="103" spans="1:9" ht="15.75" customHeight="1">
      <c r="A103" s="185" t="s">
        <v>9</v>
      </c>
      <c r="B103" s="185"/>
      <c r="C103" s="185"/>
      <c r="D103" s="185"/>
      <c r="E103" s="185"/>
      <c r="F103" s="185"/>
      <c r="G103" s="185"/>
      <c r="H103" s="185"/>
      <c r="I103" s="185"/>
    </row>
    <row r="104" spans="1:9" ht="15.75" customHeight="1">
      <c r="A104" s="4"/>
    </row>
    <row r="105" spans="1:9" ht="15.75" customHeight="1">
      <c r="B105" s="160" t="s">
        <v>10</v>
      </c>
      <c r="C105" s="177" t="s">
        <v>99</v>
      </c>
      <c r="D105" s="177"/>
      <c r="E105" s="177"/>
      <c r="F105" s="177"/>
      <c r="I105" s="158"/>
    </row>
    <row r="106" spans="1:9" ht="15.75" customHeight="1">
      <c r="A106" s="159"/>
      <c r="C106" s="178" t="s">
        <v>11</v>
      </c>
      <c r="D106" s="178"/>
      <c r="E106" s="178"/>
      <c r="F106" s="178"/>
      <c r="I106" s="157" t="s">
        <v>12</v>
      </c>
    </row>
    <row r="107" spans="1:9" ht="15.75" customHeight="1">
      <c r="A107" s="29"/>
      <c r="C107" s="12"/>
      <c r="D107" s="12"/>
      <c r="E107" s="12"/>
      <c r="G107" s="12"/>
      <c r="H107" s="12"/>
    </row>
    <row r="108" spans="1:9" ht="15.75" customHeight="1">
      <c r="B108" s="160" t="s">
        <v>13</v>
      </c>
      <c r="C108" s="179"/>
      <c r="D108" s="179"/>
      <c r="E108" s="179"/>
      <c r="F108" s="179"/>
      <c r="I108" s="158"/>
    </row>
    <row r="109" spans="1:9" ht="15.75" customHeight="1">
      <c r="A109" s="159"/>
      <c r="C109" s="180" t="s">
        <v>11</v>
      </c>
      <c r="D109" s="180"/>
      <c r="E109" s="180"/>
      <c r="F109" s="180"/>
      <c r="I109" s="157" t="s">
        <v>12</v>
      </c>
    </row>
    <row r="110" spans="1:9" ht="15.75" customHeight="1">
      <c r="A110" s="4" t="s">
        <v>14</v>
      </c>
    </row>
    <row r="111" spans="1:9">
      <c r="A111" s="181" t="s">
        <v>15</v>
      </c>
      <c r="B111" s="181"/>
      <c r="C111" s="181"/>
      <c r="D111" s="181"/>
      <c r="E111" s="181"/>
      <c r="F111" s="181"/>
      <c r="G111" s="181"/>
      <c r="H111" s="181"/>
      <c r="I111" s="181"/>
    </row>
    <row r="112" spans="1:9" ht="45" customHeight="1">
      <c r="A112" s="170" t="s">
        <v>16</v>
      </c>
      <c r="B112" s="170"/>
      <c r="C112" s="170"/>
      <c r="D112" s="170"/>
      <c r="E112" s="170"/>
      <c r="F112" s="170"/>
      <c r="G112" s="170"/>
      <c r="H112" s="170"/>
      <c r="I112" s="170"/>
    </row>
    <row r="113" spans="1:9" ht="30" customHeight="1">
      <c r="A113" s="170" t="s">
        <v>17</v>
      </c>
      <c r="B113" s="170"/>
      <c r="C113" s="170"/>
      <c r="D113" s="170"/>
      <c r="E113" s="170"/>
      <c r="F113" s="170"/>
      <c r="G113" s="170"/>
      <c r="H113" s="170"/>
      <c r="I113" s="170"/>
    </row>
    <row r="114" spans="1:9" ht="30" customHeight="1">
      <c r="A114" s="170" t="s">
        <v>21</v>
      </c>
      <c r="B114" s="170"/>
      <c r="C114" s="170"/>
      <c r="D114" s="170"/>
      <c r="E114" s="170"/>
      <c r="F114" s="170"/>
      <c r="G114" s="170"/>
      <c r="H114" s="170"/>
      <c r="I114" s="170"/>
    </row>
    <row r="115" spans="1:9" ht="15" customHeight="1">
      <c r="A115" s="170" t="s">
        <v>20</v>
      </c>
      <c r="B115" s="170"/>
      <c r="C115" s="170"/>
      <c r="D115" s="170"/>
      <c r="E115" s="170"/>
      <c r="F115" s="170"/>
      <c r="G115" s="170"/>
      <c r="H115" s="170"/>
      <c r="I115" s="170"/>
    </row>
  </sheetData>
  <autoFilter ref="I12:I71"/>
  <mergeCells count="29">
    <mergeCell ref="A80:I80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5:I55"/>
    <mergeCell ref="R76:U76"/>
    <mergeCell ref="C109:F109"/>
    <mergeCell ref="A84:I84"/>
    <mergeCell ref="A95:I95"/>
    <mergeCell ref="B96:G96"/>
    <mergeCell ref="B97:G97"/>
    <mergeCell ref="A99:I99"/>
    <mergeCell ref="A100:I100"/>
    <mergeCell ref="A101:I101"/>
    <mergeCell ref="A103:I103"/>
    <mergeCell ref="C105:F105"/>
    <mergeCell ref="C106:F106"/>
    <mergeCell ref="C108:F108"/>
    <mergeCell ref="A111:I111"/>
    <mergeCell ref="A112:I112"/>
    <mergeCell ref="A113:I113"/>
    <mergeCell ref="A114:I114"/>
    <mergeCell ref="A115:I11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94</v>
      </c>
      <c r="I1" s="30"/>
      <c r="J1" s="1"/>
      <c r="K1" s="1"/>
      <c r="L1" s="1"/>
      <c r="M1" s="1"/>
    </row>
    <row r="2" spans="1:13" ht="15.75" customHeight="1">
      <c r="A2" s="32" t="s">
        <v>67</v>
      </c>
      <c r="J2" s="2"/>
      <c r="K2" s="2"/>
      <c r="L2" s="2"/>
      <c r="M2" s="2"/>
    </row>
    <row r="3" spans="1:13" ht="15.75" customHeight="1">
      <c r="A3" s="191" t="s">
        <v>183</v>
      </c>
      <c r="B3" s="191"/>
      <c r="C3" s="191"/>
      <c r="D3" s="191"/>
      <c r="E3" s="191"/>
      <c r="F3" s="191"/>
      <c r="G3" s="191"/>
      <c r="H3" s="191"/>
      <c r="I3" s="191"/>
      <c r="J3" s="3"/>
      <c r="K3" s="3"/>
      <c r="L3" s="3"/>
    </row>
    <row r="4" spans="1:13" ht="31.5" customHeight="1">
      <c r="A4" s="192" t="s">
        <v>144</v>
      </c>
      <c r="B4" s="192"/>
      <c r="C4" s="192"/>
      <c r="D4" s="192"/>
      <c r="E4" s="192"/>
      <c r="F4" s="192"/>
      <c r="G4" s="192"/>
      <c r="H4" s="192"/>
      <c r="I4" s="192"/>
    </row>
    <row r="5" spans="1:13" ht="15.75" customHeight="1">
      <c r="A5" s="191" t="s">
        <v>184</v>
      </c>
      <c r="B5" s="193"/>
      <c r="C5" s="193"/>
      <c r="D5" s="193"/>
      <c r="E5" s="193"/>
      <c r="F5" s="193"/>
      <c r="G5" s="193"/>
      <c r="H5" s="193"/>
      <c r="I5" s="193"/>
      <c r="J5" s="2"/>
      <c r="K5" s="2"/>
      <c r="L5" s="2"/>
      <c r="M5" s="2"/>
    </row>
    <row r="6" spans="1:13" ht="15.75" customHeight="1">
      <c r="A6" s="2"/>
      <c r="B6" s="106"/>
      <c r="C6" s="106"/>
      <c r="D6" s="106"/>
      <c r="E6" s="106"/>
      <c r="F6" s="106"/>
      <c r="G6" s="106"/>
      <c r="H6" s="106"/>
      <c r="I6" s="34">
        <v>42794</v>
      </c>
      <c r="J6" s="2"/>
      <c r="K6" s="2"/>
      <c r="L6" s="2"/>
      <c r="M6" s="2"/>
    </row>
    <row r="7" spans="1:13" ht="15.75" customHeight="1">
      <c r="B7" s="102"/>
      <c r="C7" s="102"/>
      <c r="D7" s="102"/>
      <c r="E7" s="102"/>
      <c r="F7" s="3"/>
      <c r="G7" s="3"/>
      <c r="H7" s="3"/>
      <c r="J7" s="3"/>
      <c r="K7" s="3"/>
      <c r="L7" s="3"/>
      <c r="M7" s="3"/>
    </row>
    <row r="8" spans="1:13" ht="78.75" customHeight="1">
      <c r="A8" s="194" t="s">
        <v>168</v>
      </c>
      <c r="B8" s="194"/>
      <c r="C8" s="194"/>
      <c r="D8" s="194"/>
      <c r="E8" s="194"/>
      <c r="F8" s="194"/>
      <c r="G8" s="194"/>
      <c r="H8" s="194"/>
      <c r="I8" s="19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5" t="s">
        <v>261</v>
      </c>
      <c r="B10" s="195"/>
      <c r="C10" s="195"/>
      <c r="D10" s="195"/>
      <c r="E10" s="195"/>
      <c r="F10" s="195"/>
      <c r="G10" s="195"/>
      <c r="H10" s="195"/>
      <c r="I10" s="19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6" t="s">
        <v>61</v>
      </c>
      <c r="B14" s="196"/>
      <c r="C14" s="196"/>
      <c r="D14" s="196"/>
      <c r="E14" s="196"/>
      <c r="F14" s="196"/>
      <c r="G14" s="196"/>
      <c r="H14" s="196"/>
      <c r="I14" s="196"/>
      <c r="J14" s="8"/>
      <c r="K14" s="8"/>
      <c r="L14" s="8"/>
      <c r="M14" s="8"/>
    </row>
    <row r="15" spans="1:13" ht="15.75" customHeight="1">
      <c r="A15" s="186" t="s">
        <v>4</v>
      </c>
      <c r="B15" s="186"/>
      <c r="C15" s="186"/>
      <c r="D15" s="186"/>
      <c r="E15" s="186"/>
      <c r="F15" s="186"/>
      <c r="G15" s="186"/>
      <c r="H15" s="186"/>
      <c r="I15" s="186"/>
      <c r="J15" s="8"/>
      <c r="K15" s="8"/>
      <c r="L15" s="8"/>
      <c r="M15" s="8"/>
    </row>
    <row r="16" spans="1:13" ht="15.75" customHeight="1">
      <c r="A16" s="33">
        <v>1</v>
      </c>
      <c r="B16" s="124" t="s">
        <v>95</v>
      </c>
      <c r="C16" s="90" t="s">
        <v>117</v>
      </c>
      <c r="D16" s="124" t="s">
        <v>118</v>
      </c>
      <c r="E16" s="125">
        <v>160.5</v>
      </c>
      <c r="F16" s="126">
        <f>SUM(E16*156/100)</f>
        <v>250.38</v>
      </c>
      <c r="G16" s="126">
        <v>175.38</v>
      </c>
      <c r="H16" s="127">
        <f t="shared" ref="H16:H28" si="0">SUM(F16*G16/1000)</f>
        <v>43.9116444</v>
      </c>
      <c r="I16" s="14">
        <f>F16/12*G16</f>
        <v>3659.3036999999995</v>
      </c>
      <c r="J16" s="8"/>
      <c r="K16" s="8"/>
      <c r="L16" s="8"/>
      <c r="M16" s="8"/>
    </row>
    <row r="17" spans="1:13" ht="15.75" customHeight="1">
      <c r="A17" s="33">
        <v>2</v>
      </c>
      <c r="B17" s="124" t="s">
        <v>102</v>
      </c>
      <c r="C17" s="90" t="s">
        <v>117</v>
      </c>
      <c r="D17" s="124" t="s">
        <v>119</v>
      </c>
      <c r="E17" s="125">
        <v>642</v>
      </c>
      <c r="F17" s="126">
        <f>SUM(E17*104/100)</f>
        <v>667.68</v>
      </c>
      <c r="G17" s="126">
        <v>175.38</v>
      </c>
      <c r="H17" s="127">
        <f t="shared" si="0"/>
        <v>117.09771839999998</v>
      </c>
      <c r="I17" s="14">
        <f>F17/12*G17</f>
        <v>9758.1431999999986</v>
      </c>
      <c r="J17" s="26"/>
      <c r="K17" s="8"/>
      <c r="L17" s="8"/>
      <c r="M17" s="8"/>
    </row>
    <row r="18" spans="1:13" ht="15.75" customHeight="1">
      <c r="A18" s="33">
        <v>3</v>
      </c>
      <c r="B18" s="124" t="s">
        <v>103</v>
      </c>
      <c r="C18" s="90" t="s">
        <v>117</v>
      </c>
      <c r="D18" s="124" t="s">
        <v>120</v>
      </c>
      <c r="E18" s="125">
        <f>SUM(E16+E17)</f>
        <v>802.5</v>
      </c>
      <c r="F18" s="126">
        <f>SUM(E18*24/100)</f>
        <v>192.6</v>
      </c>
      <c r="G18" s="126">
        <v>504.5</v>
      </c>
      <c r="H18" s="127">
        <f t="shared" si="0"/>
        <v>97.166699999999992</v>
      </c>
      <c r="I18" s="14">
        <f>F18/12*G18</f>
        <v>8097.2250000000004</v>
      </c>
      <c r="J18" s="26"/>
      <c r="K18" s="8"/>
      <c r="L18" s="8"/>
      <c r="M18" s="8"/>
    </row>
    <row r="19" spans="1:13" ht="15.75" hidden="1" customHeight="1">
      <c r="A19" s="33"/>
      <c r="B19" s="124" t="s">
        <v>121</v>
      </c>
      <c r="C19" s="90" t="s">
        <v>122</v>
      </c>
      <c r="D19" s="124" t="s">
        <v>123</v>
      </c>
      <c r="E19" s="125">
        <v>38.4</v>
      </c>
      <c r="F19" s="126">
        <f>SUM(E19/10)</f>
        <v>3.84</v>
      </c>
      <c r="G19" s="126">
        <v>170.16</v>
      </c>
      <c r="H19" s="127">
        <f t="shared" si="0"/>
        <v>0.65341439999999995</v>
      </c>
      <c r="I19" s="14">
        <v>0</v>
      </c>
      <c r="J19" s="26"/>
      <c r="K19" s="8"/>
      <c r="L19" s="8"/>
      <c r="M19" s="8"/>
    </row>
    <row r="20" spans="1:13" ht="15.75" customHeight="1">
      <c r="A20" s="33">
        <v>4</v>
      </c>
      <c r="B20" s="124" t="s">
        <v>107</v>
      </c>
      <c r="C20" s="90" t="s">
        <v>117</v>
      </c>
      <c r="D20" s="124" t="s">
        <v>31</v>
      </c>
      <c r="E20" s="125">
        <v>58.4</v>
      </c>
      <c r="F20" s="126">
        <f>SUM(E20*12/100)</f>
        <v>7.0079999999999991</v>
      </c>
      <c r="G20" s="126">
        <v>217.88</v>
      </c>
      <c r="H20" s="127">
        <f t="shared" si="0"/>
        <v>1.5269030399999997</v>
      </c>
      <c r="I20" s="14">
        <f>F20/12*G20</f>
        <v>127.24191999999999</v>
      </c>
      <c r="J20" s="26"/>
      <c r="K20" s="8"/>
      <c r="L20" s="8"/>
      <c r="M20" s="8"/>
    </row>
    <row r="21" spans="1:13" ht="15.75" customHeight="1">
      <c r="A21" s="33">
        <v>5</v>
      </c>
      <c r="B21" s="124" t="s">
        <v>108</v>
      </c>
      <c r="C21" s="90" t="s">
        <v>117</v>
      </c>
      <c r="D21" s="124" t="s">
        <v>31</v>
      </c>
      <c r="E21" s="125">
        <v>9.08</v>
      </c>
      <c r="F21" s="126">
        <f>SUM(E21*12/100)</f>
        <v>1.0896000000000001</v>
      </c>
      <c r="G21" s="126">
        <v>216.12</v>
      </c>
      <c r="H21" s="127">
        <f t="shared" si="0"/>
        <v>0.23548435200000004</v>
      </c>
      <c r="I21" s="14">
        <f>F21/12*G21</f>
        <v>19.623696000000002</v>
      </c>
      <c r="J21" s="26"/>
      <c r="K21" s="8"/>
      <c r="L21" s="8"/>
      <c r="M21" s="8"/>
    </row>
    <row r="22" spans="1:13" ht="15.75" hidden="1" customHeight="1">
      <c r="A22" s="33"/>
      <c r="B22" s="124" t="s">
        <v>124</v>
      </c>
      <c r="C22" s="90" t="s">
        <v>54</v>
      </c>
      <c r="D22" s="124" t="s">
        <v>123</v>
      </c>
      <c r="E22" s="125">
        <v>822.72</v>
      </c>
      <c r="F22" s="126">
        <f>SUM(E22/100)</f>
        <v>8.2271999999999998</v>
      </c>
      <c r="G22" s="126">
        <v>269.26</v>
      </c>
      <c r="H22" s="127">
        <f t="shared" si="0"/>
        <v>2.2152558719999997</v>
      </c>
      <c r="I22" s="14">
        <v>0</v>
      </c>
      <c r="J22" s="26"/>
      <c r="K22" s="8"/>
      <c r="L22" s="8"/>
      <c r="M22" s="8"/>
    </row>
    <row r="23" spans="1:13" ht="15.75" hidden="1" customHeight="1">
      <c r="A23" s="33"/>
      <c r="B23" s="124" t="s">
        <v>125</v>
      </c>
      <c r="C23" s="90" t="s">
        <v>54</v>
      </c>
      <c r="D23" s="124" t="s">
        <v>123</v>
      </c>
      <c r="E23" s="128">
        <v>96.6</v>
      </c>
      <c r="F23" s="126">
        <f>SUM(E23/100)</f>
        <v>0.96599999999999997</v>
      </c>
      <c r="G23" s="126">
        <v>44.29</v>
      </c>
      <c r="H23" s="127">
        <f t="shared" si="0"/>
        <v>4.2784139999999998E-2</v>
      </c>
      <c r="I23" s="14">
        <v>0</v>
      </c>
      <c r="J23" s="26"/>
      <c r="K23" s="8"/>
      <c r="L23" s="8"/>
      <c r="M23" s="8"/>
    </row>
    <row r="24" spans="1:13" ht="15.75" customHeight="1">
      <c r="A24" s="33">
        <v>6</v>
      </c>
      <c r="B24" s="124" t="s">
        <v>113</v>
      </c>
      <c r="C24" s="90" t="s">
        <v>54</v>
      </c>
      <c r="D24" s="124" t="s">
        <v>31</v>
      </c>
      <c r="E24" s="129">
        <v>32</v>
      </c>
      <c r="F24" s="126">
        <f>32*12/1000</f>
        <v>0.38400000000000001</v>
      </c>
      <c r="G24" s="126">
        <v>389.42</v>
      </c>
      <c r="H24" s="127">
        <f>G24*F24/100</f>
        <v>1.4953728000000002</v>
      </c>
      <c r="I24" s="14">
        <f>F24/12*G24</f>
        <v>12.461440000000001</v>
      </c>
      <c r="J24" s="26"/>
      <c r="K24" s="8"/>
      <c r="L24" s="8"/>
      <c r="M24" s="8"/>
    </row>
    <row r="25" spans="1:13" ht="15.75" hidden="1" customHeight="1">
      <c r="A25" s="52">
        <v>6</v>
      </c>
      <c r="B25" s="124" t="s">
        <v>145</v>
      </c>
      <c r="C25" s="90" t="s">
        <v>54</v>
      </c>
      <c r="D25" s="124" t="s">
        <v>55</v>
      </c>
      <c r="E25" s="130">
        <v>38</v>
      </c>
      <c r="F25" s="126">
        <v>0.38</v>
      </c>
      <c r="G25" s="126">
        <v>216.12</v>
      </c>
      <c r="H25" s="127">
        <f>G25*F25/1000</f>
        <v>8.2125600000000007E-2</v>
      </c>
      <c r="I25" s="14">
        <v>0</v>
      </c>
      <c r="J25" s="26"/>
      <c r="K25" s="8"/>
      <c r="L25" s="8"/>
      <c r="M25" s="8"/>
    </row>
    <row r="26" spans="1:13" ht="15.75" customHeight="1">
      <c r="A26" s="52">
        <v>7</v>
      </c>
      <c r="B26" s="124" t="s">
        <v>114</v>
      </c>
      <c r="C26" s="90" t="s">
        <v>54</v>
      </c>
      <c r="D26" s="124" t="s">
        <v>146</v>
      </c>
      <c r="E26" s="125">
        <v>17</v>
      </c>
      <c r="F26" s="126">
        <f>SUM(E26*12/100)</f>
        <v>2.04</v>
      </c>
      <c r="G26" s="126">
        <v>520.79999999999995</v>
      </c>
      <c r="H26" s="127">
        <f t="shared" si="0"/>
        <v>1.062432</v>
      </c>
      <c r="I26" s="14">
        <f>F26/12*G26</f>
        <v>88.536000000000001</v>
      </c>
      <c r="J26" s="26"/>
      <c r="K26" s="8"/>
      <c r="L26" s="8"/>
      <c r="M26" s="8"/>
    </row>
    <row r="27" spans="1:13" ht="15.75" customHeight="1">
      <c r="A27" s="52">
        <v>8</v>
      </c>
      <c r="B27" s="124" t="s">
        <v>69</v>
      </c>
      <c r="C27" s="90" t="s">
        <v>34</v>
      </c>
      <c r="D27" s="124" t="s">
        <v>179</v>
      </c>
      <c r="E27" s="125">
        <v>0.1</v>
      </c>
      <c r="F27" s="126">
        <f>SUM(E27*365)</f>
        <v>36.5</v>
      </c>
      <c r="G27" s="126">
        <v>147.03</v>
      </c>
      <c r="H27" s="127">
        <f t="shared" si="0"/>
        <v>5.3665950000000002</v>
      </c>
      <c r="I27" s="14">
        <f>F27/12*G27</f>
        <v>447.21625</v>
      </c>
      <c r="J27" s="26"/>
      <c r="K27" s="8"/>
      <c r="L27" s="8"/>
      <c r="M27" s="8"/>
    </row>
    <row r="28" spans="1:13" ht="15.75" customHeight="1">
      <c r="A28" s="52">
        <v>9</v>
      </c>
      <c r="B28" s="131" t="s">
        <v>23</v>
      </c>
      <c r="C28" s="90" t="s">
        <v>24</v>
      </c>
      <c r="D28" s="131" t="s">
        <v>179</v>
      </c>
      <c r="E28" s="125">
        <v>5926.8</v>
      </c>
      <c r="F28" s="126">
        <f>SUM(E28*12)</f>
        <v>71121.600000000006</v>
      </c>
      <c r="G28" s="126">
        <v>4.53</v>
      </c>
      <c r="H28" s="127">
        <f t="shared" si="0"/>
        <v>322.18084800000008</v>
      </c>
      <c r="I28" s="14">
        <f>F28/12*G28</f>
        <v>26848.404000000002</v>
      </c>
      <c r="J28" s="26"/>
      <c r="K28" s="8"/>
      <c r="L28" s="8"/>
      <c r="M28" s="8"/>
    </row>
    <row r="29" spans="1:13" ht="15.75" customHeight="1">
      <c r="A29" s="186" t="s">
        <v>93</v>
      </c>
      <c r="B29" s="186"/>
      <c r="C29" s="186"/>
      <c r="D29" s="186"/>
      <c r="E29" s="186"/>
      <c r="F29" s="186"/>
      <c r="G29" s="186"/>
      <c r="H29" s="186"/>
      <c r="I29" s="186"/>
      <c r="J29" s="26"/>
      <c r="K29" s="8"/>
      <c r="L29" s="8"/>
      <c r="M29" s="8"/>
    </row>
    <row r="30" spans="1:13" ht="15.75" hidden="1" customHeight="1">
      <c r="A30" s="52"/>
      <c r="B30" s="62" t="s">
        <v>29</v>
      </c>
      <c r="C30" s="62"/>
      <c r="D30" s="62"/>
      <c r="E30" s="62"/>
      <c r="F30" s="62"/>
      <c r="G30" s="62"/>
      <c r="H30" s="62"/>
      <c r="I30" s="21"/>
      <c r="J30" s="26"/>
      <c r="K30" s="8"/>
      <c r="L30" s="8"/>
      <c r="M30" s="8"/>
    </row>
    <row r="31" spans="1:13" ht="15.75" hidden="1" customHeight="1">
      <c r="A31" s="52">
        <v>2</v>
      </c>
      <c r="B31" s="124" t="s">
        <v>126</v>
      </c>
      <c r="C31" s="90" t="s">
        <v>127</v>
      </c>
      <c r="D31" s="124" t="s">
        <v>148</v>
      </c>
      <c r="E31" s="126">
        <v>2732.4</v>
      </c>
      <c r="F31" s="126">
        <f>SUM(E31*26/1000)</f>
        <v>71.042400000000015</v>
      </c>
      <c r="G31" s="126">
        <v>155.88999999999999</v>
      </c>
      <c r="H31" s="127">
        <f t="shared" ref="H31:H33" si="1">SUM(F31*G31/1000)</f>
        <v>11.074799736000001</v>
      </c>
      <c r="I31" s="14">
        <v>0</v>
      </c>
      <c r="J31" s="26"/>
      <c r="K31" s="8"/>
      <c r="L31" s="8"/>
      <c r="M31" s="8"/>
    </row>
    <row r="32" spans="1:13" ht="31.5" hidden="1" customHeight="1">
      <c r="A32" s="52">
        <v>3</v>
      </c>
      <c r="B32" s="124" t="s">
        <v>149</v>
      </c>
      <c r="C32" s="90" t="s">
        <v>127</v>
      </c>
      <c r="D32" s="124" t="s">
        <v>128</v>
      </c>
      <c r="E32" s="126">
        <v>547.85</v>
      </c>
      <c r="F32" s="126">
        <f>SUM(E32*78/1000)</f>
        <v>42.732300000000002</v>
      </c>
      <c r="G32" s="126">
        <v>258.63</v>
      </c>
      <c r="H32" s="127">
        <f t="shared" si="1"/>
        <v>11.051854749</v>
      </c>
      <c r="I32" s="14">
        <v>0</v>
      </c>
      <c r="J32" s="26"/>
      <c r="K32" s="8"/>
      <c r="L32" s="8"/>
      <c r="M32" s="8"/>
    </row>
    <row r="33" spans="1:14" ht="15.75" hidden="1" customHeight="1">
      <c r="A33" s="52">
        <v>4</v>
      </c>
      <c r="B33" s="124" t="s">
        <v>28</v>
      </c>
      <c r="C33" s="90" t="s">
        <v>127</v>
      </c>
      <c r="D33" s="124" t="s">
        <v>55</v>
      </c>
      <c r="E33" s="126">
        <v>2732.4</v>
      </c>
      <c r="F33" s="126">
        <f>SUM(E33/1000)</f>
        <v>2.7324000000000002</v>
      </c>
      <c r="G33" s="126">
        <v>3020.33</v>
      </c>
      <c r="H33" s="127">
        <f t="shared" si="1"/>
        <v>8.2527496920000001</v>
      </c>
      <c r="I33" s="14">
        <v>0</v>
      </c>
      <c r="J33" s="26"/>
      <c r="K33" s="8"/>
      <c r="L33" s="8"/>
      <c r="M33" s="8"/>
    </row>
    <row r="34" spans="1:14" ht="15.75" hidden="1" customHeight="1">
      <c r="A34" s="52"/>
      <c r="B34" s="124" t="s">
        <v>147</v>
      </c>
      <c r="C34" s="90" t="s">
        <v>40</v>
      </c>
      <c r="D34" s="124" t="s">
        <v>68</v>
      </c>
      <c r="E34" s="126">
        <v>8</v>
      </c>
      <c r="F34" s="126">
        <v>12.4</v>
      </c>
      <c r="G34" s="126">
        <v>1302.02</v>
      </c>
      <c r="H34" s="127">
        <v>16.145</v>
      </c>
      <c r="I34" s="14">
        <v>0</v>
      </c>
      <c r="J34" s="26"/>
      <c r="K34" s="8"/>
      <c r="L34" s="8"/>
      <c r="M34" s="8"/>
    </row>
    <row r="35" spans="1:14" ht="15.75" hidden="1" customHeight="1">
      <c r="A35" s="52">
        <v>5</v>
      </c>
      <c r="B35" s="124" t="s">
        <v>180</v>
      </c>
      <c r="C35" s="90" t="s">
        <v>32</v>
      </c>
      <c r="D35" s="124" t="s">
        <v>68</v>
      </c>
      <c r="E35" s="132">
        <v>1</v>
      </c>
      <c r="F35" s="126">
        <v>155</v>
      </c>
      <c r="G35" s="126">
        <v>56.69</v>
      </c>
      <c r="H35" s="127">
        <f>SUM(G35*155/1000)</f>
        <v>8.7869499999999992</v>
      </c>
      <c r="I35" s="14">
        <v>0</v>
      </c>
      <c r="J35" s="26"/>
      <c r="K35" s="8"/>
      <c r="L35" s="8"/>
      <c r="M35" s="8"/>
    </row>
    <row r="36" spans="1:14" ht="15.75" hidden="1" customHeight="1">
      <c r="A36" s="52">
        <v>4</v>
      </c>
      <c r="B36" s="124" t="s">
        <v>70</v>
      </c>
      <c r="C36" s="90" t="s">
        <v>34</v>
      </c>
      <c r="D36" s="124" t="s">
        <v>72</v>
      </c>
      <c r="E36" s="125"/>
      <c r="F36" s="126">
        <v>2</v>
      </c>
      <c r="G36" s="126">
        <v>191.32</v>
      </c>
      <c r="H36" s="127">
        <f t="shared" ref="H36:H37" si="2">SUM(F36*G36/1000)</f>
        <v>0.38263999999999998</v>
      </c>
      <c r="I36" s="14">
        <v>0</v>
      </c>
      <c r="J36" s="26"/>
      <c r="K36" s="8"/>
    </row>
    <row r="37" spans="1:14" ht="15.75" hidden="1" customHeight="1">
      <c r="A37" s="33">
        <v>8</v>
      </c>
      <c r="B37" s="124" t="s">
        <v>71</v>
      </c>
      <c r="C37" s="90" t="s">
        <v>33</v>
      </c>
      <c r="D37" s="124" t="s">
        <v>72</v>
      </c>
      <c r="E37" s="125"/>
      <c r="F37" s="126">
        <v>3</v>
      </c>
      <c r="G37" s="126">
        <v>1136.32</v>
      </c>
      <c r="H37" s="127">
        <f t="shared" si="2"/>
        <v>3.40896</v>
      </c>
      <c r="I37" s="14">
        <v>0</v>
      </c>
      <c r="J37" s="27"/>
    </row>
    <row r="38" spans="1:14" ht="15.75" customHeight="1">
      <c r="A38" s="52"/>
      <c r="B38" s="60" t="s">
        <v>5</v>
      </c>
      <c r="C38" s="60"/>
      <c r="D38" s="60"/>
      <c r="E38" s="60"/>
      <c r="F38" s="14"/>
      <c r="G38" s="15"/>
      <c r="H38" s="15"/>
      <c r="I38" s="21"/>
      <c r="J38" s="27"/>
    </row>
    <row r="39" spans="1:14" ht="15.75" customHeight="1">
      <c r="A39" s="38">
        <v>10</v>
      </c>
      <c r="B39" s="124" t="s">
        <v>27</v>
      </c>
      <c r="C39" s="90" t="s">
        <v>33</v>
      </c>
      <c r="D39" s="124"/>
      <c r="E39" s="125"/>
      <c r="F39" s="126">
        <v>15</v>
      </c>
      <c r="G39" s="126">
        <v>1527.22</v>
      </c>
      <c r="H39" s="127">
        <f>SUM(F39*G39/1000)</f>
        <v>22.908300000000001</v>
      </c>
      <c r="I39" s="14">
        <f t="shared" ref="I39:I44" si="3">F39/6*G39</f>
        <v>3818.05</v>
      </c>
      <c r="J39" s="27"/>
    </row>
    <row r="40" spans="1:14" ht="15.75" customHeight="1">
      <c r="A40" s="38">
        <v>11</v>
      </c>
      <c r="B40" s="124" t="s">
        <v>73</v>
      </c>
      <c r="C40" s="90" t="s">
        <v>30</v>
      </c>
      <c r="D40" s="124" t="s">
        <v>130</v>
      </c>
      <c r="E40" s="126">
        <v>547.85</v>
      </c>
      <c r="F40" s="126">
        <f>SUM(E40*50/1000)</f>
        <v>27.392499999999998</v>
      </c>
      <c r="G40" s="126">
        <v>2102.71</v>
      </c>
      <c r="H40" s="127">
        <f t="shared" ref="H40:H44" si="4">SUM(F40*G40/1000)</f>
        <v>57.598483674999997</v>
      </c>
      <c r="I40" s="14">
        <f t="shared" si="3"/>
        <v>9599.747279166666</v>
      </c>
      <c r="J40" s="27"/>
    </row>
    <row r="41" spans="1:14" ht="15.75" customHeight="1">
      <c r="A41" s="38">
        <v>12</v>
      </c>
      <c r="B41" s="124" t="s">
        <v>74</v>
      </c>
      <c r="C41" s="90" t="s">
        <v>30</v>
      </c>
      <c r="D41" s="124" t="s">
        <v>131</v>
      </c>
      <c r="E41" s="126">
        <v>140</v>
      </c>
      <c r="F41" s="126">
        <f>SUM(E41*155/1000)</f>
        <v>21.7</v>
      </c>
      <c r="G41" s="126">
        <v>350.75</v>
      </c>
      <c r="H41" s="127">
        <f t="shared" si="4"/>
        <v>7.611275</v>
      </c>
      <c r="I41" s="14">
        <f t="shared" si="3"/>
        <v>1268.5458333333333</v>
      </c>
      <c r="J41" s="27"/>
    </row>
    <row r="42" spans="1:14" ht="31.5" customHeight="1">
      <c r="A42" s="38">
        <v>13</v>
      </c>
      <c r="B42" s="124" t="s">
        <v>88</v>
      </c>
      <c r="C42" s="90" t="s">
        <v>127</v>
      </c>
      <c r="D42" s="124" t="s">
        <v>150</v>
      </c>
      <c r="E42" s="126">
        <v>140</v>
      </c>
      <c r="F42" s="126">
        <f>SUM(E42*12/1000)</f>
        <v>1.68</v>
      </c>
      <c r="G42" s="126">
        <v>5803.28</v>
      </c>
      <c r="H42" s="127">
        <f t="shared" si="4"/>
        <v>9.7495103999999984</v>
      </c>
      <c r="I42" s="14">
        <f t="shared" si="3"/>
        <v>1624.9183999999998</v>
      </c>
      <c r="J42" s="27"/>
    </row>
    <row r="43" spans="1:14" ht="15.75" hidden="1" customHeight="1">
      <c r="A43" s="38">
        <v>14</v>
      </c>
      <c r="B43" s="124" t="s">
        <v>132</v>
      </c>
      <c r="C43" s="90" t="s">
        <v>127</v>
      </c>
      <c r="D43" s="124" t="s">
        <v>75</v>
      </c>
      <c r="E43" s="126">
        <v>140</v>
      </c>
      <c r="F43" s="126">
        <f>SUM(E43*45/1000)</f>
        <v>6.3</v>
      </c>
      <c r="G43" s="126">
        <v>428.7</v>
      </c>
      <c r="H43" s="127">
        <f t="shared" si="4"/>
        <v>2.7008100000000002</v>
      </c>
      <c r="I43" s="14">
        <f t="shared" si="3"/>
        <v>450.13499999999999</v>
      </c>
      <c r="J43" s="27"/>
    </row>
    <row r="44" spans="1:14" ht="15.75" customHeight="1">
      <c r="A44" s="38">
        <v>14</v>
      </c>
      <c r="B44" s="124" t="s">
        <v>76</v>
      </c>
      <c r="C44" s="90" t="s">
        <v>34</v>
      </c>
      <c r="D44" s="124"/>
      <c r="E44" s="125"/>
      <c r="F44" s="126">
        <v>0.9</v>
      </c>
      <c r="G44" s="126">
        <v>798</v>
      </c>
      <c r="H44" s="127">
        <f t="shared" si="4"/>
        <v>0.71820000000000006</v>
      </c>
      <c r="I44" s="14">
        <f t="shared" si="3"/>
        <v>119.69999999999999</v>
      </c>
      <c r="J44" s="27"/>
      <c r="L44" s="23"/>
      <c r="M44" s="24"/>
      <c r="N44" s="25"/>
    </row>
    <row r="45" spans="1:14" ht="15.75" customHeight="1">
      <c r="A45" s="187" t="s">
        <v>176</v>
      </c>
      <c r="B45" s="188"/>
      <c r="C45" s="188"/>
      <c r="D45" s="188"/>
      <c r="E45" s="188"/>
      <c r="F45" s="188"/>
      <c r="G45" s="188"/>
      <c r="H45" s="188"/>
      <c r="I45" s="189"/>
      <c r="J45" s="27"/>
      <c r="L45" s="23"/>
      <c r="M45" s="24"/>
      <c r="N45" s="25"/>
    </row>
    <row r="46" spans="1:14" ht="15.75" hidden="1" customHeight="1">
      <c r="A46" s="52">
        <v>15</v>
      </c>
      <c r="B46" s="124" t="s">
        <v>133</v>
      </c>
      <c r="C46" s="90" t="s">
        <v>127</v>
      </c>
      <c r="D46" s="124" t="s">
        <v>42</v>
      </c>
      <c r="E46" s="125">
        <v>1640.4</v>
      </c>
      <c r="F46" s="126">
        <f>SUM(E46*2/1000)</f>
        <v>3.2808000000000002</v>
      </c>
      <c r="G46" s="14">
        <v>849.49</v>
      </c>
      <c r="H46" s="127">
        <f t="shared" ref="H46:H54" si="5">SUM(F46*G46/1000)</f>
        <v>2.7870067920000001</v>
      </c>
      <c r="I46" s="14">
        <v>0</v>
      </c>
      <c r="J46" s="27"/>
      <c r="L46" s="23"/>
      <c r="M46" s="24"/>
      <c r="N46" s="25"/>
    </row>
    <row r="47" spans="1:14" ht="15.75" hidden="1" customHeight="1">
      <c r="A47" s="52"/>
      <c r="B47" s="124" t="s">
        <v>35</v>
      </c>
      <c r="C47" s="90" t="s">
        <v>127</v>
      </c>
      <c r="D47" s="124" t="s">
        <v>42</v>
      </c>
      <c r="E47" s="125">
        <v>918.25</v>
      </c>
      <c r="F47" s="126">
        <f>SUM(E47*2/1000)</f>
        <v>1.8365</v>
      </c>
      <c r="G47" s="14">
        <v>579.48</v>
      </c>
      <c r="H47" s="127">
        <f t="shared" si="5"/>
        <v>1.06421502</v>
      </c>
      <c r="I47" s="14">
        <v>0</v>
      </c>
      <c r="J47" s="27"/>
      <c r="L47" s="23"/>
      <c r="M47" s="24"/>
      <c r="N47" s="25"/>
    </row>
    <row r="48" spans="1:14" ht="15.75" hidden="1" customHeight="1">
      <c r="A48" s="52">
        <v>16</v>
      </c>
      <c r="B48" s="124" t="s">
        <v>36</v>
      </c>
      <c r="C48" s="90" t="s">
        <v>127</v>
      </c>
      <c r="D48" s="124" t="s">
        <v>42</v>
      </c>
      <c r="E48" s="125">
        <v>5592.26</v>
      </c>
      <c r="F48" s="126">
        <f>SUM(E48*2/1000)</f>
        <v>11.184520000000001</v>
      </c>
      <c r="G48" s="14">
        <v>579.48</v>
      </c>
      <c r="H48" s="127">
        <f t="shared" si="5"/>
        <v>6.4812056496000006</v>
      </c>
      <c r="I48" s="14">
        <v>0</v>
      </c>
      <c r="J48" s="27"/>
      <c r="L48" s="23"/>
      <c r="M48" s="24"/>
      <c r="N48" s="25"/>
    </row>
    <row r="49" spans="1:14" ht="15.75" hidden="1" customHeight="1">
      <c r="A49" s="52">
        <v>17</v>
      </c>
      <c r="B49" s="124" t="s">
        <v>37</v>
      </c>
      <c r="C49" s="90" t="s">
        <v>127</v>
      </c>
      <c r="D49" s="124" t="s">
        <v>42</v>
      </c>
      <c r="E49" s="125">
        <v>2817.65</v>
      </c>
      <c r="F49" s="126">
        <f>SUM(E49*2/1000)</f>
        <v>5.6353</v>
      </c>
      <c r="G49" s="14">
        <v>606.77</v>
      </c>
      <c r="H49" s="127">
        <f t="shared" si="5"/>
        <v>3.4193309809999999</v>
      </c>
      <c r="I49" s="14">
        <v>0</v>
      </c>
      <c r="J49" s="27"/>
      <c r="L49" s="23"/>
      <c r="M49" s="24"/>
      <c r="N49" s="25"/>
    </row>
    <row r="50" spans="1:14" ht="15.75" customHeight="1">
      <c r="A50" s="52">
        <v>15</v>
      </c>
      <c r="B50" s="124" t="s">
        <v>58</v>
      </c>
      <c r="C50" s="90" t="s">
        <v>127</v>
      </c>
      <c r="D50" s="124" t="s">
        <v>152</v>
      </c>
      <c r="E50" s="125">
        <v>3280.8</v>
      </c>
      <c r="F50" s="126">
        <f>SUM(E50*5/1000)</f>
        <v>16.404</v>
      </c>
      <c r="G50" s="14">
        <v>1213.55</v>
      </c>
      <c r="H50" s="127">
        <f t="shared" si="5"/>
        <v>19.9070742</v>
      </c>
      <c r="I50" s="14">
        <f>F50/5*G50</f>
        <v>3981.4148399999999</v>
      </c>
      <c r="J50" s="27"/>
      <c r="L50" s="23"/>
      <c r="M50" s="24"/>
      <c r="N50" s="25"/>
    </row>
    <row r="51" spans="1:14" ht="31.5" hidden="1" customHeight="1">
      <c r="A51" s="52">
        <v>13</v>
      </c>
      <c r="B51" s="124" t="s">
        <v>134</v>
      </c>
      <c r="C51" s="90" t="s">
        <v>127</v>
      </c>
      <c r="D51" s="124" t="s">
        <v>42</v>
      </c>
      <c r="E51" s="125">
        <v>3280.8</v>
      </c>
      <c r="F51" s="126">
        <f>SUM(E51*2/1000)</f>
        <v>6.5616000000000003</v>
      </c>
      <c r="G51" s="14">
        <v>1213.55</v>
      </c>
      <c r="H51" s="127">
        <f t="shared" si="5"/>
        <v>7.9628296799999996</v>
      </c>
      <c r="I51" s="14">
        <v>0</v>
      </c>
      <c r="J51" s="27"/>
      <c r="L51" s="23"/>
      <c r="M51" s="24"/>
      <c r="N51" s="25"/>
    </row>
    <row r="52" spans="1:14" ht="31.5" hidden="1" customHeight="1">
      <c r="A52" s="52">
        <v>14</v>
      </c>
      <c r="B52" s="124" t="s">
        <v>151</v>
      </c>
      <c r="C52" s="90" t="s">
        <v>38</v>
      </c>
      <c r="D52" s="124" t="s">
        <v>42</v>
      </c>
      <c r="E52" s="125">
        <v>40</v>
      </c>
      <c r="F52" s="126">
        <f>SUM(E52*2/100)</f>
        <v>0.8</v>
      </c>
      <c r="G52" s="14">
        <v>2730.49</v>
      </c>
      <c r="H52" s="127">
        <f t="shared" si="5"/>
        <v>2.1843919999999999</v>
      </c>
      <c r="I52" s="14">
        <v>0</v>
      </c>
      <c r="J52" s="27"/>
      <c r="L52" s="23"/>
      <c r="M52" s="24"/>
      <c r="N52" s="25"/>
    </row>
    <row r="53" spans="1:14" ht="15.75" hidden="1" customHeight="1">
      <c r="A53" s="52">
        <v>15</v>
      </c>
      <c r="B53" s="124" t="s">
        <v>39</v>
      </c>
      <c r="C53" s="90" t="s">
        <v>40</v>
      </c>
      <c r="D53" s="124" t="s">
        <v>42</v>
      </c>
      <c r="E53" s="125">
        <v>1</v>
      </c>
      <c r="F53" s="126">
        <v>0.02</v>
      </c>
      <c r="G53" s="14">
        <v>5652.13</v>
      </c>
      <c r="H53" s="127">
        <f t="shared" si="5"/>
        <v>0.11304260000000001</v>
      </c>
      <c r="I53" s="14">
        <v>0</v>
      </c>
      <c r="J53" s="27"/>
      <c r="L53" s="23"/>
      <c r="M53" s="24"/>
      <c r="N53" s="25"/>
    </row>
    <row r="54" spans="1:14" ht="15.75" hidden="1" customHeight="1">
      <c r="A54" s="52">
        <v>17</v>
      </c>
      <c r="B54" s="124" t="s">
        <v>41</v>
      </c>
      <c r="C54" s="90" t="s">
        <v>135</v>
      </c>
      <c r="D54" s="124" t="s">
        <v>77</v>
      </c>
      <c r="E54" s="125">
        <v>238</v>
      </c>
      <c r="F54" s="126">
        <f>SUM(E54)*3</f>
        <v>714</v>
      </c>
      <c r="G54" s="14">
        <v>65.67</v>
      </c>
      <c r="H54" s="127">
        <f t="shared" si="5"/>
        <v>46.888380000000005</v>
      </c>
      <c r="I54" s="14">
        <f>E54*G54</f>
        <v>15629.460000000001</v>
      </c>
      <c r="J54" s="27"/>
      <c r="L54" s="23"/>
      <c r="M54" s="24"/>
      <c r="N54" s="25"/>
    </row>
    <row r="55" spans="1:14" ht="15.75" customHeight="1">
      <c r="A55" s="187" t="s">
        <v>177</v>
      </c>
      <c r="B55" s="188"/>
      <c r="C55" s="188"/>
      <c r="D55" s="188"/>
      <c r="E55" s="188"/>
      <c r="F55" s="188"/>
      <c r="G55" s="188"/>
      <c r="H55" s="188"/>
      <c r="I55" s="189"/>
      <c r="J55" s="27"/>
      <c r="L55" s="23"/>
      <c r="M55" s="24"/>
      <c r="N55" s="25"/>
    </row>
    <row r="56" spans="1:14" ht="15.75" customHeight="1">
      <c r="A56" s="65"/>
      <c r="B56" s="59" t="s">
        <v>43</v>
      </c>
      <c r="C56" s="18"/>
      <c r="D56" s="17"/>
      <c r="E56" s="17"/>
      <c r="F56" s="17"/>
      <c r="G56" s="33"/>
      <c r="H56" s="33"/>
      <c r="I56" s="21"/>
      <c r="J56" s="27"/>
      <c r="L56" s="23"/>
      <c r="M56" s="24"/>
      <c r="N56" s="25"/>
    </row>
    <row r="57" spans="1:14" ht="15.75" hidden="1" customHeight="1">
      <c r="A57" s="52">
        <v>15</v>
      </c>
      <c r="B57" s="124" t="s">
        <v>153</v>
      </c>
      <c r="C57" s="90" t="s">
        <v>117</v>
      </c>
      <c r="D57" s="124" t="s">
        <v>55</v>
      </c>
      <c r="E57" s="133">
        <v>1640.4</v>
      </c>
      <c r="F57" s="14">
        <f>E57/100</f>
        <v>16.404</v>
      </c>
      <c r="G57" s="126">
        <v>472.59</v>
      </c>
      <c r="H57" s="127">
        <f>SUM(F57*G57/1000)</f>
        <v>7.7523663599999999</v>
      </c>
      <c r="I57" s="14">
        <v>0</v>
      </c>
      <c r="J57" s="27"/>
      <c r="L57" s="23"/>
      <c r="M57" s="24"/>
      <c r="N57" s="25"/>
    </row>
    <row r="58" spans="1:14" ht="31.5" customHeight="1">
      <c r="A58" s="52">
        <v>16</v>
      </c>
      <c r="B58" s="124" t="s">
        <v>154</v>
      </c>
      <c r="C58" s="90" t="s">
        <v>117</v>
      </c>
      <c r="D58" s="124" t="s">
        <v>155</v>
      </c>
      <c r="E58" s="125">
        <v>164.04</v>
      </c>
      <c r="F58" s="14">
        <f>E58*6/100</f>
        <v>9.8423999999999996</v>
      </c>
      <c r="G58" s="134">
        <v>1547.28</v>
      </c>
      <c r="H58" s="127">
        <f>F58*G58/1000</f>
        <v>15.228948671999998</v>
      </c>
      <c r="I58" s="14">
        <f>F58/6*G58</f>
        <v>2538.1581119999996</v>
      </c>
      <c r="J58" s="27"/>
      <c r="L58" s="23"/>
      <c r="M58" s="24"/>
      <c r="N58" s="25"/>
    </row>
    <row r="59" spans="1:14" ht="15.75" customHeight="1">
      <c r="A59" s="52">
        <v>17</v>
      </c>
      <c r="B59" s="135" t="s">
        <v>104</v>
      </c>
      <c r="C59" s="136" t="s">
        <v>117</v>
      </c>
      <c r="D59" s="135" t="s">
        <v>156</v>
      </c>
      <c r="E59" s="137">
        <v>8</v>
      </c>
      <c r="F59" s="138">
        <f>E59*8/100</f>
        <v>0.64</v>
      </c>
      <c r="G59" s="134">
        <v>1547.28</v>
      </c>
      <c r="H59" s="139">
        <f>F59*G59/1000</f>
        <v>0.99025920000000001</v>
      </c>
      <c r="I59" s="14">
        <f>F59/6*G59</f>
        <v>165.04320000000001</v>
      </c>
      <c r="J59" s="27"/>
      <c r="L59" s="23"/>
      <c r="M59" s="24"/>
      <c r="N59" s="25"/>
    </row>
    <row r="60" spans="1:14" ht="15.75" hidden="1" customHeight="1">
      <c r="A60" s="52"/>
      <c r="B60" s="135" t="s">
        <v>109</v>
      </c>
      <c r="C60" s="136" t="s">
        <v>110</v>
      </c>
      <c r="D60" s="135" t="s">
        <v>42</v>
      </c>
      <c r="E60" s="137">
        <v>8</v>
      </c>
      <c r="F60" s="138">
        <v>16</v>
      </c>
      <c r="G60" s="140">
        <v>180.78</v>
      </c>
      <c r="H60" s="139">
        <f>F60*G60/1000</f>
        <v>2.8924799999999999</v>
      </c>
      <c r="I60" s="14">
        <v>0</v>
      </c>
      <c r="J60" s="27"/>
      <c r="L60" s="23"/>
      <c r="M60" s="24"/>
      <c r="N60" s="25"/>
    </row>
    <row r="61" spans="1:14" ht="15.75" customHeight="1">
      <c r="A61" s="52"/>
      <c r="B61" s="107" t="s">
        <v>44</v>
      </c>
      <c r="C61" s="107"/>
      <c r="D61" s="107"/>
      <c r="E61" s="107"/>
      <c r="F61" s="107"/>
      <c r="G61" s="107"/>
      <c r="H61" s="107"/>
      <c r="I61" s="42"/>
      <c r="J61" s="27"/>
      <c r="L61" s="23"/>
      <c r="M61" s="24"/>
      <c r="N61" s="25"/>
    </row>
    <row r="62" spans="1:14" ht="15.75" customHeight="1">
      <c r="A62" s="52">
        <v>18</v>
      </c>
      <c r="B62" s="135" t="s">
        <v>105</v>
      </c>
      <c r="C62" s="136" t="s">
        <v>26</v>
      </c>
      <c r="D62" s="135" t="s">
        <v>157</v>
      </c>
      <c r="E62" s="137">
        <v>329.4</v>
      </c>
      <c r="F62" s="138">
        <f>E62*12</f>
        <v>3952.7999999999997</v>
      </c>
      <c r="G62" s="141">
        <v>2.5960000000000001</v>
      </c>
      <c r="H62" s="139">
        <f>G62*F62</f>
        <v>10261.468799999999</v>
      </c>
      <c r="I62" s="14">
        <f>F62/12*G62</f>
        <v>855.12239999999997</v>
      </c>
      <c r="J62" s="27"/>
      <c r="L62" s="23"/>
      <c r="M62" s="24"/>
      <c r="N62" s="25"/>
    </row>
    <row r="63" spans="1:14" ht="15.75" hidden="1" customHeight="1">
      <c r="A63" s="52"/>
      <c r="B63" s="135" t="s">
        <v>45</v>
      </c>
      <c r="C63" s="136" t="s">
        <v>26</v>
      </c>
      <c r="D63" s="135" t="s">
        <v>55</v>
      </c>
      <c r="E63" s="137">
        <v>1640.4</v>
      </c>
      <c r="F63" s="138">
        <v>16.404</v>
      </c>
      <c r="G63" s="142">
        <v>739.61</v>
      </c>
      <c r="H63" s="139">
        <f>G63*F63/1000</f>
        <v>12.132562439999999</v>
      </c>
      <c r="I63" s="14">
        <v>0</v>
      </c>
      <c r="J63" s="27"/>
      <c r="L63" s="23"/>
      <c r="M63" s="24"/>
      <c r="N63" s="25"/>
    </row>
    <row r="64" spans="1:14" ht="15.75" hidden="1" customHeight="1">
      <c r="A64" s="52"/>
      <c r="B64" s="107" t="s">
        <v>46</v>
      </c>
      <c r="C64" s="18"/>
      <c r="D64" s="46"/>
      <c r="E64" s="46"/>
      <c r="F64" s="17"/>
      <c r="G64" s="33"/>
      <c r="H64" s="33"/>
      <c r="I64" s="21"/>
      <c r="J64" s="27"/>
      <c r="L64" s="23"/>
      <c r="M64" s="24"/>
      <c r="N64" s="25"/>
    </row>
    <row r="65" spans="1:22" ht="15.75" hidden="1" customHeight="1">
      <c r="A65" s="52">
        <v>21</v>
      </c>
      <c r="B65" s="16" t="s">
        <v>47</v>
      </c>
      <c r="C65" s="18" t="s">
        <v>135</v>
      </c>
      <c r="D65" s="16" t="s">
        <v>72</v>
      </c>
      <c r="E65" s="21">
        <v>40</v>
      </c>
      <c r="F65" s="126">
        <v>40</v>
      </c>
      <c r="G65" s="14">
        <v>222.4</v>
      </c>
      <c r="H65" s="109">
        <f t="shared" ref="H65:H72" si="6">SUM(F65*G65/1000)</f>
        <v>8.8960000000000008</v>
      </c>
      <c r="I65" s="14">
        <f>G65</f>
        <v>222.4</v>
      </c>
      <c r="J65" s="27"/>
      <c r="L65" s="23"/>
      <c r="M65" s="24"/>
      <c r="N65" s="25"/>
    </row>
    <row r="66" spans="1:22" ht="15.75" hidden="1" customHeight="1">
      <c r="A66" s="33">
        <v>29</v>
      </c>
      <c r="B66" s="16" t="s">
        <v>48</v>
      </c>
      <c r="C66" s="18" t="s">
        <v>135</v>
      </c>
      <c r="D66" s="16" t="s">
        <v>72</v>
      </c>
      <c r="E66" s="21">
        <v>15</v>
      </c>
      <c r="F66" s="126">
        <v>15</v>
      </c>
      <c r="G66" s="14">
        <v>76.25</v>
      </c>
      <c r="H66" s="109">
        <f t="shared" si="6"/>
        <v>1.14375</v>
      </c>
      <c r="I66" s="14">
        <v>0</v>
      </c>
      <c r="J66" s="27"/>
      <c r="L66" s="23"/>
      <c r="M66" s="24"/>
      <c r="N66" s="25"/>
    </row>
    <row r="67" spans="1:22" ht="15.75" hidden="1" customHeight="1">
      <c r="A67" s="33">
        <v>8</v>
      </c>
      <c r="B67" s="16" t="s">
        <v>49</v>
      </c>
      <c r="C67" s="18" t="s">
        <v>136</v>
      </c>
      <c r="D67" s="16" t="s">
        <v>55</v>
      </c>
      <c r="E67" s="125">
        <v>24648</v>
      </c>
      <c r="F67" s="14">
        <f>SUM(E67/100)</f>
        <v>246.48</v>
      </c>
      <c r="G67" s="14">
        <v>212.15</v>
      </c>
      <c r="H67" s="109">
        <f t="shared" si="6"/>
        <v>52.290731999999998</v>
      </c>
      <c r="I67" s="14">
        <v>0</v>
      </c>
      <c r="J67" s="27"/>
      <c r="L67" s="23"/>
      <c r="M67" s="24"/>
      <c r="N67" s="25"/>
    </row>
    <row r="68" spans="1:22" ht="15.75" hidden="1" customHeight="1">
      <c r="A68" s="33">
        <v>9</v>
      </c>
      <c r="B68" s="16" t="s">
        <v>50</v>
      </c>
      <c r="C68" s="18" t="s">
        <v>137</v>
      </c>
      <c r="D68" s="16"/>
      <c r="E68" s="125">
        <v>24648</v>
      </c>
      <c r="F68" s="14">
        <f>SUM(E68/1000)</f>
        <v>24.648</v>
      </c>
      <c r="G68" s="14">
        <v>165.21</v>
      </c>
      <c r="H68" s="109">
        <f t="shared" si="6"/>
        <v>4.0720960800000006</v>
      </c>
      <c r="I68" s="14">
        <v>0</v>
      </c>
      <c r="J68" s="27"/>
      <c r="L68" s="23"/>
      <c r="M68" s="24"/>
      <c r="N68" s="25"/>
    </row>
    <row r="69" spans="1:22" ht="15.75" hidden="1" customHeight="1">
      <c r="A69" s="33">
        <v>10</v>
      </c>
      <c r="B69" s="16" t="s">
        <v>51</v>
      </c>
      <c r="C69" s="18" t="s">
        <v>81</v>
      </c>
      <c r="D69" s="16" t="s">
        <v>55</v>
      </c>
      <c r="E69" s="125">
        <v>2730</v>
      </c>
      <c r="F69" s="14">
        <f>SUM(E69/100)</f>
        <v>27.3</v>
      </c>
      <c r="G69" s="14">
        <v>2074.63</v>
      </c>
      <c r="H69" s="109">
        <f t="shared" si="6"/>
        <v>56.637399000000002</v>
      </c>
      <c r="I69" s="14">
        <v>0</v>
      </c>
      <c r="J69" s="27"/>
      <c r="L69" s="23"/>
    </row>
    <row r="70" spans="1:22" ht="15.75" hidden="1" customHeight="1">
      <c r="A70" s="33">
        <v>11</v>
      </c>
      <c r="B70" s="145" t="s">
        <v>138</v>
      </c>
      <c r="C70" s="18" t="s">
        <v>34</v>
      </c>
      <c r="D70" s="16"/>
      <c r="E70" s="125">
        <v>20.28</v>
      </c>
      <c r="F70" s="14">
        <f>SUM(E70)</f>
        <v>20.28</v>
      </c>
      <c r="G70" s="14">
        <v>45.32</v>
      </c>
      <c r="H70" s="109">
        <f t="shared" si="6"/>
        <v>0.91908960000000006</v>
      </c>
      <c r="I70" s="14">
        <v>0</v>
      </c>
    </row>
    <row r="71" spans="1:22" ht="15.75" hidden="1" customHeight="1">
      <c r="A71" s="33">
        <v>12</v>
      </c>
      <c r="B71" s="145" t="s">
        <v>181</v>
      </c>
      <c r="C71" s="18" t="s">
        <v>34</v>
      </c>
      <c r="D71" s="16"/>
      <c r="E71" s="125">
        <v>20.28</v>
      </c>
      <c r="F71" s="14">
        <f>SUM(E71)</f>
        <v>20.28</v>
      </c>
      <c r="G71" s="14">
        <v>42.28</v>
      </c>
      <c r="H71" s="109">
        <f t="shared" si="6"/>
        <v>0.85743840000000016</v>
      </c>
      <c r="I71" s="14">
        <v>0</v>
      </c>
    </row>
    <row r="72" spans="1:22" ht="15.75" hidden="1" customHeight="1">
      <c r="A72" s="33">
        <v>13</v>
      </c>
      <c r="B72" s="16" t="s">
        <v>59</v>
      </c>
      <c r="C72" s="18" t="s">
        <v>60</v>
      </c>
      <c r="D72" s="16" t="s">
        <v>55</v>
      </c>
      <c r="E72" s="21">
        <v>12</v>
      </c>
      <c r="F72" s="126">
        <f>SUM(E72)</f>
        <v>12</v>
      </c>
      <c r="G72" s="14">
        <v>49.88</v>
      </c>
      <c r="H72" s="109">
        <f t="shared" si="6"/>
        <v>0.59856000000000009</v>
      </c>
      <c r="I72" s="14">
        <v>0</v>
      </c>
    </row>
    <row r="73" spans="1:22" ht="15.75" hidden="1" customHeight="1">
      <c r="A73" s="65"/>
      <c r="B73" s="107" t="s">
        <v>140</v>
      </c>
      <c r="C73" s="107"/>
      <c r="D73" s="107"/>
      <c r="E73" s="107"/>
      <c r="F73" s="107"/>
      <c r="G73" s="107"/>
      <c r="H73" s="107"/>
      <c r="I73" s="21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9"/>
    </row>
    <row r="74" spans="1:22" ht="15.75" hidden="1" customHeight="1">
      <c r="A74" s="33">
        <v>36</v>
      </c>
      <c r="B74" s="124" t="s">
        <v>141</v>
      </c>
      <c r="C74" s="18"/>
      <c r="D74" s="16"/>
      <c r="E74" s="115"/>
      <c r="F74" s="14">
        <v>1</v>
      </c>
      <c r="G74" s="14">
        <v>27356</v>
      </c>
      <c r="H74" s="109">
        <f>G74*F74/1000</f>
        <v>27.356000000000002</v>
      </c>
      <c r="I74" s="14">
        <v>0</v>
      </c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33"/>
      <c r="B75" s="60" t="s">
        <v>78</v>
      </c>
      <c r="C75" s="60"/>
      <c r="D75" s="60"/>
      <c r="E75" s="60"/>
      <c r="F75" s="21"/>
      <c r="G75" s="33"/>
      <c r="H75" s="33"/>
      <c r="I75" s="21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33"/>
      <c r="B76" s="16" t="s">
        <v>97</v>
      </c>
      <c r="C76" s="18" t="s">
        <v>32</v>
      </c>
      <c r="D76" s="16"/>
      <c r="E76" s="21">
        <v>2</v>
      </c>
      <c r="F76" s="126">
        <f>SUM(E76)</f>
        <v>2</v>
      </c>
      <c r="G76" s="14">
        <v>358.51</v>
      </c>
      <c r="H76" s="109">
        <f>SUM(F76*G76/1000)</f>
        <v>0.71701999999999999</v>
      </c>
      <c r="I76" s="14">
        <v>0</v>
      </c>
      <c r="J76" s="5"/>
      <c r="K76" s="5"/>
      <c r="L76" s="5"/>
      <c r="M76" s="5"/>
      <c r="N76" s="5"/>
      <c r="O76" s="5"/>
      <c r="P76" s="5"/>
      <c r="Q76" s="5"/>
      <c r="R76" s="180"/>
      <c r="S76" s="180"/>
      <c r="T76" s="180"/>
      <c r="U76" s="180"/>
    </row>
    <row r="77" spans="1:22" ht="15.75" hidden="1" customHeight="1">
      <c r="A77" s="33"/>
      <c r="B77" s="16" t="s">
        <v>79</v>
      </c>
      <c r="C77" s="18" t="s">
        <v>32</v>
      </c>
      <c r="D77" s="16"/>
      <c r="E77" s="21">
        <v>1</v>
      </c>
      <c r="F77" s="14">
        <v>1</v>
      </c>
      <c r="G77" s="14">
        <v>852.99</v>
      </c>
      <c r="H77" s="109">
        <f>F77*G77/1000</f>
        <v>0.85299000000000003</v>
      </c>
      <c r="I77" s="14">
        <v>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2" ht="15.75" hidden="1" customHeight="1">
      <c r="A78" s="33"/>
      <c r="B78" s="61" t="s">
        <v>80</v>
      </c>
      <c r="C78" s="47"/>
      <c r="D78" s="33"/>
      <c r="E78" s="33"/>
      <c r="F78" s="21"/>
      <c r="G78" s="43" t="s">
        <v>158</v>
      </c>
      <c r="H78" s="43"/>
      <c r="I78" s="21"/>
    </row>
    <row r="79" spans="1:22" ht="15.75" hidden="1" customHeight="1">
      <c r="A79" s="33">
        <v>39</v>
      </c>
      <c r="B79" s="63" t="s">
        <v>142</v>
      </c>
      <c r="C79" s="18" t="s">
        <v>81</v>
      </c>
      <c r="D79" s="16"/>
      <c r="E79" s="21"/>
      <c r="F79" s="14">
        <v>1.35</v>
      </c>
      <c r="G79" s="14">
        <v>2759.44</v>
      </c>
      <c r="H79" s="109">
        <f>SUM(F79*G79/1000)</f>
        <v>3.725244</v>
      </c>
      <c r="I79" s="14">
        <v>0</v>
      </c>
    </row>
    <row r="80" spans="1:22" ht="15.75" customHeight="1">
      <c r="A80" s="171" t="s">
        <v>178</v>
      </c>
      <c r="B80" s="172"/>
      <c r="C80" s="172"/>
      <c r="D80" s="172"/>
      <c r="E80" s="172"/>
      <c r="F80" s="172"/>
      <c r="G80" s="172"/>
      <c r="H80" s="172"/>
      <c r="I80" s="173"/>
    </row>
    <row r="81" spans="1:9" ht="15.75" customHeight="1">
      <c r="A81" s="33">
        <v>19</v>
      </c>
      <c r="B81" s="124" t="s">
        <v>143</v>
      </c>
      <c r="C81" s="18" t="s">
        <v>56</v>
      </c>
      <c r="D81" s="147" t="s">
        <v>57</v>
      </c>
      <c r="E81" s="14">
        <v>5926.8</v>
      </c>
      <c r="F81" s="14">
        <f>SUM(E81*12)</f>
        <v>71121.600000000006</v>
      </c>
      <c r="G81" s="14">
        <v>2.1</v>
      </c>
      <c r="H81" s="109">
        <f>SUM(F81*G81/1000)</f>
        <v>149.35536000000002</v>
      </c>
      <c r="I81" s="14">
        <f>F81/12*G81</f>
        <v>12446.28</v>
      </c>
    </row>
    <row r="82" spans="1:9" ht="31.5" customHeight="1">
      <c r="A82" s="33">
        <v>20</v>
      </c>
      <c r="B82" s="16" t="s">
        <v>82</v>
      </c>
      <c r="C82" s="18"/>
      <c r="D82" s="147" t="s">
        <v>57</v>
      </c>
      <c r="E82" s="125">
        <v>5926.8</v>
      </c>
      <c r="F82" s="14">
        <f>E82*12</f>
        <v>71121.600000000006</v>
      </c>
      <c r="G82" s="14">
        <v>1.63</v>
      </c>
      <c r="H82" s="109">
        <f>F82*G82/1000</f>
        <v>115.928208</v>
      </c>
      <c r="I82" s="14">
        <f>F82/12*G82</f>
        <v>9660.6839999999993</v>
      </c>
    </row>
    <row r="83" spans="1:9" ht="15.75" customHeight="1">
      <c r="A83" s="65"/>
      <c r="B83" s="50" t="s">
        <v>85</v>
      </c>
      <c r="C83" s="52"/>
      <c r="D83" s="17"/>
      <c r="E83" s="17"/>
      <c r="F83" s="17"/>
      <c r="G83" s="21"/>
      <c r="H83" s="21"/>
      <c r="I83" s="35">
        <f>SUM(I16+I17+I18+I20+I21+I24+I26+I27+I28+I39+I40+I41+I42+I44+I50+I58+I59+I62+I81+I82)</f>
        <v>95135.819270499996</v>
      </c>
    </row>
    <row r="84" spans="1:9" ht="15.75" customHeight="1">
      <c r="A84" s="174" t="s">
        <v>63</v>
      </c>
      <c r="B84" s="175"/>
      <c r="C84" s="175"/>
      <c r="D84" s="175"/>
      <c r="E84" s="175"/>
      <c r="F84" s="175"/>
      <c r="G84" s="175"/>
      <c r="H84" s="175"/>
      <c r="I84" s="176"/>
    </row>
    <row r="85" spans="1:9" ht="15.75" customHeight="1">
      <c r="A85" s="33">
        <v>21</v>
      </c>
      <c r="B85" s="69" t="s">
        <v>111</v>
      </c>
      <c r="C85" s="84" t="s">
        <v>135</v>
      </c>
      <c r="D85" s="63"/>
      <c r="E85" s="14"/>
      <c r="F85" s="14">
        <v>968</v>
      </c>
      <c r="G85" s="14">
        <v>53.42</v>
      </c>
      <c r="H85" s="109">
        <f>G85*F85/1000</f>
        <v>51.710560000000008</v>
      </c>
      <c r="I85" s="14">
        <f>G85*121</f>
        <v>6463.8200000000006</v>
      </c>
    </row>
    <row r="86" spans="1:9" ht="31.5" customHeight="1">
      <c r="A86" s="33">
        <v>22</v>
      </c>
      <c r="B86" s="69" t="s">
        <v>84</v>
      </c>
      <c r="C86" s="84" t="s">
        <v>135</v>
      </c>
      <c r="D86" s="63"/>
      <c r="E86" s="14"/>
      <c r="F86" s="14">
        <v>8</v>
      </c>
      <c r="G86" s="14">
        <v>83.36</v>
      </c>
      <c r="H86" s="109">
        <f>G86*F86/1000</f>
        <v>0.66688000000000003</v>
      </c>
      <c r="I86" s="14">
        <f>G86</f>
        <v>83.36</v>
      </c>
    </row>
    <row r="87" spans="1:9" ht="31.5" customHeight="1">
      <c r="A87" s="33">
        <v>23</v>
      </c>
      <c r="B87" s="69" t="s">
        <v>163</v>
      </c>
      <c r="C87" s="84" t="s">
        <v>86</v>
      </c>
      <c r="D87" s="63"/>
      <c r="E87" s="14"/>
      <c r="F87" s="14">
        <v>27.5</v>
      </c>
      <c r="G87" s="14">
        <v>1187</v>
      </c>
      <c r="H87" s="109">
        <f>G87*F87/1000</f>
        <v>32.642499999999998</v>
      </c>
      <c r="I87" s="14">
        <f>G87*8</f>
        <v>9496</v>
      </c>
    </row>
    <row r="88" spans="1:9" ht="15.75" customHeight="1">
      <c r="A88" s="33">
        <v>24</v>
      </c>
      <c r="B88" s="69" t="s">
        <v>185</v>
      </c>
      <c r="C88" s="84" t="s">
        <v>89</v>
      </c>
      <c r="D88" s="63"/>
      <c r="E88" s="14"/>
      <c r="F88" s="14">
        <v>4</v>
      </c>
      <c r="G88" s="14">
        <v>195.85</v>
      </c>
      <c r="H88" s="109">
        <f>G88*F88/1000</f>
        <v>0.78339999999999999</v>
      </c>
      <c r="I88" s="14">
        <f>G88</f>
        <v>195.85</v>
      </c>
    </row>
    <row r="89" spans="1:9" ht="31.5" customHeight="1">
      <c r="A89" s="33">
        <v>25</v>
      </c>
      <c r="B89" s="148" t="s">
        <v>186</v>
      </c>
      <c r="C89" s="33" t="s">
        <v>187</v>
      </c>
      <c r="D89" s="63"/>
      <c r="E89" s="14"/>
      <c r="F89" s="14">
        <v>2</v>
      </c>
      <c r="G89" s="14">
        <v>1934.94</v>
      </c>
      <c r="H89" s="109">
        <f t="shared" ref="H89" si="7">G89*F89/1000</f>
        <v>3.8698800000000002</v>
      </c>
      <c r="I89" s="14">
        <f t="shared" ref="I89:I90" si="8">G89</f>
        <v>1934.94</v>
      </c>
    </row>
    <row r="90" spans="1:9" ht="15.75" customHeight="1">
      <c r="A90" s="33">
        <v>26</v>
      </c>
      <c r="B90" s="69" t="s">
        <v>87</v>
      </c>
      <c r="C90" s="84" t="s">
        <v>135</v>
      </c>
      <c r="D90" s="63"/>
      <c r="E90" s="14"/>
      <c r="F90" s="14">
        <v>5</v>
      </c>
      <c r="G90" s="14">
        <v>189.88</v>
      </c>
      <c r="H90" s="109">
        <f>G90*F90/1000</f>
        <v>0.94940000000000002</v>
      </c>
      <c r="I90" s="14">
        <f t="shared" si="8"/>
        <v>189.88</v>
      </c>
    </row>
    <row r="91" spans="1:9" ht="15.75" customHeight="1">
      <c r="A91" s="33"/>
      <c r="B91" s="57" t="s">
        <v>52</v>
      </c>
      <c r="C91" s="53"/>
      <c r="D91" s="67"/>
      <c r="E91" s="67"/>
      <c r="F91" s="53">
        <v>1</v>
      </c>
      <c r="G91" s="53"/>
      <c r="H91" s="53"/>
      <c r="I91" s="35">
        <f>SUM(I85:I90)</f>
        <v>18363.850000000002</v>
      </c>
    </row>
    <row r="92" spans="1:9" ht="15.75" customHeight="1">
      <c r="A92" s="33"/>
      <c r="B92" s="63" t="s">
        <v>83</v>
      </c>
      <c r="C92" s="17"/>
      <c r="D92" s="17"/>
      <c r="E92" s="17"/>
      <c r="F92" s="54"/>
      <c r="G92" s="55"/>
      <c r="H92" s="55"/>
      <c r="I92" s="20">
        <v>0</v>
      </c>
    </row>
    <row r="93" spans="1:9" ht="15.75" customHeight="1">
      <c r="A93" s="68"/>
      <c r="B93" s="58" t="s">
        <v>182</v>
      </c>
      <c r="C93" s="41"/>
      <c r="D93" s="41"/>
      <c r="E93" s="41"/>
      <c r="F93" s="41"/>
      <c r="G93" s="41"/>
      <c r="H93" s="41"/>
      <c r="I93" s="56">
        <f>I83+I91</f>
        <v>113499.6692705</v>
      </c>
    </row>
    <row r="94" spans="1:9" ht="15.75" customHeight="1">
      <c r="A94" s="190" t="s">
        <v>264</v>
      </c>
      <c r="B94" s="190"/>
      <c r="C94" s="190"/>
      <c r="D94" s="190"/>
      <c r="E94" s="190"/>
      <c r="F94" s="190"/>
      <c r="G94" s="190"/>
      <c r="H94" s="190"/>
      <c r="I94" s="190"/>
    </row>
    <row r="95" spans="1:9" ht="15.75" customHeight="1">
      <c r="A95" s="108"/>
      <c r="B95" s="182" t="s">
        <v>265</v>
      </c>
      <c r="C95" s="182"/>
      <c r="D95" s="182"/>
      <c r="E95" s="182"/>
      <c r="F95" s="182"/>
      <c r="G95" s="182"/>
      <c r="H95" s="123"/>
      <c r="I95" s="3"/>
    </row>
    <row r="96" spans="1:9" ht="15.75" customHeight="1">
      <c r="A96" s="103"/>
      <c r="B96" s="178" t="s">
        <v>6</v>
      </c>
      <c r="C96" s="178"/>
      <c r="D96" s="178"/>
      <c r="E96" s="178"/>
      <c r="F96" s="178"/>
      <c r="G96" s="178"/>
      <c r="H96" s="28"/>
      <c r="I96" s="5"/>
    </row>
    <row r="97" spans="1:9" ht="7.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83" t="s">
        <v>7</v>
      </c>
      <c r="B98" s="183"/>
      <c r="C98" s="183"/>
      <c r="D98" s="183"/>
      <c r="E98" s="183"/>
      <c r="F98" s="183"/>
      <c r="G98" s="183"/>
      <c r="H98" s="183"/>
      <c r="I98" s="183"/>
    </row>
    <row r="99" spans="1:9" ht="15.75" customHeight="1">
      <c r="A99" s="183" t="s">
        <v>8</v>
      </c>
      <c r="B99" s="183"/>
      <c r="C99" s="183"/>
      <c r="D99" s="183"/>
      <c r="E99" s="183"/>
      <c r="F99" s="183"/>
      <c r="G99" s="183"/>
      <c r="H99" s="183"/>
      <c r="I99" s="183"/>
    </row>
    <row r="100" spans="1:9" ht="15.75" customHeight="1">
      <c r="A100" s="184" t="s">
        <v>65</v>
      </c>
      <c r="B100" s="184"/>
      <c r="C100" s="184"/>
      <c r="D100" s="184"/>
      <c r="E100" s="184"/>
      <c r="F100" s="184"/>
      <c r="G100" s="184"/>
      <c r="H100" s="184"/>
      <c r="I100" s="184"/>
    </row>
    <row r="101" spans="1:9" ht="15.75" customHeight="1">
      <c r="A101" s="11"/>
    </row>
    <row r="102" spans="1:9" ht="15.75" customHeight="1">
      <c r="A102" s="185" t="s">
        <v>9</v>
      </c>
      <c r="B102" s="185"/>
      <c r="C102" s="185"/>
      <c r="D102" s="185"/>
      <c r="E102" s="185"/>
      <c r="F102" s="185"/>
      <c r="G102" s="185"/>
      <c r="H102" s="185"/>
      <c r="I102" s="185"/>
    </row>
    <row r="103" spans="1:9" ht="15.75" customHeight="1">
      <c r="A103" s="4"/>
    </row>
    <row r="104" spans="1:9" ht="15.75" customHeight="1">
      <c r="B104" s="102" t="s">
        <v>10</v>
      </c>
      <c r="C104" s="177" t="s">
        <v>99</v>
      </c>
      <c r="D104" s="177"/>
      <c r="E104" s="177"/>
      <c r="F104" s="177"/>
      <c r="I104" s="105"/>
    </row>
    <row r="105" spans="1:9" ht="15.75" customHeight="1">
      <c r="A105" s="103"/>
      <c r="C105" s="178" t="s">
        <v>11</v>
      </c>
      <c r="D105" s="178"/>
      <c r="E105" s="178"/>
      <c r="F105" s="178"/>
      <c r="I105" s="104" t="s">
        <v>12</v>
      </c>
    </row>
    <row r="106" spans="1:9" ht="15.75" customHeight="1">
      <c r="A106" s="29"/>
      <c r="C106" s="12"/>
      <c r="D106" s="12"/>
      <c r="E106" s="12"/>
      <c r="G106" s="12"/>
      <c r="H106" s="12"/>
    </row>
    <row r="107" spans="1:9" ht="15.75" customHeight="1">
      <c r="B107" s="102" t="s">
        <v>13</v>
      </c>
      <c r="C107" s="179"/>
      <c r="D107" s="179"/>
      <c r="E107" s="179"/>
      <c r="F107" s="179"/>
      <c r="I107" s="105"/>
    </row>
    <row r="108" spans="1:9" ht="15.75" customHeight="1">
      <c r="A108" s="103"/>
      <c r="C108" s="180" t="s">
        <v>11</v>
      </c>
      <c r="D108" s="180"/>
      <c r="E108" s="180"/>
      <c r="F108" s="180"/>
      <c r="I108" s="104" t="s">
        <v>12</v>
      </c>
    </row>
    <row r="109" spans="1:9" ht="15.75" customHeight="1">
      <c r="A109" s="4" t="s">
        <v>14</v>
      </c>
    </row>
    <row r="110" spans="1:9">
      <c r="A110" s="181" t="s">
        <v>15</v>
      </c>
      <c r="B110" s="181"/>
      <c r="C110" s="181"/>
      <c r="D110" s="181"/>
      <c r="E110" s="181"/>
      <c r="F110" s="181"/>
      <c r="G110" s="181"/>
      <c r="H110" s="181"/>
      <c r="I110" s="181"/>
    </row>
    <row r="111" spans="1:9" ht="45" customHeight="1">
      <c r="A111" s="170" t="s">
        <v>16</v>
      </c>
      <c r="B111" s="170"/>
      <c r="C111" s="170"/>
      <c r="D111" s="170"/>
      <c r="E111" s="170"/>
      <c r="F111" s="170"/>
      <c r="G111" s="170"/>
      <c r="H111" s="170"/>
      <c r="I111" s="170"/>
    </row>
    <row r="112" spans="1:9" ht="30" customHeight="1">
      <c r="A112" s="170" t="s">
        <v>17</v>
      </c>
      <c r="B112" s="170"/>
      <c r="C112" s="170"/>
      <c r="D112" s="170"/>
      <c r="E112" s="170"/>
      <c r="F112" s="170"/>
      <c r="G112" s="170"/>
      <c r="H112" s="170"/>
      <c r="I112" s="170"/>
    </row>
    <row r="113" spans="1:9" ht="30" customHeight="1">
      <c r="A113" s="170" t="s">
        <v>21</v>
      </c>
      <c r="B113" s="170"/>
      <c r="C113" s="170"/>
      <c r="D113" s="170"/>
      <c r="E113" s="170"/>
      <c r="F113" s="170"/>
      <c r="G113" s="170"/>
      <c r="H113" s="170"/>
      <c r="I113" s="170"/>
    </row>
    <row r="114" spans="1:9" ht="15" customHeight="1">
      <c r="A114" s="170" t="s">
        <v>20</v>
      </c>
      <c r="B114" s="170"/>
      <c r="C114" s="170"/>
      <c r="D114" s="170"/>
      <c r="E114" s="170"/>
      <c r="F114" s="170"/>
      <c r="G114" s="170"/>
      <c r="H114" s="170"/>
      <c r="I114" s="170"/>
    </row>
  </sheetData>
  <autoFilter ref="I12:I71"/>
  <mergeCells count="29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6:U76"/>
    <mergeCell ref="C108:F108"/>
    <mergeCell ref="A84:I84"/>
    <mergeCell ref="A94:I94"/>
    <mergeCell ref="B95:G95"/>
    <mergeCell ref="B96:G96"/>
    <mergeCell ref="A98:I98"/>
    <mergeCell ref="A99:I99"/>
    <mergeCell ref="A100:I100"/>
    <mergeCell ref="A102:I102"/>
    <mergeCell ref="C104:F104"/>
    <mergeCell ref="C105:F105"/>
    <mergeCell ref="C107:F107"/>
    <mergeCell ref="A80:I80"/>
    <mergeCell ref="A110:I110"/>
    <mergeCell ref="A111:I111"/>
    <mergeCell ref="A112:I112"/>
    <mergeCell ref="A113:I113"/>
    <mergeCell ref="A114:I1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94</v>
      </c>
      <c r="I1" s="30"/>
      <c r="J1" s="1"/>
      <c r="K1" s="1"/>
      <c r="L1" s="1"/>
      <c r="M1" s="1"/>
    </row>
    <row r="2" spans="1:13" ht="15.75" customHeight="1">
      <c r="A2" s="32" t="s">
        <v>67</v>
      </c>
      <c r="J2" s="2"/>
      <c r="K2" s="2"/>
      <c r="L2" s="2"/>
      <c r="M2" s="2"/>
    </row>
    <row r="3" spans="1:13" ht="15.75" customHeight="1">
      <c r="A3" s="191" t="s">
        <v>188</v>
      </c>
      <c r="B3" s="191"/>
      <c r="C3" s="191"/>
      <c r="D3" s="191"/>
      <c r="E3" s="191"/>
      <c r="F3" s="191"/>
      <c r="G3" s="191"/>
      <c r="H3" s="191"/>
      <c r="I3" s="191"/>
      <c r="J3" s="3"/>
      <c r="K3" s="3"/>
      <c r="L3" s="3"/>
    </row>
    <row r="4" spans="1:13" ht="31.5" customHeight="1">
      <c r="A4" s="192" t="s">
        <v>144</v>
      </c>
      <c r="B4" s="192"/>
      <c r="C4" s="192"/>
      <c r="D4" s="192"/>
      <c r="E4" s="192"/>
      <c r="F4" s="192"/>
      <c r="G4" s="192"/>
      <c r="H4" s="192"/>
      <c r="I4" s="192"/>
    </row>
    <row r="5" spans="1:13" ht="15.75" customHeight="1">
      <c r="A5" s="191" t="s">
        <v>189</v>
      </c>
      <c r="B5" s="193"/>
      <c r="C5" s="193"/>
      <c r="D5" s="193"/>
      <c r="E5" s="193"/>
      <c r="F5" s="193"/>
      <c r="G5" s="193"/>
      <c r="H5" s="193"/>
      <c r="I5" s="193"/>
      <c r="J5" s="2"/>
      <c r="K5" s="2"/>
      <c r="L5" s="2"/>
      <c r="M5" s="2"/>
    </row>
    <row r="6" spans="1:13" ht="15.75" customHeight="1">
      <c r="A6" s="2"/>
      <c r="B6" s="106"/>
      <c r="C6" s="106"/>
      <c r="D6" s="106"/>
      <c r="E6" s="106"/>
      <c r="F6" s="106"/>
      <c r="G6" s="106"/>
      <c r="H6" s="106"/>
      <c r="I6" s="34">
        <v>42825</v>
      </c>
      <c r="J6" s="2"/>
      <c r="K6" s="2"/>
      <c r="L6" s="2"/>
      <c r="M6" s="2"/>
    </row>
    <row r="7" spans="1:13" ht="15.75" customHeight="1">
      <c r="B7" s="102"/>
      <c r="C7" s="102"/>
      <c r="D7" s="102"/>
      <c r="E7" s="102"/>
      <c r="F7" s="3"/>
      <c r="G7" s="3"/>
      <c r="H7" s="3"/>
      <c r="J7" s="3"/>
      <c r="K7" s="3"/>
      <c r="L7" s="3"/>
      <c r="M7" s="3"/>
    </row>
    <row r="8" spans="1:13" ht="78.75" customHeight="1">
      <c r="A8" s="194" t="s">
        <v>168</v>
      </c>
      <c r="B8" s="194"/>
      <c r="C8" s="194"/>
      <c r="D8" s="194"/>
      <c r="E8" s="194"/>
      <c r="F8" s="194"/>
      <c r="G8" s="194"/>
      <c r="H8" s="194"/>
      <c r="I8" s="19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95" t="s">
        <v>261</v>
      </c>
      <c r="B10" s="195"/>
      <c r="C10" s="195"/>
      <c r="D10" s="195"/>
      <c r="E10" s="195"/>
      <c r="F10" s="195"/>
      <c r="G10" s="195"/>
      <c r="H10" s="195"/>
      <c r="I10" s="19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6" t="s">
        <v>61</v>
      </c>
      <c r="B14" s="196"/>
      <c r="C14" s="196"/>
      <c r="D14" s="196"/>
      <c r="E14" s="196"/>
      <c r="F14" s="196"/>
      <c r="G14" s="196"/>
      <c r="H14" s="196"/>
      <c r="I14" s="196"/>
      <c r="J14" s="8"/>
      <c r="K14" s="8"/>
      <c r="L14" s="8"/>
      <c r="M14" s="8"/>
    </row>
    <row r="15" spans="1:13" ht="15.75" customHeight="1">
      <c r="A15" s="186" t="s">
        <v>4</v>
      </c>
      <c r="B15" s="186"/>
      <c r="C15" s="186"/>
      <c r="D15" s="186"/>
      <c r="E15" s="186"/>
      <c r="F15" s="186"/>
      <c r="G15" s="186"/>
      <c r="H15" s="186"/>
      <c r="I15" s="186"/>
      <c r="J15" s="8"/>
      <c r="K15" s="8"/>
      <c r="L15" s="8"/>
      <c r="M15" s="8"/>
    </row>
    <row r="16" spans="1:13" ht="15.75" customHeight="1">
      <c r="A16" s="33">
        <v>1</v>
      </c>
      <c r="B16" s="124" t="s">
        <v>95</v>
      </c>
      <c r="C16" s="90" t="s">
        <v>117</v>
      </c>
      <c r="D16" s="124" t="s">
        <v>118</v>
      </c>
      <c r="E16" s="125">
        <v>160.5</v>
      </c>
      <c r="F16" s="126">
        <f>SUM(E16*156/100)</f>
        <v>250.38</v>
      </c>
      <c r="G16" s="126">
        <v>175.38</v>
      </c>
      <c r="H16" s="127">
        <f t="shared" ref="H16:H28" si="0">SUM(F16*G16/1000)</f>
        <v>43.9116444</v>
      </c>
      <c r="I16" s="14">
        <f>F16/12*G16</f>
        <v>3659.3036999999995</v>
      </c>
      <c r="J16" s="8"/>
      <c r="K16" s="8"/>
      <c r="L16" s="8"/>
      <c r="M16" s="8"/>
    </row>
    <row r="17" spans="1:13" ht="15.75" customHeight="1">
      <c r="A17" s="33">
        <v>2</v>
      </c>
      <c r="B17" s="124" t="s">
        <v>102</v>
      </c>
      <c r="C17" s="90" t="s">
        <v>117</v>
      </c>
      <c r="D17" s="124" t="s">
        <v>119</v>
      </c>
      <c r="E17" s="125">
        <v>642</v>
      </c>
      <c r="F17" s="126">
        <f>SUM(E17*104/100)</f>
        <v>667.68</v>
      </c>
      <c r="G17" s="126">
        <v>175.38</v>
      </c>
      <c r="H17" s="127">
        <f t="shared" si="0"/>
        <v>117.09771839999998</v>
      </c>
      <c r="I17" s="14">
        <f>F17/12*G17</f>
        <v>9758.1431999999986</v>
      </c>
      <c r="J17" s="26"/>
      <c r="K17" s="8"/>
      <c r="L17" s="8"/>
      <c r="M17" s="8"/>
    </row>
    <row r="18" spans="1:13" ht="15.75" customHeight="1">
      <c r="A18" s="33">
        <v>3</v>
      </c>
      <c r="B18" s="124" t="s">
        <v>103</v>
      </c>
      <c r="C18" s="90" t="s">
        <v>117</v>
      </c>
      <c r="D18" s="124" t="s">
        <v>120</v>
      </c>
      <c r="E18" s="125">
        <f>SUM(E16+E17)</f>
        <v>802.5</v>
      </c>
      <c r="F18" s="126">
        <f>SUM(E18*24/100)</f>
        <v>192.6</v>
      </c>
      <c r="G18" s="126">
        <v>504.5</v>
      </c>
      <c r="H18" s="127">
        <f t="shared" si="0"/>
        <v>97.166699999999992</v>
      </c>
      <c r="I18" s="14">
        <f>F18/12*G18</f>
        <v>8097.2250000000004</v>
      </c>
      <c r="J18" s="26"/>
      <c r="K18" s="8"/>
      <c r="L18" s="8"/>
      <c r="M18" s="8"/>
    </row>
    <row r="19" spans="1:13" ht="15.75" hidden="1" customHeight="1">
      <c r="A19" s="33"/>
      <c r="B19" s="124" t="s">
        <v>121</v>
      </c>
      <c r="C19" s="90" t="s">
        <v>122</v>
      </c>
      <c r="D19" s="124" t="s">
        <v>123</v>
      </c>
      <c r="E19" s="125">
        <v>38.4</v>
      </c>
      <c r="F19" s="126">
        <f>SUM(E19/10)</f>
        <v>3.84</v>
      </c>
      <c r="G19" s="126">
        <v>170.16</v>
      </c>
      <c r="H19" s="127">
        <f t="shared" si="0"/>
        <v>0.65341439999999995</v>
      </c>
      <c r="I19" s="14">
        <v>0</v>
      </c>
      <c r="J19" s="26"/>
      <c r="K19" s="8"/>
      <c r="L19" s="8"/>
      <c r="M19" s="8"/>
    </row>
    <row r="20" spans="1:13" ht="15.75" customHeight="1">
      <c r="A20" s="33">
        <v>4</v>
      </c>
      <c r="B20" s="124" t="s">
        <v>107</v>
      </c>
      <c r="C20" s="90" t="s">
        <v>117</v>
      </c>
      <c r="D20" s="124" t="s">
        <v>31</v>
      </c>
      <c r="E20" s="125">
        <v>58.4</v>
      </c>
      <c r="F20" s="126">
        <f>SUM(E20*12/100)</f>
        <v>7.0079999999999991</v>
      </c>
      <c r="G20" s="126">
        <v>217.88</v>
      </c>
      <c r="H20" s="127">
        <f t="shared" si="0"/>
        <v>1.5269030399999997</v>
      </c>
      <c r="I20" s="14">
        <f>F20/12*G20</f>
        <v>127.24191999999999</v>
      </c>
      <c r="J20" s="26"/>
      <c r="K20" s="8"/>
      <c r="L20" s="8"/>
      <c r="M20" s="8"/>
    </row>
    <row r="21" spans="1:13" ht="15.75" customHeight="1">
      <c r="A21" s="33">
        <v>5</v>
      </c>
      <c r="B21" s="124" t="s">
        <v>108</v>
      </c>
      <c r="C21" s="90" t="s">
        <v>117</v>
      </c>
      <c r="D21" s="124" t="s">
        <v>31</v>
      </c>
      <c r="E21" s="125">
        <v>9.08</v>
      </c>
      <c r="F21" s="126">
        <f>SUM(E21*12/100)</f>
        <v>1.0896000000000001</v>
      </c>
      <c r="G21" s="126">
        <v>216.12</v>
      </c>
      <c r="H21" s="127">
        <f t="shared" si="0"/>
        <v>0.23548435200000004</v>
      </c>
      <c r="I21" s="14">
        <f>F21/12*G21</f>
        <v>19.623696000000002</v>
      </c>
      <c r="J21" s="26"/>
      <c r="K21" s="8"/>
      <c r="L21" s="8"/>
      <c r="M21" s="8"/>
    </row>
    <row r="22" spans="1:13" ht="15.75" hidden="1" customHeight="1">
      <c r="A22" s="33"/>
      <c r="B22" s="124" t="s">
        <v>124</v>
      </c>
      <c r="C22" s="90" t="s">
        <v>54</v>
      </c>
      <c r="D22" s="124" t="s">
        <v>123</v>
      </c>
      <c r="E22" s="125">
        <v>822.72</v>
      </c>
      <c r="F22" s="126">
        <f>SUM(E22/100)</f>
        <v>8.2271999999999998</v>
      </c>
      <c r="G22" s="126">
        <v>269.26</v>
      </c>
      <c r="H22" s="127">
        <f t="shared" si="0"/>
        <v>2.2152558719999997</v>
      </c>
      <c r="I22" s="14">
        <v>0</v>
      </c>
      <c r="J22" s="26"/>
      <c r="K22" s="8"/>
      <c r="L22" s="8"/>
      <c r="M22" s="8"/>
    </row>
    <row r="23" spans="1:13" ht="15.75" hidden="1" customHeight="1">
      <c r="A23" s="33"/>
      <c r="B23" s="124" t="s">
        <v>125</v>
      </c>
      <c r="C23" s="90" t="s">
        <v>54</v>
      </c>
      <c r="D23" s="124" t="s">
        <v>123</v>
      </c>
      <c r="E23" s="128">
        <v>96.6</v>
      </c>
      <c r="F23" s="126">
        <f>SUM(E23/100)</f>
        <v>0.96599999999999997</v>
      </c>
      <c r="G23" s="126">
        <v>44.29</v>
      </c>
      <c r="H23" s="127">
        <f t="shared" si="0"/>
        <v>4.2784139999999998E-2</v>
      </c>
      <c r="I23" s="14">
        <v>0</v>
      </c>
      <c r="J23" s="26"/>
      <c r="K23" s="8"/>
      <c r="L23" s="8"/>
      <c r="M23" s="8"/>
    </row>
    <row r="24" spans="1:13" ht="15.75" customHeight="1">
      <c r="A24" s="33">
        <v>6</v>
      </c>
      <c r="B24" s="124" t="s">
        <v>113</v>
      </c>
      <c r="C24" s="90" t="s">
        <v>54</v>
      </c>
      <c r="D24" s="124" t="s">
        <v>31</v>
      </c>
      <c r="E24" s="129">
        <v>32</v>
      </c>
      <c r="F24" s="126">
        <f>32*12/1000</f>
        <v>0.38400000000000001</v>
      </c>
      <c r="G24" s="126">
        <v>389.42</v>
      </c>
      <c r="H24" s="127">
        <f>G24*F24/100</f>
        <v>1.4953728000000002</v>
      </c>
      <c r="I24" s="14">
        <f>F24/12*G24</f>
        <v>12.461440000000001</v>
      </c>
      <c r="J24" s="26"/>
      <c r="K24" s="8"/>
      <c r="L24" s="8"/>
      <c r="M24" s="8"/>
    </row>
    <row r="25" spans="1:13" ht="15.75" hidden="1" customHeight="1">
      <c r="A25" s="52">
        <v>6</v>
      </c>
      <c r="B25" s="124" t="s">
        <v>145</v>
      </c>
      <c r="C25" s="90" t="s">
        <v>54</v>
      </c>
      <c r="D25" s="124" t="s">
        <v>55</v>
      </c>
      <c r="E25" s="130">
        <v>38</v>
      </c>
      <c r="F25" s="126">
        <v>0.38</v>
      </c>
      <c r="G25" s="126">
        <v>216.12</v>
      </c>
      <c r="H25" s="127">
        <f>G25*F25/1000</f>
        <v>8.2125600000000007E-2</v>
      </c>
      <c r="I25" s="14">
        <v>0</v>
      </c>
      <c r="J25" s="26"/>
      <c r="K25" s="8"/>
      <c r="L25" s="8"/>
      <c r="M25" s="8"/>
    </row>
    <row r="26" spans="1:13" ht="15.75" customHeight="1">
      <c r="A26" s="52">
        <v>7</v>
      </c>
      <c r="B26" s="124" t="s">
        <v>114</v>
      </c>
      <c r="C26" s="90" t="s">
        <v>54</v>
      </c>
      <c r="D26" s="124" t="s">
        <v>146</v>
      </c>
      <c r="E26" s="125">
        <v>17</v>
      </c>
      <c r="F26" s="126">
        <f>SUM(E26*12/100)</f>
        <v>2.04</v>
      </c>
      <c r="G26" s="126">
        <v>520.79999999999995</v>
      </c>
      <c r="H26" s="127">
        <f t="shared" si="0"/>
        <v>1.062432</v>
      </c>
      <c r="I26" s="14">
        <f>F26/12*G26</f>
        <v>88.536000000000001</v>
      </c>
      <c r="J26" s="26"/>
      <c r="K26" s="8"/>
      <c r="L26" s="8"/>
      <c r="M26" s="8"/>
    </row>
    <row r="27" spans="1:13" ht="15.75" customHeight="1">
      <c r="A27" s="52">
        <v>8</v>
      </c>
      <c r="B27" s="124" t="s">
        <v>69</v>
      </c>
      <c r="C27" s="90" t="s">
        <v>34</v>
      </c>
      <c r="D27" s="124" t="s">
        <v>179</v>
      </c>
      <c r="E27" s="125">
        <v>0.1</v>
      </c>
      <c r="F27" s="126">
        <f>SUM(E27*365)</f>
        <v>36.5</v>
      </c>
      <c r="G27" s="126">
        <v>147.03</v>
      </c>
      <c r="H27" s="127">
        <f t="shared" si="0"/>
        <v>5.3665950000000002</v>
      </c>
      <c r="I27" s="14">
        <f>F27/12*G27</f>
        <v>447.21625</v>
      </c>
      <c r="J27" s="26"/>
      <c r="K27" s="8"/>
      <c r="L27" s="8"/>
      <c r="M27" s="8"/>
    </row>
    <row r="28" spans="1:13" ht="15.75" customHeight="1">
      <c r="A28" s="52">
        <v>9</v>
      </c>
      <c r="B28" s="131" t="s">
        <v>23</v>
      </c>
      <c r="C28" s="90" t="s">
        <v>24</v>
      </c>
      <c r="D28" s="131" t="s">
        <v>179</v>
      </c>
      <c r="E28" s="125">
        <v>5926.8</v>
      </c>
      <c r="F28" s="126">
        <f>SUM(E28*12)</f>
        <v>71121.600000000006</v>
      </c>
      <c r="G28" s="126">
        <v>4.53</v>
      </c>
      <c r="H28" s="127">
        <f t="shared" si="0"/>
        <v>322.18084800000008</v>
      </c>
      <c r="I28" s="14">
        <f>F28/12*G28</f>
        <v>26848.404000000002</v>
      </c>
      <c r="J28" s="26"/>
      <c r="K28" s="8"/>
      <c r="L28" s="8"/>
      <c r="M28" s="8"/>
    </row>
    <row r="29" spans="1:13" ht="15.75" customHeight="1">
      <c r="A29" s="186" t="s">
        <v>93</v>
      </c>
      <c r="B29" s="186"/>
      <c r="C29" s="186"/>
      <c r="D29" s="186"/>
      <c r="E29" s="186"/>
      <c r="F29" s="186"/>
      <c r="G29" s="186"/>
      <c r="H29" s="186"/>
      <c r="I29" s="186"/>
      <c r="J29" s="26"/>
      <c r="K29" s="8"/>
      <c r="L29" s="8"/>
      <c r="M29" s="8"/>
    </row>
    <row r="30" spans="1:13" ht="15.75" hidden="1" customHeight="1">
      <c r="A30" s="52"/>
      <c r="B30" s="62" t="s">
        <v>29</v>
      </c>
      <c r="C30" s="62"/>
      <c r="D30" s="62"/>
      <c r="E30" s="62"/>
      <c r="F30" s="62"/>
      <c r="G30" s="62"/>
      <c r="H30" s="62"/>
      <c r="I30" s="21"/>
      <c r="J30" s="26"/>
      <c r="K30" s="8"/>
      <c r="L30" s="8"/>
      <c r="M30" s="8"/>
    </row>
    <row r="31" spans="1:13" ht="15.75" hidden="1" customHeight="1">
      <c r="A31" s="52">
        <v>2</v>
      </c>
      <c r="B31" s="124" t="s">
        <v>126</v>
      </c>
      <c r="C31" s="90" t="s">
        <v>127</v>
      </c>
      <c r="D31" s="124" t="s">
        <v>148</v>
      </c>
      <c r="E31" s="126">
        <v>2732.4</v>
      </c>
      <c r="F31" s="126">
        <f>SUM(E31*26/1000)</f>
        <v>71.042400000000015</v>
      </c>
      <c r="G31" s="126">
        <v>155.88999999999999</v>
      </c>
      <c r="H31" s="127">
        <f t="shared" ref="H31:H33" si="1">SUM(F31*G31/1000)</f>
        <v>11.074799736000001</v>
      </c>
      <c r="I31" s="14">
        <v>0</v>
      </c>
      <c r="J31" s="26"/>
      <c r="K31" s="8"/>
      <c r="L31" s="8"/>
      <c r="M31" s="8"/>
    </row>
    <row r="32" spans="1:13" ht="31.5" hidden="1" customHeight="1">
      <c r="A32" s="52">
        <v>3</v>
      </c>
      <c r="B32" s="124" t="s">
        <v>149</v>
      </c>
      <c r="C32" s="90" t="s">
        <v>127</v>
      </c>
      <c r="D32" s="124" t="s">
        <v>128</v>
      </c>
      <c r="E32" s="126">
        <v>547.85</v>
      </c>
      <c r="F32" s="126">
        <f>SUM(E32*78/1000)</f>
        <v>42.732300000000002</v>
      </c>
      <c r="G32" s="126">
        <v>258.63</v>
      </c>
      <c r="H32" s="127">
        <f t="shared" si="1"/>
        <v>11.051854749</v>
      </c>
      <c r="I32" s="14">
        <v>0</v>
      </c>
      <c r="J32" s="26"/>
      <c r="K32" s="8"/>
      <c r="L32" s="8"/>
      <c r="M32" s="8"/>
    </row>
    <row r="33" spans="1:14" ht="15.75" hidden="1" customHeight="1">
      <c r="A33" s="52">
        <v>4</v>
      </c>
      <c r="B33" s="124" t="s">
        <v>28</v>
      </c>
      <c r="C33" s="90" t="s">
        <v>127</v>
      </c>
      <c r="D33" s="124" t="s">
        <v>55</v>
      </c>
      <c r="E33" s="126">
        <v>2732.4</v>
      </c>
      <c r="F33" s="126">
        <f>SUM(E33/1000)</f>
        <v>2.7324000000000002</v>
      </c>
      <c r="G33" s="126">
        <v>3020.33</v>
      </c>
      <c r="H33" s="127">
        <f t="shared" si="1"/>
        <v>8.2527496920000001</v>
      </c>
      <c r="I33" s="14">
        <v>0</v>
      </c>
      <c r="J33" s="26"/>
      <c r="K33" s="8"/>
      <c r="L33" s="8"/>
      <c r="M33" s="8"/>
    </row>
    <row r="34" spans="1:14" ht="15.75" hidden="1" customHeight="1">
      <c r="A34" s="52"/>
      <c r="B34" s="124" t="s">
        <v>147</v>
      </c>
      <c r="C34" s="90" t="s">
        <v>40</v>
      </c>
      <c r="D34" s="124" t="s">
        <v>68</v>
      </c>
      <c r="E34" s="126">
        <v>8</v>
      </c>
      <c r="F34" s="126">
        <v>12.4</v>
      </c>
      <c r="G34" s="126">
        <v>1302.02</v>
      </c>
      <c r="H34" s="127">
        <v>16.145</v>
      </c>
      <c r="I34" s="14">
        <v>0</v>
      </c>
      <c r="J34" s="26"/>
      <c r="K34" s="8"/>
      <c r="L34" s="8"/>
      <c r="M34" s="8"/>
    </row>
    <row r="35" spans="1:14" ht="15.75" hidden="1" customHeight="1">
      <c r="A35" s="52">
        <v>5</v>
      </c>
      <c r="B35" s="124" t="s">
        <v>180</v>
      </c>
      <c r="C35" s="90" t="s">
        <v>32</v>
      </c>
      <c r="D35" s="124" t="s">
        <v>68</v>
      </c>
      <c r="E35" s="132">
        <v>1</v>
      </c>
      <c r="F35" s="126">
        <v>155</v>
      </c>
      <c r="G35" s="126">
        <v>56.69</v>
      </c>
      <c r="H35" s="127">
        <f>SUM(G35*155/1000)</f>
        <v>8.7869499999999992</v>
      </c>
      <c r="I35" s="14">
        <v>0</v>
      </c>
      <c r="J35" s="26"/>
      <c r="K35" s="8"/>
      <c r="L35" s="8"/>
      <c r="M35" s="8"/>
    </row>
    <row r="36" spans="1:14" ht="15.75" hidden="1" customHeight="1">
      <c r="A36" s="52">
        <v>4</v>
      </c>
      <c r="B36" s="124" t="s">
        <v>70</v>
      </c>
      <c r="C36" s="90" t="s">
        <v>34</v>
      </c>
      <c r="D36" s="124" t="s">
        <v>72</v>
      </c>
      <c r="E36" s="125"/>
      <c r="F36" s="126">
        <v>2</v>
      </c>
      <c r="G36" s="126">
        <v>191.32</v>
      </c>
      <c r="H36" s="127">
        <f t="shared" ref="H36:H37" si="2">SUM(F36*G36/1000)</f>
        <v>0.38263999999999998</v>
      </c>
      <c r="I36" s="14">
        <v>0</v>
      </c>
      <c r="J36" s="26"/>
      <c r="K36" s="8"/>
    </row>
    <row r="37" spans="1:14" ht="15.75" hidden="1" customHeight="1">
      <c r="A37" s="33">
        <v>8</v>
      </c>
      <c r="B37" s="124" t="s">
        <v>71</v>
      </c>
      <c r="C37" s="90" t="s">
        <v>33</v>
      </c>
      <c r="D37" s="124" t="s">
        <v>72</v>
      </c>
      <c r="E37" s="125"/>
      <c r="F37" s="126">
        <v>3</v>
      </c>
      <c r="G37" s="126">
        <v>1136.32</v>
      </c>
      <c r="H37" s="127">
        <f t="shared" si="2"/>
        <v>3.40896</v>
      </c>
      <c r="I37" s="14">
        <v>0</v>
      </c>
      <c r="J37" s="27"/>
    </row>
    <row r="38" spans="1:14" ht="15.75" customHeight="1">
      <c r="A38" s="52"/>
      <c r="B38" s="60" t="s">
        <v>5</v>
      </c>
      <c r="C38" s="60"/>
      <c r="D38" s="60"/>
      <c r="E38" s="60"/>
      <c r="F38" s="14"/>
      <c r="G38" s="15"/>
      <c r="H38" s="15"/>
      <c r="I38" s="21"/>
      <c r="J38" s="27"/>
    </row>
    <row r="39" spans="1:14" ht="15.75" customHeight="1">
      <c r="A39" s="38">
        <v>10</v>
      </c>
      <c r="B39" s="124" t="s">
        <v>27</v>
      </c>
      <c r="C39" s="90" t="s">
        <v>33</v>
      </c>
      <c r="D39" s="124"/>
      <c r="E39" s="125"/>
      <c r="F39" s="126">
        <v>15</v>
      </c>
      <c r="G39" s="126">
        <v>1527.22</v>
      </c>
      <c r="H39" s="127">
        <f>SUM(F39*G39/1000)</f>
        <v>22.908300000000001</v>
      </c>
      <c r="I39" s="14">
        <f t="shared" ref="I39:I44" si="3">F39/6*G39</f>
        <v>3818.05</v>
      </c>
      <c r="J39" s="27"/>
    </row>
    <row r="40" spans="1:14" ht="15.75" customHeight="1">
      <c r="A40" s="38">
        <v>11</v>
      </c>
      <c r="B40" s="124" t="s">
        <v>73</v>
      </c>
      <c r="C40" s="90" t="s">
        <v>30</v>
      </c>
      <c r="D40" s="124" t="s">
        <v>130</v>
      </c>
      <c r="E40" s="126">
        <v>547.85</v>
      </c>
      <c r="F40" s="126">
        <f>SUM(E40*50/1000)</f>
        <v>27.392499999999998</v>
      </c>
      <c r="G40" s="126">
        <v>2102.71</v>
      </c>
      <c r="H40" s="127">
        <f t="shared" ref="H40:H44" si="4">SUM(F40*G40/1000)</f>
        <v>57.598483674999997</v>
      </c>
      <c r="I40" s="14">
        <f t="shared" si="3"/>
        <v>9599.747279166666</v>
      </c>
      <c r="J40" s="27"/>
    </row>
    <row r="41" spans="1:14" ht="15.75" customHeight="1">
      <c r="A41" s="38">
        <v>12</v>
      </c>
      <c r="B41" s="124" t="s">
        <v>74</v>
      </c>
      <c r="C41" s="90" t="s">
        <v>30</v>
      </c>
      <c r="D41" s="124" t="s">
        <v>131</v>
      </c>
      <c r="E41" s="126">
        <v>140</v>
      </c>
      <c r="F41" s="126">
        <f>SUM(E41*155/1000)</f>
        <v>21.7</v>
      </c>
      <c r="G41" s="126">
        <v>350.75</v>
      </c>
      <c r="H41" s="127">
        <f t="shared" si="4"/>
        <v>7.611275</v>
      </c>
      <c r="I41" s="14">
        <f t="shared" si="3"/>
        <v>1268.5458333333333</v>
      </c>
      <c r="J41" s="27"/>
    </row>
    <row r="42" spans="1:14" ht="31.5" customHeight="1">
      <c r="A42" s="38">
        <v>13</v>
      </c>
      <c r="B42" s="124" t="s">
        <v>88</v>
      </c>
      <c r="C42" s="90" t="s">
        <v>127</v>
      </c>
      <c r="D42" s="124" t="s">
        <v>150</v>
      </c>
      <c r="E42" s="126">
        <v>140</v>
      </c>
      <c r="F42" s="126">
        <f>SUM(E42*12/1000)</f>
        <v>1.68</v>
      </c>
      <c r="G42" s="126">
        <v>5803.28</v>
      </c>
      <c r="H42" s="127">
        <f t="shared" si="4"/>
        <v>9.7495103999999984</v>
      </c>
      <c r="I42" s="14">
        <f t="shared" si="3"/>
        <v>1624.9183999999998</v>
      </c>
      <c r="J42" s="27"/>
    </row>
    <row r="43" spans="1:14" ht="15.75" customHeight="1">
      <c r="A43" s="38">
        <v>14</v>
      </c>
      <c r="B43" s="124" t="s">
        <v>132</v>
      </c>
      <c r="C43" s="90" t="s">
        <v>127</v>
      </c>
      <c r="D43" s="37" t="s">
        <v>266</v>
      </c>
      <c r="E43" s="36">
        <v>140</v>
      </c>
      <c r="F43" s="40">
        <f>SUM(E43*15/1000)</f>
        <v>2.1</v>
      </c>
      <c r="G43" s="36">
        <v>428.7</v>
      </c>
      <c r="H43" s="203">
        <f t="shared" ref="H43" si="5">SUM(F43*G43/1000)</f>
        <v>0.90027000000000001</v>
      </c>
      <c r="I43" s="14">
        <f>F43/2*G43</f>
        <v>450.13499999999999</v>
      </c>
      <c r="J43" s="27"/>
    </row>
    <row r="44" spans="1:14" ht="15.75" customHeight="1">
      <c r="A44" s="38">
        <v>15</v>
      </c>
      <c r="B44" s="124" t="s">
        <v>76</v>
      </c>
      <c r="C44" s="90" t="s">
        <v>34</v>
      </c>
      <c r="D44" s="124"/>
      <c r="E44" s="125"/>
      <c r="F44" s="126">
        <v>0.9</v>
      </c>
      <c r="G44" s="126">
        <v>798</v>
      </c>
      <c r="H44" s="127">
        <f t="shared" si="4"/>
        <v>0.71820000000000006</v>
      </c>
      <c r="I44" s="14">
        <f t="shared" si="3"/>
        <v>119.69999999999999</v>
      </c>
      <c r="J44" s="27"/>
      <c r="L44" s="23"/>
      <c r="M44" s="24"/>
      <c r="N44" s="25"/>
    </row>
    <row r="45" spans="1:14" ht="15.75" customHeight="1">
      <c r="A45" s="187" t="s">
        <v>176</v>
      </c>
      <c r="B45" s="188"/>
      <c r="C45" s="188"/>
      <c r="D45" s="188"/>
      <c r="E45" s="188"/>
      <c r="F45" s="188"/>
      <c r="G45" s="188"/>
      <c r="H45" s="188"/>
      <c r="I45" s="189"/>
      <c r="J45" s="27"/>
      <c r="L45" s="23"/>
      <c r="M45" s="24"/>
      <c r="N45" s="25"/>
    </row>
    <row r="46" spans="1:14" ht="15.75" hidden="1" customHeight="1">
      <c r="A46" s="52">
        <v>15</v>
      </c>
      <c r="B46" s="124" t="s">
        <v>133</v>
      </c>
      <c r="C46" s="90" t="s">
        <v>127</v>
      </c>
      <c r="D46" s="124" t="s">
        <v>42</v>
      </c>
      <c r="E46" s="125">
        <v>1640.4</v>
      </c>
      <c r="F46" s="126">
        <f>SUM(E46*2/1000)</f>
        <v>3.2808000000000002</v>
      </c>
      <c r="G46" s="14">
        <v>849.49</v>
      </c>
      <c r="H46" s="127">
        <f t="shared" ref="H46:H54" si="6">SUM(F46*G46/1000)</f>
        <v>2.7870067920000001</v>
      </c>
      <c r="I46" s="14">
        <v>0</v>
      </c>
      <c r="J46" s="27"/>
      <c r="L46" s="23"/>
      <c r="M46" s="24"/>
      <c r="N46" s="25"/>
    </row>
    <row r="47" spans="1:14" ht="15.75" hidden="1" customHeight="1">
      <c r="A47" s="52"/>
      <c r="B47" s="124" t="s">
        <v>35</v>
      </c>
      <c r="C47" s="90" t="s">
        <v>127</v>
      </c>
      <c r="D47" s="124" t="s">
        <v>42</v>
      </c>
      <c r="E47" s="125">
        <v>918.25</v>
      </c>
      <c r="F47" s="126">
        <f>SUM(E47*2/1000)</f>
        <v>1.8365</v>
      </c>
      <c r="G47" s="14">
        <v>579.48</v>
      </c>
      <c r="H47" s="127">
        <f t="shared" si="6"/>
        <v>1.06421502</v>
      </c>
      <c r="I47" s="14">
        <v>0</v>
      </c>
      <c r="J47" s="27"/>
      <c r="L47" s="23"/>
      <c r="M47" s="24"/>
      <c r="N47" s="25"/>
    </row>
    <row r="48" spans="1:14" ht="15.75" hidden="1" customHeight="1">
      <c r="A48" s="52">
        <v>16</v>
      </c>
      <c r="B48" s="124" t="s">
        <v>36</v>
      </c>
      <c r="C48" s="90" t="s">
        <v>127</v>
      </c>
      <c r="D48" s="124" t="s">
        <v>42</v>
      </c>
      <c r="E48" s="125">
        <v>5592.26</v>
      </c>
      <c r="F48" s="126">
        <f>SUM(E48*2/1000)</f>
        <v>11.184520000000001</v>
      </c>
      <c r="G48" s="14">
        <v>579.48</v>
      </c>
      <c r="H48" s="127">
        <f t="shared" si="6"/>
        <v>6.4812056496000006</v>
      </c>
      <c r="I48" s="14">
        <v>0</v>
      </c>
      <c r="J48" s="27"/>
      <c r="L48" s="23"/>
      <c r="M48" s="24"/>
      <c r="N48" s="25"/>
    </row>
    <row r="49" spans="1:14" ht="15.75" hidden="1" customHeight="1">
      <c r="A49" s="52">
        <v>17</v>
      </c>
      <c r="B49" s="124" t="s">
        <v>37</v>
      </c>
      <c r="C49" s="90" t="s">
        <v>127</v>
      </c>
      <c r="D49" s="124" t="s">
        <v>42</v>
      </c>
      <c r="E49" s="125">
        <v>2817.65</v>
      </c>
      <c r="F49" s="126">
        <f>SUM(E49*2/1000)</f>
        <v>5.6353</v>
      </c>
      <c r="G49" s="14">
        <v>606.77</v>
      </c>
      <c r="H49" s="127">
        <f t="shared" si="6"/>
        <v>3.4193309809999999</v>
      </c>
      <c r="I49" s="14">
        <v>0</v>
      </c>
      <c r="J49" s="27"/>
      <c r="L49" s="23"/>
      <c r="M49" s="24"/>
      <c r="N49" s="25"/>
    </row>
    <row r="50" spans="1:14" ht="15.75" hidden="1" customHeight="1">
      <c r="A50" s="52">
        <v>16</v>
      </c>
      <c r="B50" s="124" t="s">
        <v>58</v>
      </c>
      <c r="C50" s="90" t="s">
        <v>127</v>
      </c>
      <c r="D50" s="124" t="s">
        <v>152</v>
      </c>
      <c r="E50" s="125">
        <v>3280.8</v>
      </c>
      <c r="F50" s="126">
        <f>SUM(E50*5/1000)</f>
        <v>16.404</v>
      </c>
      <c r="G50" s="14">
        <v>1213.55</v>
      </c>
      <c r="H50" s="127">
        <f t="shared" si="6"/>
        <v>19.9070742</v>
      </c>
      <c r="I50" s="14">
        <f>F50/5*G50</f>
        <v>3981.4148399999999</v>
      </c>
      <c r="J50" s="27"/>
      <c r="L50" s="23"/>
      <c r="M50" s="24"/>
      <c r="N50" s="25"/>
    </row>
    <row r="51" spans="1:14" ht="31.5" hidden="1" customHeight="1">
      <c r="A51" s="52">
        <v>13</v>
      </c>
      <c r="B51" s="124" t="s">
        <v>134</v>
      </c>
      <c r="C51" s="90" t="s">
        <v>127</v>
      </c>
      <c r="D51" s="124" t="s">
        <v>42</v>
      </c>
      <c r="E51" s="125">
        <v>3280.8</v>
      </c>
      <c r="F51" s="126">
        <f>SUM(E51*2/1000)</f>
        <v>6.5616000000000003</v>
      </c>
      <c r="G51" s="14">
        <v>1213.55</v>
      </c>
      <c r="H51" s="127">
        <f t="shared" si="6"/>
        <v>7.9628296799999996</v>
      </c>
      <c r="I51" s="14">
        <v>0</v>
      </c>
      <c r="J51" s="27"/>
      <c r="L51" s="23"/>
      <c r="M51" s="24"/>
      <c r="N51" s="25"/>
    </row>
    <row r="52" spans="1:14" ht="31.5" hidden="1" customHeight="1">
      <c r="A52" s="52">
        <v>14</v>
      </c>
      <c r="B52" s="124" t="s">
        <v>151</v>
      </c>
      <c r="C52" s="90" t="s">
        <v>38</v>
      </c>
      <c r="D52" s="124" t="s">
        <v>42</v>
      </c>
      <c r="E52" s="125">
        <v>40</v>
      </c>
      <c r="F52" s="126">
        <f>SUM(E52*2/100)</f>
        <v>0.8</v>
      </c>
      <c r="G52" s="14">
        <v>2730.49</v>
      </c>
      <c r="H52" s="127">
        <f t="shared" si="6"/>
        <v>2.1843919999999999</v>
      </c>
      <c r="I52" s="14">
        <v>0</v>
      </c>
      <c r="J52" s="27"/>
      <c r="L52" s="23"/>
      <c r="M52" s="24"/>
      <c r="N52" s="25"/>
    </row>
    <row r="53" spans="1:14" ht="15.75" customHeight="1">
      <c r="A53" s="52">
        <v>16</v>
      </c>
      <c r="B53" s="124" t="s">
        <v>39</v>
      </c>
      <c r="C53" s="90" t="s">
        <v>40</v>
      </c>
      <c r="D53" s="124" t="s">
        <v>42</v>
      </c>
      <c r="E53" s="125">
        <v>1</v>
      </c>
      <c r="F53" s="126">
        <v>0.02</v>
      </c>
      <c r="G53" s="14">
        <v>5652.13</v>
      </c>
      <c r="H53" s="127">
        <f t="shared" si="6"/>
        <v>0.11304260000000001</v>
      </c>
      <c r="I53" s="14">
        <f>F53/2*G53</f>
        <v>56.521300000000004</v>
      </c>
      <c r="J53" s="27"/>
      <c r="L53" s="23"/>
      <c r="M53" s="24"/>
      <c r="N53" s="25"/>
    </row>
    <row r="54" spans="1:14" ht="15.75" hidden="1" customHeight="1">
      <c r="A54" s="52">
        <v>17</v>
      </c>
      <c r="B54" s="124" t="s">
        <v>41</v>
      </c>
      <c r="C54" s="90" t="s">
        <v>135</v>
      </c>
      <c r="D54" s="124" t="s">
        <v>77</v>
      </c>
      <c r="E54" s="125">
        <v>238</v>
      </c>
      <c r="F54" s="126">
        <f>SUM(E54)*3</f>
        <v>714</v>
      </c>
      <c r="G54" s="14">
        <v>65.67</v>
      </c>
      <c r="H54" s="127">
        <f t="shared" si="6"/>
        <v>46.888380000000005</v>
      </c>
      <c r="I54" s="14">
        <f>E54*G54</f>
        <v>15629.460000000001</v>
      </c>
      <c r="J54" s="27"/>
      <c r="L54" s="23"/>
      <c r="M54" s="24"/>
      <c r="N54" s="25"/>
    </row>
    <row r="55" spans="1:14" ht="15.75" customHeight="1">
      <c r="A55" s="187" t="s">
        <v>177</v>
      </c>
      <c r="B55" s="188"/>
      <c r="C55" s="188"/>
      <c r="D55" s="188"/>
      <c r="E55" s="188"/>
      <c r="F55" s="188"/>
      <c r="G55" s="188"/>
      <c r="H55" s="188"/>
      <c r="I55" s="189"/>
      <c r="J55" s="27"/>
      <c r="L55" s="23"/>
      <c r="M55" s="24"/>
      <c r="N55" s="25"/>
    </row>
    <row r="56" spans="1:14" ht="15.75" customHeight="1">
      <c r="A56" s="65"/>
      <c r="B56" s="59" t="s">
        <v>43</v>
      </c>
      <c r="C56" s="18"/>
      <c r="D56" s="17"/>
      <c r="E56" s="17"/>
      <c r="F56" s="17"/>
      <c r="G56" s="33"/>
      <c r="H56" s="33"/>
      <c r="I56" s="21"/>
      <c r="J56" s="27"/>
      <c r="L56" s="23"/>
      <c r="M56" s="24"/>
      <c r="N56" s="25"/>
    </row>
    <row r="57" spans="1:14" ht="15.75" hidden="1" customHeight="1">
      <c r="A57" s="52">
        <v>15</v>
      </c>
      <c r="B57" s="124" t="s">
        <v>153</v>
      </c>
      <c r="C57" s="90" t="s">
        <v>117</v>
      </c>
      <c r="D57" s="124" t="s">
        <v>55</v>
      </c>
      <c r="E57" s="133">
        <v>1640.4</v>
      </c>
      <c r="F57" s="14">
        <f>E57/100</f>
        <v>16.404</v>
      </c>
      <c r="G57" s="126">
        <v>472.59</v>
      </c>
      <c r="H57" s="127">
        <f>SUM(F57*G57/1000)</f>
        <v>7.7523663599999999</v>
      </c>
      <c r="I57" s="14">
        <v>0</v>
      </c>
      <c r="J57" s="27"/>
      <c r="L57" s="23"/>
      <c r="M57" s="24"/>
      <c r="N57" s="25"/>
    </row>
    <row r="58" spans="1:14" ht="31.5" customHeight="1">
      <c r="A58" s="52">
        <v>17</v>
      </c>
      <c r="B58" s="124" t="s">
        <v>154</v>
      </c>
      <c r="C58" s="90" t="s">
        <v>117</v>
      </c>
      <c r="D58" s="124" t="s">
        <v>155</v>
      </c>
      <c r="E58" s="125">
        <v>164.04</v>
      </c>
      <c r="F58" s="14">
        <f>E58*6/100</f>
        <v>9.8423999999999996</v>
      </c>
      <c r="G58" s="134">
        <v>1547.28</v>
      </c>
      <c r="H58" s="127">
        <f>F58*G58/1000</f>
        <v>15.228948671999998</v>
      </c>
      <c r="I58" s="14">
        <f>F58/6*G58</f>
        <v>2538.1581119999996</v>
      </c>
      <c r="J58" s="27"/>
      <c r="L58" s="23"/>
      <c r="M58" s="24"/>
      <c r="N58" s="25"/>
    </row>
    <row r="59" spans="1:14" ht="15.75" customHeight="1">
      <c r="A59" s="52">
        <v>18</v>
      </c>
      <c r="B59" s="135" t="s">
        <v>104</v>
      </c>
      <c r="C59" s="136" t="s">
        <v>117</v>
      </c>
      <c r="D59" s="135" t="s">
        <v>156</v>
      </c>
      <c r="E59" s="137">
        <v>8</v>
      </c>
      <c r="F59" s="138">
        <f>E59*8/100</f>
        <v>0.64</v>
      </c>
      <c r="G59" s="134">
        <v>1547.28</v>
      </c>
      <c r="H59" s="139">
        <f>F59*G59/1000</f>
        <v>0.99025920000000001</v>
      </c>
      <c r="I59" s="14">
        <f>F59/6*G59</f>
        <v>165.04320000000001</v>
      </c>
      <c r="J59" s="27"/>
      <c r="L59" s="23"/>
      <c r="M59" s="24"/>
      <c r="N59" s="25"/>
    </row>
    <row r="60" spans="1:14" ht="15.75" hidden="1" customHeight="1">
      <c r="A60" s="52"/>
      <c r="B60" s="135" t="s">
        <v>109</v>
      </c>
      <c r="C60" s="136" t="s">
        <v>110</v>
      </c>
      <c r="D60" s="135" t="s">
        <v>42</v>
      </c>
      <c r="E60" s="137">
        <v>8</v>
      </c>
      <c r="F60" s="138">
        <v>16</v>
      </c>
      <c r="G60" s="140">
        <v>180.78</v>
      </c>
      <c r="H60" s="139">
        <f>F60*G60/1000</f>
        <v>2.8924799999999999</v>
      </c>
      <c r="I60" s="14">
        <v>0</v>
      </c>
      <c r="J60" s="27"/>
      <c r="L60" s="23"/>
      <c r="M60" s="24"/>
      <c r="N60" s="25"/>
    </row>
    <row r="61" spans="1:14" ht="15.75" customHeight="1">
      <c r="A61" s="52"/>
      <c r="B61" s="107" t="s">
        <v>44</v>
      </c>
      <c r="C61" s="107"/>
      <c r="D61" s="107"/>
      <c r="E61" s="107"/>
      <c r="F61" s="107"/>
      <c r="G61" s="107"/>
      <c r="H61" s="107"/>
      <c r="I61" s="42"/>
      <c r="J61" s="27"/>
      <c r="L61" s="23"/>
      <c r="M61" s="24"/>
      <c r="N61" s="25"/>
    </row>
    <row r="62" spans="1:14" ht="15.75" customHeight="1">
      <c r="A62" s="52">
        <v>19</v>
      </c>
      <c r="B62" s="135" t="s">
        <v>105</v>
      </c>
      <c r="C62" s="136" t="s">
        <v>26</v>
      </c>
      <c r="D62" s="135" t="s">
        <v>157</v>
      </c>
      <c r="E62" s="137">
        <v>329.4</v>
      </c>
      <c r="F62" s="138">
        <f>E62*12</f>
        <v>3952.7999999999997</v>
      </c>
      <c r="G62" s="141">
        <v>2.5960000000000001</v>
      </c>
      <c r="H62" s="139">
        <f>G62*F62</f>
        <v>10261.468799999999</v>
      </c>
      <c r="I62" s="14">
        <f>F62/12*G62</f>
        <v>855.12239999999997</v>
      </c>
      <c r="J62" s="27"/>
      <c r="L62" s="23"/>
      <c r="M62" s="24"/>
      <c r="N62" s="25"/>
    </row>
    <row r="63" spans="1:14" ht="15.75" hidden="1" customHeight="1">
      <c r="A63" s="52"/>
      <c r="B63" s="135" t="s">
        <v>45</v>
      </c>
      <c r="C63" s="136" t="s">
        <v>26</v>
      </c>
      <c r="D63" s="135" t="s">
        <v>55</v>
      </c>
      <c r="E63" s="137">
        <v>1640.4</v>
      </c>
      <c r="F63" s="138">
        <v>16.404</v>
      </c>
      <c r="G63" s="142">
        <v>739.61</v>
      </c>
      <c r="H63" s="139">
        <f>G63*F63/1000</f>
        <v>12.132562439999999</v>
      </c>
      <c r="I63" s="14">
        <v>0</v>
      </c>
      <c r="J63" s="27"/>
      <c r="L63" s="23"/>
      <c r="M63" s="24"/>
      <c r="N63" s="25"/>
    </row>
    <row r="64" spans="1:14" ht="15.75" hidden="1" customHeight="1">
      <c r="A64" s="52"/>
      <c r="B64" s="107" t="s">
        <v>46</v>
      </c>
      <c r="C64" s="18"/>
      <c r="D64" s="46"/>
      <c r="E64" s="46"/>
      <c r="F64" s="17"/>
      <c r="G64" s="33"/>
      <c r="H64" s="33"/>
      <c r="I64" s="21"/>
      <c r="J64" s="27"/>
      <c r="L64" s="23"/>
      <c r="M64" s="24"/>
      <c r="N64" s="25"/>
    </row>
    <row r="65" spans="1:22" ht="15.75" hidden="1" customHeight="1">
      <c r="A65" s="52">
        <v>21</v>
      </c>
      <c r="B65" s="16" t="s">
        <v>47</v>
      </c>
      <c r="C65" s="18" t="s">
        <v>135</v>
      </c>
      <c r="D65" s="16" t="s">
        <v>72</v>
      </c>
      <c r="E65" s="21">
        <v>40</v>
      </c>
      <c r="F65" s="126">
        <v>40</v>
      </c>
      <c r="G65" s="14">
        <v>222.4</v>
      </c>
      <c r="H65" s="109">
        <f t="shared" ref="H65:H72" si="7">SUM(F65*G65/1000)</f>
        <v>8.8960000000000008</v>
      </c>
      <c r="I65" s="14">
        <f>G65</f>
        <v>222.4</v>
      </c>
      <c r="J65" s="27"/>
      <c r="L65" s="23"/>
      <c r="M65" s="24"/>
      <c r="N65" s="25"/>
    </row>
    <row r="66" spans="1:22" ht="15.75" hidden="1" customHeight="1">
      <c r="A66" s="33">
        <v>29</v>
      </c>
      <c r="B66" s="16" t="s">
        <v>48</v>
      </c>
      <c r="C66" s="18" t="s">
        <v>135</v>
      </c>
      <c r="D66" s="16" t="s">
        <v>72</v>
      </c>
      <c r="E66" s="21">
        <v>15</v>
      </c>
      <c r="F66" s="126">
        <v>15</v>
      </c>
      <c r="G66" s="14">
        <v>76.25</v>
      </c>
      <c r="H66" s="109">
        <f t="shared" si="7"/>
        <v>1.14375</v>
      </c>
      <c r="I66" s="14">
        <v>0</v>
      </c>
      <c r="J66" s="27"/>
      <c r="L66" s="23"/>
      <c r="M66" s="24"/>
      <c r="N66" s="25"/>
    </row>
    <row r="67" spans="1:22" ht="15.75" hidden="1" customHeight="1">
      <c r="A67" s="33">
        <v>8</v>
      </c>
      <c r="B67" s="16" t="s">
        <v>49</v>
      </c>
      <c r="C67" s="18" t="s">
        <v>136</v>
      </c>
      <c r="D67" s="16" t="s">
        <v>55</v>
      </c>
      <c r="E67" s="125">
        <v>24648</v>
      </c>
      <c r="F67" s="14">
        <f>SUM(E67/100)</f>
        <v>246.48</v>
      </c>
      <c r="G67" s="14">
        <v>212.15</v>
      </c>
      <c r="H67" s="109">
        <f t="shared" si="7"/>
        <v>52.290731999999998</v>
      </c>
      <c r="I67" s="14">
        <v>0</v>
      </c>
      <c r="J67" s="27"/>
      <c r="L67" s="23"/>
      <c r="M67" s="24"/>
      <c r="N67" s="25"/>
    </row>
    <row r="68" spans="1:22" ht="15.75" hidden="1" customHeight="1">
      <c r="A68" s="33">
        <v>9</v>
      </c>
      <c r="B68" s="16" t="s">
        <v>50</v>
      </c>
      <c r="C68" s="18" t="s">
        <v>137</v>
      </c>
      <c r="D68" s="16"/>
      <c r="E68" s="125">
        <v>24648</v>
      </c>
      <c r="F68" s="14">
        <f>SUM(E68/1000)</f>
        <v>24.648</v>
      </c>
      <c r="G68" s="14">
        <v>165.21</v>
      </c>
      <c r="H68" s="109">
        <f t="shared" si="7"/>
        <v>4.0720960800000006</v>
      </c>
      <c r="I68" s="14">
        <v>0</v>
      </c>
      <c r="J68" s="27"/>
      <c r="L68" s="23"/>
      <c r="M68" s="24"/>
      <c r="N68" s="25"/>
    </row>
    <row r="69" spans="1:22" ht="15.75" hidden="1" customHeight="1">
      <c r="A69" s="33">
        <v>10</v>
      </c>
      <c r="B69" s="16" t="s">
        <v>51</v>
      </c>
      <c r="C69" s="18" t="s">
        <v>81</v>
      </c>
      <c r="D69" s="16" t="s">
        <v>55</v>
      </c>
      <c r="E69" s="125">
        <v>2730</v>
      </c>
      <c r="F69" s="14">
        <f>SUM(E69/100)</f>
        <v>27.3</v>
      </c>
      <c r="G69" s="14">
        <v>2074.63</v>
      </c>
      <c r="H69" s="109">
        <f t="shared" si="7"/>
        <v>56.637399000000002</v>
      </c>
      <c r="I69" s="14">
        <v>0</v>
      </c>
      <c r="J69" s="27"/>
      <c r="L69" s="23"/>
    </row>
    <row r="70" spans="1:22" ht="15.75" hidden="1" customHeight="1">
      <c r="A70" s="33">
        <v>11</v>
      </c>
      <c r="B70" s="145" t="s">
        <v>138</v>
      </c>
      <c r="C70" s="18" t="s">
        <v>34</v>
      </c>
      <c r="D70" s="16"/>
      <c r="E70" s="125">
        <v>20.28</v>
      </c>
      <c r="F70" s="14">
        <f>SUM(E70)</f>
        <v>20.28</v>
      </c>
      <c r="G70" s="14">
        <v>45.32</v>
      </c>
      <c r="H70" s="109">
        <f t="shared" si="7"/>
        <v>0.91908960000000006</v>
      </c>
      <c r="I70" s="14">
        <v>0</v>
      </c>
    </row>
    <row r="71" spans="1:22" ht="15.75" hidden="1" customHeight="1">
      <c r="A71" s="33">
        <v>12</v>
      </c>
      <c r="B71" s="145" t="s">
        <v>181</v>
      </c>
      <c r="C71" s="18" t="s">
        <v>34</v>
      </c>
      <c r="D71" s="16"/>
      <c r="E71" s="125">
        <v>20.28</v>
      </c>
      <c r="F71" s="14">
        <f>SUM(E71)</f>
        <v>20.28</v>
      </c>
      <c r="G71" s="14">
        <v>42.28</v>
      </c>
      <c r="H71" s="109">
        <f t="shared" si="7"/>
        <v>0.85743840000000016</v>
      </c>
      <c r="I71" s="14">
        <v>0</v>
      </c>
    </row>
    <row r="72" spans="1:22" ht="15.75" hidden="1" customHeight="1">
      <c r="A72" s="33">
        <v>13</v>
      </c>
      <c r="B72" s="16" t="s">
        <v>59</v>
      </c>
      <c r="C72" s="18" t="s">
        <v>60</v>
      </c>
      <c r="D72" s="16" t="s">
        <v>55</v>
      </c>
      <c r="E72" s="21">
        <v>12</v>
      </c>
      <c r="F72" s="126">
        <f>SUM(E72)</f>
        <v>12</v>
      </c>
      <c r="G72" s="14">
        <v>49.88</v>
      </c>
      <c r="H72" s="109">
        <f t="shared" si="7"/>
        <v>0.59856000000000009</v>
      </c>
      <c r="I72" s="14">
        <v>0</v>
      </c>
    </row>
    <row r="73" spans="1:22" ht="15.75" hidden="1" customHeight="1">
      <c r="A73" s="65"/>
      <c r="B73" s="107" t="s">
        <v>140</v>
      </c>
      <c r="C73" s="107"/>
      <c r="D73" s="107"/>
      <c r="E73" s="107"/>
      <c r="F73" s="107"/>
      <c r="G73" s="107"/>
      <c r="H73" s="107"/>
      <c r="I73" s="21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9"/>
    </row>
    <row r="74" spans="1:22" ht="15.75" hidden="1" customHeight="1">
      <c r="A74" s="33">
        <v>36</v>
      </c>
      <c r="B74" s="124" t="s">
        <v>141</v>
      </c>
      <c r="C74" s="18"/>
      <c r="D74" s="16"/>
      <c r="E74" s="115"/>
      <c r="F74" s="14">
        <v>1</v>
      </c>
      <c r="G74" s="14">
        <v>27356</v>
      </c>
      <c r="H74" s="109">
        <f>G74*F74/1000</f>
        <v>27.356000000000002</v>
      </c>
      <c r="I74" s="14">
        <v>0</v>
      </c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33"/>
      <c r="B75" s="60" t="s">
        <v>78</v>
      </c>
      <c r="C75" s="60"/>
      <c r="D75" s="60"/>
      <c r="E75" s="60"/>
      <c r="F75" s="21"/>
      <c r="G75" s="33"/>
      <c r="H75" s="33"/>
      <c r="I75" s="21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33"/>
      <c r="B76" s="16" t="s">
        <v>97</v>
      </c>
      <c r="C76" s="18" t="s">
        <v>32</v>
      </c>
      <c r="D76" s="16"/>
      <c r="E76" s="21">
        <v>2</v>
      </c>
      <c r="F76" s="126">
        <f>SUM(E76)</f>
        <v>2</v>
      </c>
      <c r="G76" s="14">
        <v>358.51</v>
      </c>
      <c r="H76" s="109">
        <f>SUM(F76*G76/1000)</f>
        <v>0.71701999999999999</v>
      </c>
      <c r="I76" s="14">
        <v>0</v>
      </c>
      <c r="J76" s="5"/>
      <c r="K76" s="5"/>
      <c r="L76" s="5"/>
      <c r="M76" s="5"/>
      <c r="N76" s="5"/>
      <c r="O76" s="5"/>
      <c r="P76" s="5"/>
      <c r="Q76" s="5"/>
      <c r="R76" s="180"/>
      <c r="S76" s="180"/>
      <c r="T76" s="180"/>
      <c r="U76" s="180"/>
    </row>
    <row r="77" spans="1:22" ht="15.75" hidden="1" customHeight="1">
      <c r="A77" s="33"/>
      <c r="B77" s="16" t="s">
        <v>79</v>
      </c>
      <c r="C77" s="18" t="s">
        <v>32</v>
      </c>
      <c r="D77" s="16"/>
      <c r="E77" s="21">
        <v>1</v>
      </c>
      <c r="F77" s="14">
        <v>1</v>
      </c>
      <c r="G77" s="14">
        <v>852.99</v>
      </c>
      <c r="H77" s="109">
        <f>F77*G77/1000</f>
        <v>0.85299000000000003</v>
      </c>
      <c r="I77" s="14">
        <v>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2" ht="15.75" hidden="1" customHeight="1">
      <c r="A78" s="33"/>
      <c r="B78" s="61" t="s">
        <v>80</v>
      </c>
      <c r="C78" s="47"/>
      <c r="D78" s="33"/>
      <c r="E78" s="33"/>
      <c r="F78" s="21"/>
      <c r="G78" s="43" t="s">
        <v>158</v>
      </c>
      <c r="H78" s="43"/>
      <c r="I78" s="21"/>
    </row>
    <row r="79" spans="1:22" ht="15.75" hidden="1" customHeight="1">
      <c r="A79" s="33">
        <v>39</v>
      </c>
      <c r="B79" s="63" t="s">
        <v>142</v>
      </c>
      <c r="C79" s="18" t="s">
        <v>81</v>
      </c>
      <c r="D79" s="16"/>
      <c r="E79" s="21"/>
      <c r="F79" s="14">
        <v>1.35</v>
      </c>
      <c r="G79" s="14">
        <v>2759.44</v>
      </c>
      <c r="H79" s="109">
        <f>SUM(F79*G79/1000)</f>
        <v>3.725244</v>
      </c>
      <c r="I79" s="14">
        <v>0</v>
      </c>
    </row>
    <row r="80" spans="1:22" ht="15.75" customHeight="1">
      <c r="A80" s="171" t="s">
        <v>178</v>
      </c>
      <c r="B80" s="172"/>
      <c r="C80" s="172"/>
      <c r="D80" s="172"/>
      <c r="E80" s="172"/>
      <c r="F80" s="172"/>
      <c r="G80" s="172"/>
      <c r="H80" s="172"/>
      <c r="I80" s="173"/>
    </row>
    <row r="81" spans="1:9" ht="15.75" customHeight="1">
      <c r="A81" s="33">
        <v>20</v>
      </c>
      <c r="B81" s="124" t="s">
        <v>143</v>
      </c>
      <c r="C81" s="18" t="s">
        <v>56</v>
      </c>
      <c r="D81" s="147" t="s">
        <v>57</v>
      </c>
      <c r="E81" s="14">
        <v>5926.8</v>
      </c>
      <c r="F81" s="14">
        <f>SUM(E81*12)</f>
        <v>71121.600000000006</v>
      </c>
      <c r="G81" s="14">
        <v>2.1</v>
      </c>
      <c r="H81" s="109">
        <f>SUM(F81*G81/1000)</f>
        <v>149.35536000000002</v>
      </c>
      <c r="I81" s="14">
        <f>F81/12*G81</f>
        <v>12446.28</v>
      </c>
    </row>
    <row r="82" spans="1:9" ht="31.5" customHeight="1">
      <c r="A82" s="33">
        <v>21</v>
      </c>
      <c r="B82" s="16" t="s">
        <v>82</v>
      </c>
      <c r="C82" s="18"/>
      <c r="D82" s="147" t="s">
        <v>57</v>
      </c>
      <c r="E82" s="125">
        <v>5926.8</v>
      </c>
      <c r="F82" s="14">
        <f>E82*12</f>
        <v>71121.600000000006</v>
      </c>
      <c r="G82" s="14">
        <v>1.63</v>
      </c>
      <c r="H82" s="109">
        <f>F82*G82/1000</f>
        <v>115.928208</v>
      </c>
      <c r="I82" s="14">
        <f>F82/12*G82</f>
        <v>9660.6839999999993</v>
      </c>
    </row>
    <row r="83" spans="1:9" ht="15.75" customHeight="1">
      <c r="A83" s="65"/>
      <c r="B83" s="50" t="s">
        <v>85</v>
      </c>
      <c r="C83" s="52"/>
      <c r="D83" s="17"/>
      <c r="E83" s="17"/>
      <c r="F83" s="17"/>
      <c r="G83" s="21"/>
      <c r="H83" s="21"/>
      <c r="I83" s="35">
        <f>SUM(I16+I17+I18+I20+I21+I24+I26+I27+I28+I39+I40+I41+I42+I43+I44+I53+I58+I59+I62+I81+I82)</f>
        <v>91661.060730499987</v>
      </c>
    </row>
    <row r="84" spans="1:9" ht="15.75" customHeight="1">
      <c r="A84" s="174" t="s">
        <v>63</v>
      </c>
      <c r="B84" s="175"/>
      <c r="C84" s="175"/>
      <c r="D84" s="175"/>
      <c r="E84" s="175"/>
      <c r="F84" s="175"/>
      <c r="G84" s="175"/>
      <c r="H84" s="175"/>
      <c r="I84" s="176"/>
    </row>
    <row r="85" spans="1:9" ht="15.75" customHeight="1">
      <c r="A85" s="33">
        <v>22</v>
      </c>
      <c r="B85" s="69" t="s">
        <v>111</v>
      </c>
      <c r="C85" s="84" t="s">
        <v>135</v>
      </c>
      <c r="D85" s="63"/>
      <c r="E85" s="14"/>
      <c r="F85" s="14">
        <v>968</v>
      </c>
      <c r="G85" s="14">
        <v>53.42</v>
      </c>
      <c r="H85" s="109">
        <f>G85*F85/1000</f>
        <v>51.710560000000008</v>
      </c>
      <c r="I85" s="14">
        <f>G85*121</f>
        <v>6463.8200000000006</v>
      </c>
    </row>
    <row r="86" spans="1:9" ht="31.5" customHeight="1">
      <c r="A86" s="33">
        <v>23</v>
      </c>
      <c r="B86" s="69" t="s">
        <v>84</v>
      </c>
      <c r="C86" s="84" t="s">
        <v>135</v>
      </c>
      <c r="D86" s="63"/>
      <c r="E86" s="14"/>
      <c r="F86" s="14">
        <v>8</v>
      </c>
      <c r="G86" s="14">
        <v>83.36</v>
      </c>
      <c r="H86" s="109">
        <f>G86*F86/1000</f>
        <v>0.66688000000000003</v>
      </c>
      <c r="I86" s="14">
        <f>G86</f>
        <v>83.36</v>
      </c>
    </row>
    <row r="87" spans="1:9" ht="15.75" customHeight="1">
      <c r="A87" s="33">
        <v>24</v>
      </c>
      <c r="B87" s="149" t="s">
        <v>190</v>
      </c>
      <c r="C87" s="150" t="s">
        <v>100</v>
      </c>
      <c r="D87" s="63"/>
      <c r="E87" s="14"/>
      <c r="F87" s="14">
        <f>60/3</f>
        <v>20</v>
      </c>
      <c r="G87" s="14">
        <v>1120.8900000000001</v>
      </c>
      <c r="H87" s="109">
        <f>G87*F87/1000</f>
        <v>22.417800000000003</v>
      </c>
      <c r="I87" s="14">
        <f>G87*(10/3)</f>
        <v>3736.3000000000006</v>
      </c>
    </row>
    <row r="88" spans="1:9" ht="15.75" customHeight="1">
      <c r="A88" s="33">
        <v>25</v>
      </c>
      <c r="B88" s="124" t="s">
        <v>116</v>
      </c>
      <c r="C88" s="90" t="s">
        <v>135</v>
      </c>
      <c r="D88" s="63"/>
      <c r="E88" s="14"/>
      <c r="F88" s="126">
        <v>2</v>
      </c>
      <c r="G88" s="14">
        <v>86.15</v>
      </c>
      <c r="H88" s="109">
        <f>G88*F88/1000</f>
        <v>0.17230000000000001</v>
      </c>
      <c r="I88" s="14">
        <f>G88</f>
        <v>86.15</v>
      </c>
    </row>
    <row r="89" spans="1:9" ht="15.75" customHeight="1">
      <c r="A89" s="33"/>
      <c r="B89" s="57" t="s">
        <v>52</v>
      </c>
      <c r="C89" s="53"/>
      <c r="D89" s="67"/>
      <c r="E89" s="67"/>
      <c r="F89" s="53">
        <v>1</v>
      </c>
      <c r="G89" s="53"/>
      <c r="H89" s="53"/>
      <c r="I89" s="35">
        <f>SUM(I85:I88)</f>
        <v>10369.630000000001</v>
      </c>
    </row>
    <row r="90" spans="1:9" ht="15.75" customHeight="1">
      <c r="A90" s="33"/>
      <c r="B90" s="63" t="s">
        <v>83</v>
      </c>
      <c r="C90" s="17"/>
      <c r="D90" s="17"/>
      <c r="E90" s="17"/>
      <c r="F90" s="54"/>
      <c r="G90" s="55"/>
      <c r="H90" s="55"/>
      <c r="I90" s="20">
        <v>0</v>
      </c>
    </row>
    <row r="91" spans="1:9" ht="15.75" customHeight="1">
      <c r="A91" s="68"/>
      <c r="B91" s="58" t="s">
        <v>182</v>
      </c>
      <c r="C91" s="41"/>
      <c r="D91" s="41"/>
      <c r="E91" s="41"/>
      <c r="F91" s="41"/>
      <c r="G91" s="41"/>
      <c r="H91" s="41"/>
      <c r="I91" s="56">
        <f>I83+I89</f>
        <v>102030.69073049999</v>
      </c>
    </row>
    <row r="92" spans="1:9" ht="15.75" customHeight="1">
      <c r="A92" s="190" t="s">
        <v>191</v>
      </c>
      <c r="B92" s="190"/>
      <c r="C92" s="190"/>
      <c r="D92" s="190"/>
      <c r="E92" s="190"/>
      <c r="F92" s="190"/>
      <c r="G92" s="190"/>
      <c r="H92" s="190"/>
      <c r="I92" s="190"/>
    </row>
    <row r="93" spans="1:9" ht="15.75" customHeight="1">
      <c r="A93" s="108"/>
      <c r="B93" s="182" t="s">
        <v>192</v>
      </c>
      <c r="C93" s="182"/>
      <c r="D93" s="182"/>
      <c r="E93" s="182"/>
      <c r="F93" s="182"/>
      <c r="G93" s="182"/>
      <c r="H93" s="123"/>
      <c r="I93" s="3"/>
    </row>
    <row r="94" spans="1:9" ht="15.75" customHeight="1">
      <c r="A94" s="103"/>
      <c r="B94" s="178" t="s">
        <v>6</v>
      </c>
      <c r="C94" s="178"/>
      <c r="D94" s="178"/>
      <c r="E94" s="178"/>
      <c r="F94" s="178"/>
      <c r="G94" s="178"/>
      <c r="H94" s="28"/>
      <c r="I94" s="5"/>
    </row>
    <row r="95" spans="1:9" ht="15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 customHeight="1">
      <c r="A96" s="183" t="s">
        <v>7</v>
      </c>
      <c r="B96" s="183"/>
      <c r="C96" s="183"/>
      <c r="D96" s="183"/>
      <c r="E96" s="183"/>
      <c r="F96" s="183"/>
      <c r="G96" s="183"/>
      <c r="H96" s="183"/>
      <c r="I96" s="183"/>
    </row>
    <row r="97" spans="1:9" ht="15.75" customHeight="1">
      <c r="A97" s="183" t="s">
        <v>8</v>
      </c>
      <c r="B97" s="183"/>
      <c r="C97" s="183"/>
      <c r="D97" s="183"/>
      <c r="E97" s="183"/>
      <c r="F97" s="183"/>
      <c r="G97" s="183"/>
      <c r="H97" s="183"/>
      <c r="I97" s="183"/>
    </row>
    <row r="98" spans="1:9" ht="15.75" customHeight="1">
      <c r="A98" s="184" t="s">
        <v>65</v>
      </c>
      <c r="B98" s="184"/>
      <c r="C98" s="184"/>
      <c r="D98" s="184"/>
      <c r="E98" s="184"/>
      <c r="F98" s="184"/>
      <c r="G98" s="184"/>
      <c r="H98" s="184"/>
      <c r="I98" s="184"/>
    </row>
    <row r="99" spans="1:9" ht="15.75" customHeight="1">
      <c r="A99" s="11"/>
    </row>
    <row r="100" spans="1:9" ht="15.75" customHeight="1">
      <c r="A100" s="185" t="s">
        <v>9</v>
      </c>
      <c r="B100" s="185"/>
      <c r="C100" s="185"/>
      <c r="D100" s="185"/>
      <c r="E100" s="185"/>
      <c r="F100" s="185"/>
      <c r="G100" s="185"/>
      <c r="H100" s="185"/>
      <c r="I100" s="185"/>
    </row>
    <row r="101" spans="1:9" ht="15.75" customHeight="1">
      <c r="A101" s="4"/>
    </row>
    <row r="102" spans="1:9" ht="15.75" customHeight="1">
      <c r="B102" s="102" t="s">
        <v>10</v>
      </c>
      <c r="C102" s="177" t="s">
        <v>99</v>
      </c>
      <c r="D102" s="177"/>
      <c r="E102" s="177"/>
      <c r="F102" s="177"/>
      <c r="I102" s="105"/>
    </row>
    <row r="103" spans="1:9" ht="15.75" customHeight="1">
      <c r="A103" s="103"/>
      <c r="C103" s="178" t="s">
        <v>11</v>
      </c>
      <c r="D103" s="178"/>
      <c r="E103" s="178"/>
      <c r="F103" s="178"/>
      <c r="I103" s="104" t="s">
        <v>12</v>
      </c>
    </row>
    <row r="104" spans="1:9" ht="15.75" customHeight="1">
      <c r="A104" s="29"/>
      <c r="C104" s="12"/>
      <c r="D104" s="12"/>
      <c r="E104" s="12"/>
      <c r="G104" s="12"/>
      <c r="H104" s="12"/>
    </row>
    <row r="105" spans="1:9" ht="15.75" customHeight="1">
      <c r="B105" s="102" t="s">
        <v>13</v>
      </c>
      <c r="C105" s="179"/>
      <c r="D105" s="179"/>
      <c r="E105" s="179"/>
      <c r="F105" s="179"/>
      <c r="I105" s="105"/>
    </row>
    <row r="106" spans="1:9" ht="15.75" customHeight="1">
      <c r="A106" s="103"/>
      <c r="C106" s="180" t="s">
        <v>11</v>
      </c>
      <c r="D106" s="180"/>
      <c r="E106" s="180"/>
      <c r="F106" s="180"/>
      <c r="I106" s="104" t="s">
        <v>12</v>
      </c>
    </row>
    <row r="107" spans="1:9" ht="15.75" customHeight="1">
      <c r="A107" s="4" t="s">
        <v>14</v>
      </c>
    </row>
    <row r="108" spans="1:9">
      <c r="A108" s="181" t="s">
        <v>15</v>
      </c>
      <c r="B108" s="181"/>
      <c r="C108" s="181"/>
      <c r="D108" s="181"/>
      <c r="E108" s="181"/>
      <c r="F108" s="181"/>
      <c r="G108" s="181"/>
      <c r="H108" s="181"/>
      <c r="I108" s="181"/>
    </row>
    <row r="109" spans="1:9" ht="45" customHeight="1">
      <c r="A109" s="170" t="s">
        <v>16</v>
      </c>
      <c r="B109" s="170"/>
      <c r="C109" s="170"/>
      <c r="D109" s="170"/>
      <c r="E109" s="170"/>
      <c r="F109" s="170"/>
      <c r="G109" s="170"/>
      <c r="H109" s="170"/>
      <c r="I109" s="170"/>
    </row>
    <row r="110" spans="1:9" ht="30" customHeight="1">
      <c r="A110" s="170" t="s">
        <v>17</v>
      </c>
      <c r="B110" s="170"/>
      <c r="C110" s="170"/>
      <c r="D110" s="170"/>
      <c r="E110" s="170"/>
      <c r="F110" s="170"/>
      <c r="G110" s="170"/>
      <c r="H110" s="170"/>
      <c r="I110" s="170"/>
    </row>
    <row r="111" spans="1:9" ht="30" customHeight="1">
      <c r="A111" s="170" t="s">
        <v>21</v>
      </c>
      <c r="B111" s="170"/>
      <c r="C111" s="170"/>
      <c r="D111" s="170"/>
      <c r="E111" s="170"/>
      <c r="F111" s="170"/>
      <c r="G111" s="170"/>
      <c r="H111" s="170"/>
      <c r="I111" s="170"/>
    </row>
    <row r="112" spans="1:9" ht="15" customHeight="1">
      <c r="A112" s="170" t="s">
        <v>20</v>
      </c>
      <c r="B112" s="170"/>
      <c r="C112" s="170"/>
      <c r="D112" s="170"/>
      <c r="E112" s="170"/>
      <c r="F112" s="170"/>
      <c r="G112" s="170"/>
      <c r="H112" s="170"/>
      <c r="I112" s="170"/>
    </row>
  </sheetData>
  <autoFilter ref="I12:I71"/>
  <mergeCells count="29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6:U76"/>
    <mergeCell ref="C106:F106"/>
    <mergeCell ref="A84:I84"/>
    <mergeCell ref="A92:I92"/>
    <mergeCell ref="B93:G93"/>
    <mergeCell ref="B94:G94"/>
    <mergeCell ref="A96:I96"/>
    <mergeCell ref="A97:I97"/>
    <mergeCell ref="A98:I98"/>
    <mergeCell ref="A100:I100"/>
    <mergeCell ref="C102:F102"/>
    <mergeCell ref="C103:F103"/>
    <mergeCell ref="C105:F105"/>
    <mergeCell ref="A80:I80"/>
    <mergeCell ref="A108:I108"/>
    <mergeCell ref="A109:I109"/>
    <mergeCell ref="A110:I110"/>
    <mergeCell ref="A111:I111"/>
    <mergeCell ref="A112:I11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2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94</v>
      </c>
      <c r="I1" s="30"/>
      <c r="J1" s="1"/>
      <c r="K1" s="1"/>
      <c r="L1" s="1"/>
      <c r="M1" s="1"/>
    </row>
    <row r="2" spans="1:13" ht="15.75" customHeight="1">
      <c r="A2" s="32" t="s">
        <v>67</v>
      </c>
      <c r="J2" s="2"/>
      <c r="K2" s="2"/>
      <c r="L2" s="2"/>
      <c r="M2" s="2"/>
    </row>
    <row r="3" spans="1:13" ht="15.75" customHeight="1">
      <c r="A3" s="191" t="s">
        <v>193</v>
      </c>
      <c r="B3" s="191"/>
      <c r="C3" s="191"/>
      <c r="D3" s="191"/>
      <c r="E3" s="191"/>
      <c r="F3" s="191"/>
      <c r="G3" s="191"/>
      <c r="H3" s="191"/>
      <c r="I3" s="191"/>
      <c r="J3" s="3"/>
      <c r="K3" s="3"/>
      <c r="L3" s="3"/>
    </row>
    <row r="4" spans="1:13" ht="31.5" customHeight="1">
      <c r="A4" s="192" t="s">
        <v>144</v>
      </c>
      <c r="B4" s="192"/>
      <c r="C4" s="192"/>
      <c r="D4" s="192"/>
      <c r="E4" s="192"/>
      <c r="F4" s="192"/>
      <c r="G4" s="192"/>
      <c r="H4" s="192"/>
      <c r="I4" s="192"/>
    </row>
    <row r="5" spans="1:13" ht="15.75" customHeight="1">
      <c r="A5" s="191" t="s">
        <v>194</v>
      </c>
      <c r="B5" s="193"/>
      <c r="C5" s="193"/>
      <c r="D5" s="193"/>
      <c r="E5" s="193"/>
      <c r="F5" s="193"/>
      <c r="G5" s="193"/>
      <c r="H5" s="193"/>
      <c r="I5" s="193"/>
      <c r="J5" s="2"/>
      <c r="K5" s="2"/>
      <c r="L5" s="2"/>
      <c r="M5" s="2"/>
    </row>
    <row r="6" spans="1:13" ht="15.75" customHeight="1">
      <c r="A6" s="2"/>
      <c r="B6" s="106"/>
      <c r="C6" s="106"/>
      <c r="D6" s="106"/>
      <c r="E6" s="106"/>
      <c r="F6" s="106"/>
      <c r="G6" s="106"/>
      <c r="H6" s="106"/>
      <c r="I6" s="34">
        <v>42855</v>
      </c>
      <c r="J6" s="2"/>
      <c r="K6" s="2"/>
      <c r="L6" s="2"/>
      <c r="M6" s="2"/>
    </row>
    <row r="7" spans="1:13" ht="15.75" customHeight="1">
      <c r="B7" s="102"/>
      <c r="C7" s="102"/>
      <c r="D7" s="102"/>
      <c r="E7" s="102"/>
      <c r="F7" s="3"/>
      <c r="G7" s="3"/>
      <c r="H7" s="3"/>
      <c r="J7" s="3"/>
      <c r="K7" s="3"/>
      <c r="L7" s="3"/>
      <c r="M7" s="3"/>
    </row>
    <row r="8" spans="1:13" ht="78.75" customHeight="1">
      <c r="A8" s="194" t="s">
        <v>168</v>
      </c>
      <c r="B8" s="194"/>
      <c r="C8" s="194"/>
      <c r="D8" s="194"/>
      <c r="E8" s="194"/>
      <c r="F8" s="194"/>
      <c r="G8" s="194"/>
      <c r="H8" s="194"/>
      <c r="I8" s="194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195" t="s">
        <v>261</v>
      </c>
      <c r="B10" s="195"/>
      <c r="C10" s="195"/>
      <c r="D10" s="195"/>
      <c r="E10" s="195"/>
      <c r="F10" s="195"/>
      <c r="G10" s="195"/>
      <c r="H10" s="195"/>
      <c r="I10" s="19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6" t="s">
        <v>61</v>
      </c>
      <c r="B14" s="196"/>
      <c r="C14" s="196"/>
      <c r="D14" s="196"/>
      <c r="E14" s="196"/>
      <c r="F14" s="196"/>
      <c r="G14" s="196"/>
      <c r="H14" s="196"/>
      <c r="I14" s="196"/>
      <c r="J14" s="8"/>
      <c r="K14" s="8"/>
      <c r="L14" s="8"/>
      <c r="M14" s="8"/>
    </row>
    <row r="15" spans="1:13" ht="15.75" customHeight="1">
      <c r="A15" s="186" t="s">
        <v>4</v>
      </c>
      <c r="B15" s="186"/>
      <c r="C15" s="186"/>
      <c r="D15" s="186"/>
      <c r="E15" s="186"/>
      <c r="F15" s="186"/>
      <c r="G15" s="186"/>
      <c r="H15" s="186"/>
      <c r="I15" s="186"/>
      <c r="J15" s="8"/>
      <c r="K15" s="8"/>
      <c r="L15" s="8"/>
      <c r="M15" s="8"/>
    </row>
    <row r="16" spans="1:13" ht="15.75" customHeight="1">
      <c r="A16" s="33">
        <v>1</v>
      </c>
      <c r="B16" s="124" t="s">
        <v>95</v>
      </c>
      <c r="C16" s="90" t="s">
        <v>117</v>
      </c>
      <c r="D16" s="124" t="s">
        <v>118</v>
      </c>
      <c r="E16" s="125">
        <v>160.5</v>
      </c>
      <c r="F16" s="126">
        <f>SUM(E16*156/100)</f>
        <v>250.38</v>
      </c>
      <c r="G16" s="126">
        <v>175.38</v>
      </c>
      <c r="H16" s="127">
        <f t="shared" ref="H16:H28" si="0">SUM(F16*G16/1000)</f>
        <v>43.9116444</v>
      </c>
      <c r="I16" s="14">
        <f>F16/12*G16</f>
        <v>3659.3036999999995</v>
      </c>
      <c r="J16" s="8"/>
      <c r="K16" s="8"/>
      <c r="L16" s="8"/>
      <c r="M16" s="8"/>
    </row>
    <row r="17" spans="1:13" ht="15.75" customHeight="1">
      <c r="A17" s="33">
        <v>2</v>
      </c>
      <c r="B17" s="124" t="s">
        <v>102</v>
      </c>
      <c r="C17" s="90" t="s">
        <v>117</v>
      </c>
      <c r="D17" s="124" t="s">
        <v>119</v>
      </c>
      <c r="E17" s="125">
        <v>642</v>
      </c>
      <c r="F17" s="126">
        <f>SUM(E17*104/100)</f>
        <v>667.68</v>
      </c>
      <c r="G17" s="126">
        <v>175.38</v>
      </c>
      <c r="H17" s="127">
        <f t="shared" si="0"/>
        <v>117.09771839999998</v>
      </c>
      <c r="I17" s="14">
        <f>F17/12*G17</f>
        <v>9758.1431999999986</v>
      </c>
      <c r="J17" s="26"/>
      <c r="K17" s="8"/>
      <c r="L17" s="8"/>
      <c r="M17" s="8"/>
    </row>
    <row r="18" spans="1:13" ht="15.75" customHeight="1">
      <c r="A18" s="33">
        <v>3</v>
      </c>
      <c r="B18" s="124" t="s">
        <v>103</v>
      </c>
      <c r="C18" s="90" t="s">
        <v>117</v>
      </c>
      <c r="D18" s="124" t="s">
        <v>120</v>
      </c>
      <c r="E18" s="125">
        <f>SUM(E16+E17)</f>
        <v>802.5</v>
      </c>
      <c r="F18" s="126">
        <f>SUM(E18*24/100)</f>
        <v>192.6</v>
      </c>
      <c r="G18" s="126">
        <v>504.5</v>
      </c>
      <c r="H18" s="127">
        <f t="shared" si="0"/>
        <v>97.166699999999992</v>
      </c>
      <c r="I18" s="14">
        <f>F18/12*G18</f>
        <v>8097.2250000000004</v>
      </c>
      <c r="J18" s="26"/>
      <c r="K18" s="8"/>
      <c r="L18" s="8"/>
      <c r="M18" s="8"/>
    </row>
    <row r="19" spans="1:13" ht="15.75" hidden="1" customHeight="1">
      <c r="A19" s="33"/>
      <c r="B19" s="124" t="s">
        <v>121</v>
      </c>
      <c r="C19" s="90" t="s">
        <v>122</v>
      </c>
      <c r="D19" s="124" t="s">
        <v>123</v>
      </c>
      <c r="E19" s="125">
        <v>38.4</v>
      </c>
      <c r="F19" s="126">
        <f>SUM(E19/10)</f>
        <v>3.84</v>
      </c>
      <c r="G19" s="126">
        <v>170.16</v>
      </c>
      <c r="H19" s="127">
        <f t="shared" si="0"/>
        <v>0.65341439999999995</v>
      </c>
      <c r="I19" s="14">
        <v>0</v>
      </c>
      <c r="J19" s="26"/>
      <c r="K19" s="8"/>
      <c r="L19" s="8"/>
      <c r="M19" s="8"/>
    </row>
    <row r="20" spans="1:13" ht="15.75" customHeight="1">
      <c r="A20" s="33">
        <v>4</v>
      </c>
      <c r="B20" s="124" t="s">
        <v>107</v>
      </c>
      <c r="C20" s="90" t="s">
        <v>117</v>
      </c>
      <c r="D20" s="124" t="s">
        <v>31</v>
      </c>
      <c r="E20" s="125">
        <v>58.4</v>
      </c>
      <c r="F20" s="126">
        <f>SUM(E20*12/100)</f>
        <v>7.0079999999999991</v>
      </c>
      <c r="G20" s="126">
        <v>217.88</v>
      </c>
      <c r="H20" s="127">
        <f t="shared" si="0"/>
        <v>1.5269030399999997</v>
      </c>
      <c r="I20" s="14">
        <f>F20/12*G20</f>
        <v>127.24191999999999</v>
      </c>
      <c r="J20" s="26"/>
      <c r="K20" s="8"/>
      <c r="L20" s="8"/>
      <c r="M20" s="8"/>
    </row>
    <row r="21" spans="1:13" ht="15.75" customHeight="1">
      <c r="A21" s="33">
        <v>5</v>
      </c>
      <c r="B21" s="124" t="s">
        <v>108</v>
      </c>
      <c r="C21" s="90" t="s">
        <v>117</v>
      </c>
      <c r="D21" s="124" t="s">
        <v>31</v>
      </c>
      <c r="E21" s="125">
        <v>9.08</v>
      </c>
      <c r="F21" s="126">
        <f>SUM(E21*12/100)</f>
        <v>1.0896000000000001</v>
      </c>
      <c r="G21" s="126">
        <v>216.12</v>
      </c>
      <c r="H21" s="127">
        <f t="shared" si="0"/>
        <v>0.23548435200000004</v>
      </c>
      <c r="I21" s="14">
        <f>F21/12*G21</f>
        <v>19.623696000000002</v>
      </c>
      <c r="J21" s="26"/>
      <c r="K21" s="8"/>
      <c r="L21" s="8"/>
      <c r="M21" s="8"/>
    </row>
    <row r="22" spans="1:13" ht="15.75" hidden="1" customHeight="1">
      <c r="A22" s="33"/>
      <c r="B22" s="124" t="s">
        <v>124</v>
      </c>
      <c r="C22" s="90" t="s">
        <v>54</v>
      </c>
      <c r="D22" s="124" t="s">
        <v>123</v>
      </c>
      <c r="E22" s="125">
        <v>822.72</v>
      </c>
      <c r="F22" s="126">
        <f>SUM(E22/100)</f>
        <v>8.2271999999999998</v>
      </c>
      <c r="G22" s="126">
        <v>269.26</v>
      </c>
      <c r="H22" s="127">
        <f t="shared" si="0"/>
        <v>2.2152558719999997</v>
      </c>
      <c r="I22" s="14">
        <v>0</v>
      </c>
      <c r="J22" s="26"/>
      <c r="K22" s="8"/>
      <c r="L22" s="8"/>
      <c r="M22" s="8"/>
    </row>
    <row r="23" spans="1:13" ht="15.75" hidden="1" customHeight="1">
      <c r="A23" s="33"/>
      <c r="B23" s="124" t="s">
        <v>125</v>
      </c>
      <c r="C23" s="90" t="s">
        <v>54</v>
      </c>
      <c r="D23" s="124" t="s">
        <v>123</v>
      </c>
      <c r="E23" s="128">
        <v>96.6</v>
      </c>
      <c r="F23" s="126">
        <f>SUM(E23/100)</f>
        <v>0.96599999999999997</v>
      </c>
      <c r="G23" s="126">
        <v>44.29</v>
      </c>
      <c r="H23" s="127">
        <f t="shared" si="0"/>
        <v>4.2784139999999998E-2</v>
      </c>
      <c r="I23" s="14">
        <v>0</v>
      </c>
      <c r="J23" s="26"/>
      <c r="K23" s="8"/>
      <c r="L23" s="8"/>
      <c r="M23" s="8"/>
    </row>
    <row r="24" spans="1:13" ht="15.75" customHeight="1">
      <c r="A24" s="33">
        <v>6</v>
      </c>
      <c r="B24" s="124" t="s">
        <v>113</v>
      </c>
      <c r="C24" s="90" t="s">
        <v>54</v>
      </c>
      <c r="D24" s="124" t="s">
        <v>31</v>
      </c>
      <c r="E24" s="129">
        <v>32</v>
      </c>
      <c r="F24" s="126">
        <f>32*12/1000</f>
        <v>0.38400000000000001</v>
      </c>
      <c r="G24" s="126">
        <v>389.42</v>
      </c>
      <c r="H24" s="127">
        <f>G24*F24/100</f>
        <v>1.4953728000000002</v>
      </c>
      <c r="I24" s="14">
        <f>F24/12*G24</f>
        <v>12.461440000000001</v>
      </c>
      <c r="J24" s="26"/>
      <c r="K24" s="8"/>
      <c r="L24" s="8"/>
      <c r="M24" s="8"/>
    </row>
    <row r="25" spans="1:13" ht="15.75" hidden="1" customHeight="1">
      <c r="A25" s="52">
        <v>6</v>
      </c>
      <c r="B25" s="124" t="s">
        <v>145</v>
      </c>
      <c r="C25" s="90" t="s">
        <v>54</v>
      </c>
      <c r="D25" s="124" t="s">
        <v>55</v>
      </c>
      <c r="E25" s="130">
        <v>38</v>
      </c>
      <c r="F25" s="126">
        <v>0.38</v>
      </c>
      <c r="G25" s="126">
        <v>216.12</v>
      </c>
      <c r="H25" s="127">
        <f>G25*F25/1000</f>
        <v>8.2125600000000007E-2</v>
      </c>
      <c r="I25" s="14">
        <v>0</v>
      </c>
      <c r="J25" s="26"/>
      <c r="K25" s="8"/>
      <c r="L25" s="8"/>
      <c r="M25" s="8"/>
    </row>
    <row r="26" spans="1:13" ht="15.75" customHeight="1">
      <c r="A26" s="52">
        <v>7</v>
      </c>
      <c r="B26" s="124" t="s">
        <v>114</v>
      </c>
      <c r="C26" s="90" t="s">
        <v>54</v>
      </c>
      <c r="D26" s="124" t="s">
        <v>146</v>
      </c>
      <c r="E26" s="125">
        <v>17</v>
      </c>
      <c r="F26" s="126">
        <f>SUM(E26*12/100)</f>
        <v>2.04</v>
      </c>
      <c r="G26" s="126">
        <v>520.79999999999995</v>
      </c>
      <c r="H26" s="127">
        <f t="shared" si="0"/>
        <v>1.062432</v>
      </c>
      <c r="I26" s="14">
        <f>F26/12*G26</f>
        <v>88.536000000000001</v>
      </c>
      <c r="J26" s="26"/>
      <c r="K26" s="8"/>
      <c r="L26" s="8"/>
      <c r="M26" s="8"/>
    </row>
    <row r="27" spans="1:13" ht="15.75" customHeight="1">
      <c r="A27" s="52">
        <v>8</v>
      </c>
      <c r="B27" s="124" t="s">
        <v>69</v>
      </c>
      <c r="C27" s="90" t="s">
        <v>34</v>
      </c>
      <c r="D27" s="124" t="s">
        <v>179</v>
      </c>
      <c r="E27" s="125">
        <v>0.1</v>
      </c>
      <c r="F27" s="126">
        <f>SUM(E27*365)</f>
        <v>36.5</v>
      </c>
      <c r="G27" s="126">
        <v>147.03</v>
      </c>
      <c r="H27" s="127">
        <f t="shared" si="0"/>
        <v>5.3665950000000002</v>
      </c>
      <c r="I27" s="14">
        <f>F27/12*G27</f>
        <v>447.21625</v>
      </c>
      <c r="J27" s="26"/>
      <c r="K27" s="8"/>
      <c r="L27" s="8"/>
      <c r="M27" s="8"/>
    </row>
    <row r="28" spans="1:13" ht="15.75" customHeight="1">
      <c r="A28" s="52">
        <v>9</v>
      </c>
      <c r="B28" s="131" t="s">
        <v>23</v>
      </c>
      <c r="C28" s="90" t="s">
        <v>24</v>
      </c>
      <c r="D28" s="131" t="s">
        <v>179</v>
      </c>
      <c r="E28" s="125">
        <v>5926.8</v>
      </c>
      <c r="F28" s="126">
        <f>SUM(E28*12)</f>
        <v>71121.600000000006</v>
      </c>
      <c r="G28" s="126">
        <v>4.53</v>
      </c>
      <c r="H28" s="127">
        <f t="shared" si="0"/>
        <v>322.18084800000008</v>
      </c>
      <c r="I28" s="14">
        <f>F28/12*G28</f>
        <v>26848.404000000002</v>
      </c>
      <c r="J28" s="26"/>
      <c r="K28" s="8"/>
      <c r="L28" s="8"/>
      <c r="M28" s="8"/>
    </row>
    <row r="29" spans="1:13" ht="15.75" customHeight="1">
      <c r="A29" s="186" t="s">
        <v>93</v>
      </c>
      <c r="B29" s="186"/>
      <c r="C29" s="186"/>
      <c r="D29" s="186"/>
      <c r="E29" s="186"/>
      <c r="F29" s="186"/>
      <c r="G29" s="186"/>
      <c r="H29" s="186"/>
      <c r="I29" s="186"/>
      <c r="J29" s="26"/>
      <c r="K29" s="8"/>
      <c r="L29" s="8"/>
      <c r="M29" s="8"/>
    </row>
    <row r="30" spans="1:13" ht="15.75" hidden="1" customHeight="1">
      <c r="A30" s="52"/>
      <c r="B30" s="62" t="s">
        <v>29</v>
      </c>
      <c r="C30" s="62"/>
      <c r="D30" s="62"/>
      <c r="E30" s="62"/>
      <c r="F30" s="62"/>
      <c r="G30" s="62"/>
      <c r="H30" s="62"/>
      <c r="I30" s="21"/>
      <c r="J30" s="26"/>
      <c r="K30" s="8"/>
      <c r="L30" s="8"/>
      <c r="M30" s="8"/>
    </row>
    <row r="31" spans="1:13" ht="15.75" hidden="1" customHeight="1">
      <c r="A31" s="52">
        <v>2</v>
      </c>
      <c r="B31" s="124" t="s">
        <v>126</v>
      </c>
      <c r="C31" s="90" t="s">
        <v>127</v>
      </c>
      <c r="D31" s="124" t="s">
        <v>148</v>
      </c>
      <c r="E31" s="126">
        <v>2732.4</v>
      </c>
      <c r="F31" s="126">
        <f>SUM(E31*26/1000)</f>
        <v>71.042400000000015</v>
      </c>
      <c r="G31" s="126">
        <v>155.88999999999999</v>
      </c>
      <c r="H31" s="127">
        <f t="shared" ref="H31:H33" si="1">SUM(F31*G31/1000)</f>
        <v>11.074799736000001</v>
      </c>
      <c r="I31" s="14">
        <v>0</v>
      </c>
      <c r="J31" s="26"/>
      <c r="K31" s="8"/>
      <c r="L31" s="8"/>
      <c r="M31" s="8"/>
    </row>
    <row r="32" spans="1:13" ht="31.5" hidden="1" customHeight="1">
      <c r="A32" s="52">
        <v>3</v>
      </c>
      <c r="B32" s="124" t="s">
        <v>149</v>
      </c>
      <c r="C32" s="90" t="s">
        <v>127</v>
      </c>
      <c r="D32" s="124" t="s">
        <v>128</v>
      </c>
      <c r="E32" s="126">
        <v>547.85</v>
      </c>
      <c r="F32" s="126">
        <f>SUM(E32*78/1000)</f>
        <v>42.732300000000002</v>
      </c>
      <c r="G32" s="126">
        <v>258.63</v>
      </c>
      <c r="H32" s="127">
        <f t="shared" si="1"/>
        <v>11.051854749</v>
      </c>
      <c r="I32" s="14">
        <v>0</v>
      </c>
      <c r="J32" s="26"/>
      <c r="K32" s="8"/>
      <c r="L32" s="8"/>
      <c r="M32" s="8"/>
    </row>
    <row r="33" spans="1:14" ht="15.75" hidden="1" customHeight="1">
      <c r="A33" s="52">
        <v>4</v>
      </c>
      <c r="B33" s="124" t="s">
        <v>28</v>
      </c>
      <c r="C33" s="90" t="s">
        <v>127</v>
      </c>
      <c r="D33" s="124" t="s">
        <v>55</v>
      </c>
      <c r="E33" s="126">
        <v>2732.4</v>
      </c>
      <c r="F33" s="126">
        <f>SUM(E33/1000)</f>
        <v>2.7324000000000002</v>
      </c>
      <c r="G33" s="126">
        <v>3020.33</v>
      </c>
      <c r="H33" s="127">
        <f t="shared" si="1"/>
        <v>8.2527496920000001</v>
      </c>
      <c r="I33" s="14">
        <v>0</v>
      </c>
      <c r="J33" s="26"/>
      <c r="K33" s="8"/>
      <c r="L33" s="8"/>
      <c r="M33" s="8"/>
    </row>
    <row r="34" spans="1:14" ht="15.75" hidden="1" customHeight="1">
      <c r="A34" s="52"/>
      <c r="B34" s="124" t="s">
        <v>147</v>
      </c>
      <c r="C34" s="90" t="s">
        <v>40</v>
      </c>
      <c r="D34" s="124" t="s">
        <v>68</v>
      </c>
      <c r="E34" s="126">
        <v>8</v>
      </c>
      <c r="F34" s="126">
        <v>12.4</v>
      </c>
      <c r="G34" s="126">
        <v>1302.02</v>
      </c>
      <c r="H34" s="127">
        <v>16.145</v>
      </c>
      <c r="I34" s="14">
        <v>0</v>
      </c>
      <c r="J34" s="26"/>
      <c r="K34" s="8"/>
      <c r="L34" s="8"/>
      <c r="M34" s="8"/>
    </row>
    <row r="35" spans="1:14" ht="15.75" hidden="1" customHeight="1">
      <c r="A35" s="52">
        <v>5</v>
      </c>
      <c r="B35" s="124" t="s">
        <v>180</v>
      </c>
      <c r="C35" s="90" t="s">
        <v>32</v>
      </c>
      <c r="D35" s="124" t="s">
        <v>68</v>
      </c>
      <c r="E35" s="132">
        <v>1</v>
      </c>
      <c r="F35" s="126">
        <v>155</v>
      </c>
      <c r="G35" s="126">
        <v>56.69</v>
      </c>
      <c r="H35" s="127">
        <f>SUM(G35*155/1000)</f>
        <v>8.7869499999999992</v>
      </c>
      <c r="I35" s="14">
        <v>0</v>
      </c>
      <c r="J35" s="26"/>
      <c r="K35" s="8"/>
      <c r="L35" s="8"/>
      <c r="M35" s="8"/>
    </row>
    <row r="36" spans="1:14" ht="15.75" hidden="1" customHeight="1">
      <c r="A36" s="52">
        <v>4</v>
      </c>
      <c r="B36" s="124" t="s">
        <v>70</v>
      </c>
      <c r="C36" s="90" t="s">
        <v>34</v>
      </c>
      <c r="D36" s="124" t="s">
        <v>72</v>
      </c>
      <c r="E36" s="125"/>
      <c r="F36" s="126">
        <v>2</v>
      </c>
      <c r="G36" s="126">
        <v>191.32</v>
      </c>
      <c r="H36" s="127">
        <f t="shared" ref="H36:H37" si="2">SUM(F36*G36/1000)</f>
        <v>0.38263999999999998</v>
      </c>
      <c r="I36" s="14">
        <v>0</v>
      </c>
      <c r="J36" s="26"/>
      <c r="K36" s="8"/>
    </row>
    <row r="37" spans="1:14" ht="15.75" hidden="1" customHeight="1">
      <c r="A37" s="33">
        <v>8</v>
      </c>
      <c r="B37" s="124" t="s">
        <v>71</v>
      </c>
      <c r="C37" s="90" t="s">
        <v>33</v>
      </c>
      <c r="D37" s="124" t="s">
        <v>72</v>
      </c>
      <c r="E37" s="125"/>
      <c r="F37" s="126">
        <v>3</v>
      </c>
      <c r="G37" s="126">
        <v>1136.32</v>
      </c>
      <c r="H37" s="127">
        <f t="shared" si="2"/>
        <v>3.40896</v>
      </c>
      <c r="I37" s="14">
        <v>0</v>
      </c>
      <c r="J37" s="27"/>
    </row>
    <row r="38" spans="1:14" ht="15.75" customHeight="1">
      <c r="A38" s="52"/>
      <c r="B38" s="60" t="s">
        <v>5</v>
      </c>
      <c r="C38" s="60"/>
      <c r="D38" s="60"/>
      <c r="E38" s="60"/>
      <c r="F38" s="14"/>
      <c r="G38" s="15"/>
      <c r="H38" s="15"/>
      <c r="I38" s="21"/>
      <c r="J38" s="27"/>
    </row>
    <row r="39" spans="1:14" ht="15.75" customHeight="1">
      <c r="A39" s="38">
        <v>10</v>
      </c>
      <c r="B39" s="124" t="s">
        <v>27</v>
      </c>
      <c r="C39" s="90" t="s">
        <v>33</v>
      </c>
      <c r="D39" s="124"/>
      <c r="E39" s="125"/>
      <c r="F39" s="126">
        <v>15</v>
      </c>
      <c r="G39" s="126">
        <v>1527.22</v>
      </c>
      <c r="H39" s="127">
        <f>SUM(F39*G39/1000)</f>
        <v>22.908300000000001</v>
      </c>
      <c r="I39" s="14">
        <f t="shared" ref="I39:I44" si="3">F39/6*G39</f>
        <v>3818.05</v>
      </c>
      <c r="J39" s="27"/>
    </row>
    <row r="40" spans="1:14" ht="15.75" customHeight="1">
      <c r="A40" s="38">
        <v>11</v>
      </c>
      <c r="B40" s="124" t="s">
        <v>73</v>
      </c>
      <c r="C40" s="90" t="s">
        <v>30</v>
      </c>
      <c r="D40" s="124" t="s">
        <v>130</v>
      </c>
      <c r="E40" s="126">
        <v>547.85</v>
      </c>
      <c r="F40" s="126">
        <f>SUM(E40*50/1000)</f>
        <v>27.392499999999998</v>
      </c>
      <c r="G40" s="126">
        <v>2102.71</v>
      </c>
      <c r="H40" s="127">
        <f t="shared" ref="H40:H44" si="4">SUM(F40*G40/1000)</f>
        <v>57.598483674999997</v>
      </c>
      <c r="I40" s="14">
        <f t="shared" si="3"/>
        <v>9599.747279166666</v>
      </c>
      <c r="J40" s="27"/>
    </row>
    <row r="41" spans="1:14" ht="15.75" customHeight="1">
      <c r="A41" s="38">
        <v>12</v>
      </c>
      <c r="B41" s="124" t="s">
        <v>74</v>
      </c>
      <c r="C41" s="90" t="s">
        <v>30</v>
      </c>
      <c r="D41" s="124" t="s">
        <v>131</v>
      </c>
      <c r="E41" s="126">
        <v>140</v>
      </c>
      <c r="F41" s="126">
        <f>SUM(E41*155/1000)</f>
        <v>21.7</v>
      </c>
      <c r="G41" s="126">
        <v>350.75</v>
      </c>
      <c r="H41" s="127">
        <f t="shared" si="4"/>
        <v>7.611275</v>
      </c>
      <c r="I41" s="14">
        <f t="shared" si="3"/>
        <v>1268.5458333333333</v>
      </c>
      <c r="J41" s="27"/>
    </row>
    <row r="42" spans="1:14" ht="31.5" customHeight="1">
      <c r="A42" s="38">
        <v>13</v>
      </c>
      <c r="B42" s="124" t="s">
        <v>88</v>
      </c>
      <c r="C42" s="90" t="s">
        <v>127</v>
      </c>
      <c r="D42" s="124" t="s">
        <v>150</v>
      </c>
      <c r="E42" s="126">
        <v>140</v>
      </c>
      <c r="F42" s="126">
        <f>SUM(E42*12/1000)</f>
        <v>1.68</v>
      </c>
      <c r="G42" s="126">
        <v>5803.28</v>
      </c>
      <c r="H42" s="127">
        <f t="shared" si="4"/>
        <v>9.7495103999999984</v>
      </c>
      <c r="I42" s="14">
        <f t="shared" si="3"/>
        <v>1624.9183999999998</v>
      </c>
      <c r="J42" s="27"/>
    </row>
    <row r="43" spans="1:14" ht="15.75" customHeight="1">
      <c r="A43" s="38">
        <v>14</v>
      </c>
      <c r="B43" s="124" t="s">
        <v>132</v>
      </c>
      <c r="C43" s="90" t="s">
        <v>127</v>
      </c>
      <c r="D43" s="37" t="s">
        <v>266</v>
      </c>
      <c r="E43" s="36">
        <v>140</v>
      </c>
      <c r="F43" s="40">
        <f>SUM(E43*15/1000)</f>
        <v>2.1</v>
      </c>
      <c r="G43" s="36">
        <v>428.7</v>
      </c>
      <c r="H43" s="203">
        <f t="shared" ref="H43" si="5">SUM(F43*G43/1000)</f>
        <v>0.90027000000000001</v>
      </c>
      <c r="I43" s="14">
        <f>F43/2*G43</f>
        <v>450.13499999999999</v>
      </c>
      <c r="J43" s="27"/>
    </row>
    <row r="44" spans="1:14" ht="15.75" customHeight="1">
      <c r="A44" s="38">
        <v>15</v>
      </c>
      <c r="B44" s="124" t="s">
        <v>76</v>
      </c>
      <c r="C44" s="90" t="s">
        <v>34</v>
      </c>
      <c r="D44" s="124"/>
      <c r="E44" s="125"/>
      <c r="F44" s="126">
        <v>0.9</v>
      </c>
      <c r="G44" s="126">
        <v>798</v>
      </c>
      <c r="H44" s="127">
        <f t="shared" si="4"/>
        <v>0.71820000000000006</v>
      </c>
      <c r="I44" s="14">
        <f t="shared" si="3"/>
        <v>119.69999999999999</v>
      </c>
      <c r="J44" s="27"/>
      <c r="L44" s="23"/>
      <c r="M44" s="24"/>
      <c r="N44" s="25"/>
    </row>
    <row r="45" spans="1:14" ht="15.75" customHeight="1">
      <c r="A45" s="187" t="s">
        <v>176</v>
      </c>
      <c r="B45" s="188"/>
      <c r="C45" s="188"/>
      <c r="D45" s="188"/>
      <c r="E45" s="188"/>
      <c r="F45" s="188"/>
      <c r="G45" s="188"/>
      <c r="H45" s="188"/>
      <c r="I45" s="189"/>
      <c r="J45" s="27"/>
      <c r="L45" s="23"/>
      <c r="M45" s="24"/>
      <c r="N45" s="25"/>
    </row>
    <row r="46" spans="1:14" ht="15.75" hidden="1" customHeight="1">
      <c r="A46" s="52">
        <v>15</v>
      </c>
      <c r="B46" s="124" t="s">
        <v>133</v>
      </c>
      <c r="C46" s="90" t="s">
        <v>127</v>
      </c>
      <c r="D46" s="124" t="s">
        <v>42</v>
      </c>
      <c r="E46" s="125">
        <v>1640.4</v>
      </c>
      <c r="F46" s="126">
        <f>SUM(E46*2/1000)</f>
        <v>3.2808000000000002</v>
      </c>
      <c r="G46" s="14">
        <v>849.49</v>
      </c>
      <c r="H46" s="127">
        <f t="shared" ref="H46:H54" si="6">SUM(F46*G46/1000)</f>
        <v>2.7870067920000001</v>
      </c>
      <c r="I46" s="14">
        <v>0</v>
      </c>
      <c r="J46" s="27"/>
      <c r="L46" s="23"/>
      <c r="M46" s="24"/>
      <c r="N46" s="25"/>
    </row>
    <row r="47" spans="1:14" ht="15.75" hidden="1" customHeight="1">
      <c r="A47" s="52"/>
      <c r="B47" s="124" t="s">
        <v>35</v>
      </c>
      <c r="C47" s="90" t="s">
        <v>127</v>
      </c>
      <c r="D47" s="124" t="s">
        <v>42</v>
      </c>
      <c r="E47" s="125">
        <v>918.25</v>
      </c>
      <c r="F47" s="126">
        <f>SUM(E47*2/1000)</f>
        <v>1.8365</v>
      </c>
      <c r="G47" s="14">
        <v>579.48</v>
      </c>
      <c r="H47" s="127">
        <f t="shared" si="6"/>
        <v>1.06421502</v>
      </c>
      <c r="I47" s="14">
        <v>0</v>
      </c>
      <c r="J47" s="27"/>
      <c r="L47" s="23"/>
      <c r="M47" s="24"/>
      <c r="N47" s="25"/>
    </row>
    <row r="48" spans="1:14" ht="15.75" hidden="1" customHeight="1">
      <c r="A48" s="52">
        <v>16</v>
      </c>
      <c r="B48" s="124" t="s">
        <v>36</v>
      </c>
      <c r="C48" s="90" t="s">
        <v>127</v>
      </c>
      <c r="D48" s="124" t="s">
        <v>42</v>
      </c>
      <c r="E48" s="125">
        <v>5592.26</v>
      </c>
      <c r="F48" s="126">
        <f>SUM(E48*2/1000)</f>
        <v>11.184520000000001</v>
      </c>
      <c r="G48" s="14">
        <v>579.48</v>
      </c>
      <c r="H48" s="127">
        <f t="shared" si="6"/>
        <v>6.4812056496000006</v>
      </c>
      <c r="I48" s="14">
        <v>0</v>
      </c>
      <c r="J48" s="27"/>
      <c r="L48" s="23"/>
      <c r="M48" s="24"/>
      <c r="N48" s="25"/>
    </row>
    <row r="49" spans="1:14" ht="15.75" hidden="1" customHeight="1">
      <c r="A49" s="52">
        <v>17</v>
      </c>
      <c r="B49" s="124" t="s">
        <v>37</v>
      </c>
      <c r="C49" s="90" t="s">
        <v>127</v>
      </c>
      <c r="D49" s="124" t="s">
        <v>42</v>
      </c>
      <c r="E49" s="125">
        <v>2817.65</v>
      </c>
      <c r="F49" s="126">
        <f>SUM(E49*2/1000)</f>
        <v>5.6353</v>
      </c>
      <c r="G49" s="14">
        <v>606.77</v>
      </c>
      <c r="H49" s="127">
        <f t="shared" si="6"/>
        <v>3.4193309809999999</v>
      </c>
      <c r="I49" s="14">
        <v>0</v>
      </c>
      <c r="J49" s="27"/>
      <c r="L49" s="23"/>
      <c r="M49" s="24"/>
      <c r="N49" s="25"/>
    </row>
    <row r="50" spans="1:14" ht="15.75" hidden="1" customHeight="1">
      <c r="A50" s="52">
        <v>16</v>
      </c>
      <c r="B50" s="124" t="s">
        <v>58</v>
      </c>
      <c r="C50" s="90" t="s">
        <v>127</v>
      </c>
      <c r="D50" s="124" t="s">
        <v>152</v>
      </c>
      <c r="E50" s="125">
        <v>3280.8</v>
      </c>
      <c r="F50" s="126">
        <f>SUM(E50*5/1000)</f>
        <v>16.404</v>
      </c>
      <c r="G50" s="14">
        <v>1213.55</v>
      </c>
      <c r="H50" s="127">
        <f t="shared" si="6"/>
        <v>19.9070742</v>
      </c>
      <c r="I50" s="14">
        <f>F50/5*G50</f>
        <v>3981.4148399999999</v>
      </c>
      <c r="J50" s="27"/>
      <c r="L50" s="23"/>
      <c r="M50" s="24"/>
      <c r="N50" s="25"/>
    </row>
    <row r="51" spans="1:14" ht="31.5" customHeight="1">
      <c r="A51" s="52">
        <v>16</v>
      </c>
      <c r="B51" s="124" t="s">
        <v>134</v>
      </c>
      <c r="C51" s="90" t="s">
        <v>127</v>
      </c>
      <c r="D51" s="124" t="s">
        <v>42</v>
      </c>
      <c r="E51" s="125">
        <v>3280.8</v>
      </c>
      <c r="F51" s="126">
        <f>SUM(E51*2/1000)</f>
        <v>6.5616000000000003</v>
      </c>
      <c r="G51" s="14">
        <v>1213.55</v>
      </c>
      <c r="H51" s="127">
        <f t="shared" si="6"/>
        <v>7.9628296799999996</v>
      </c>
      <c r="I51" s="14">
        <f>F51/2*G51</f>
        <v>3981.4148399999999</v>
      </c>
      <c r="J51" s="27"/>
      <c r="L51" s="23"/>
      <c r="M51" s="24"/>
      <c r="N51" s="25"/>
    </row>
    <row r="52" spans="1:14" ht="31.5" customHeight="1">
      <c r="A52" s="52">
        <v>17</v>
      </c>
      <c r="B52" s="124" t="s">
        <v>151</v>
      </c>
      <c r="C52" s="90" t="s">
        <v>38</v>
      </c>
      <c r="D52" s="124" t="s">
        <v>42</v>
      </c>
      <c r="E52" s="125">
        <v>40</v>
      </c>
      <c r="F52" s="126">
        <f>SUM(E52*2/100)</f>
        <v>0.8</v>
      </c>
      <c r="G52" s="14">
        <v>2730.49</v>
      </c>
      <c r="H52" s="127">
        <f t="shared" si="6"/>
        <v>2.1843919999999999</v>
      </c>
      <c r="I52" s="14">
        <f>F52/2*G52</f>
        <v>1092.1959999999999</v>
      </c>
      <c r="J52" s="27"/>
      <c r="L52" s="23"/>
      <c r="M52" s="24"/>
      <c r="N52" s="25"/>
    </row>
    <row r="53" spans="1:14" ht="15.75" hidden="1" customHeight="1">
      <c r="A53" s="52">
        <v>16</v>
      </c>
      <c r="B53" s="124" t="s">
        <v>39</v>
      </c>
      <c r="C53" s="90" t="s">
        <v>40</v>
      </c>
      <c r="D53" s="124" t="s">
        <v>42</v>
      </c>
      <c r="E53" s="125">
        <v>1</v>
      </c>
      <c r="F53" s="126">
        <v>0.02</v>
      </c>
      <c r="G53" s="14">
        <v>5652.13</v>
      </c>
      <c r="H53" s="127">
        <f t="shared" si="6"/>
        <v>0.11304260000000001</v>
      </c>
      <c r="I53" s="14">
        <f>F53/2*G53</f>
        <v>56.521300000000004</v>
      </c>
      <c r="J53" s="27"/>
      <c r="L53" s="23"/>
      <c r="M53" s="24"/>
      <c r="N53" s="25"/>
    </row>
    <row r="54" spans="1:14" ht="15.75" hidden="1" customHeight="1">
      <c r="A54" s="52">
        <v>17</v>
      </c>
      <c r="B54" s="124" t="s">
        <v>41</v>
      </c>
      <c r="C54" s="90" t="s">
        <v>135</v>
      </c>
      <c r="D54" s="124" t="s">
        <v>77</v>
      </c>
      <c r="E54" s="125">
        <v>238</v>
      </c>
      <c r="F54" s="126">
        <f>SUM(E54)*3</f>
        <v>714</v>
      </c>
      <c r="G54" s="14">
        <v>65.67</v>
      </c>
      <c r="H54" s="127">
        <f t="shared" si="6"/>
        <v>46.888380000000005</v>
      </c>
      <c r="I54" s="14">
        <f>E54*G54</f>
        <v>15629.460000000001</v>
      </c>
      <c r="J54" s="27"/>
      <c r="L54" s="23"/>
      <c r="M54" s="24"/>
      <c r="N54" s="25"/>
    </row>
    <row r="55" spans="1:14" ht="15.75" customHeight="1">
      <c r="A55" s="187" t="s">
        <v>177</v>
      </c>
      <c r="B55" s="188"/>
      <c r="C55" s="188"/>
      <c r="D55" s="188"/>
      <c r="E55" s="188"/>
      <c r="F55" s="188"/>
      <c r="G55" s="188"/>
      <c r="H55" s="188"/>
      <c r="I55" s="189"/>
      <c r="J55" s="27"/>
      <c r="L55" s="23"/>
      <c r="M55" s="24"/>
      <c r="N55" s="25"/>
    </row>
    <row r="56" spans="1:14" ht="15.75" customHeight="1">
      <c r="A56" s="65"/>
      <c r="B56" s="59" t="s">
        <v>43</v>
      </c>
      <c r="C56" s="18"/>
      <c r="D56" s="17"/>
      <c r="E56" s="17"/>
      <c r="F56" s="17"/>
      <c r="G56" s="33"/>
      <c r="H56" s="33"/>
      <c r="I56" s="21"/>
      <c r="J56" s="27"/>
      <c r="L56" s="23"/>
      <c r="M56" s="24"/>
      <c r="N56" s="25"/>
    </row>
    <row r="57" spans="1:14" ht="15.75" hidden="1" customHeight="1">
      <c r="A57" s="52">
        <v>15</v>
      </c>
      <c r="B57" s="124" t="s">
        <v>153</v>
      </c>
      <c r="C57" s="90" t="s">
        <v>117</v>
      </c>
      <c r="D57" s="124" t="s">
        <v>55</v>
      </c>
      <c r="E57" s="133">
        <v>1640.4</v>
      </c>
      <c r="F57" s="14">
        <f>E57/100</f>
        <v>16.404</v>
      </c>
      <c r="G57" s="126">
        <v>472.59</v>
      </c>
      <c r="H57" s="127">
        <f>SUM(F57*G57/1000)</f>
        <v>7.7523663599999999</v>
      </c>
      <c r="I57" s="14">
        <v>0</v>
      </c>
      <c r="J57" s="27"/>
      <c r="L57" s="23"/>
      <c r="M57" s="24"/>
      <c r="N57" s="25"/>
    </row>
    <row r="58" spans="1:14" ht="31.5" customHeight="1">
      <c r="A58" s="52">
        <v>18</v>
      </c>
      <c r="B58" s="124" t="s">
        <v>154</v>
      </c>
      <c r="C58" s="90" t="s">
        <v>117</v>
      </c>
      <c r="D58" s="124" t="s">
        <v>155</v>
      </c>
      <c r="E58" s="125">
        <v>164.04</v>
      </c>
      <c r="F58" s="14">
        <f>E58*6/100</f>
        <v>9.8423999999999996</v>
      </c>
      <c r="G58" s="134">
        <v>1547.28</v>
      </c>
      <c r="H58" s="127">
        <f>F58*G58/1000</f>
        <v>15.228948671999998</v>
      </c>
      <c r="I58" s="14">
        <f>F58/6*G58</f>
        <v>2538.1581119999996</v>
      </c>
      <c r="J58" s="27"/>
      <c r="L58" s="23"/>
      <c r="M58" s="24"/>
      <c r="N58" s="25"/>
    </row>
    <row r="59" spans="1:14" ht="15.75" customHeight="1">
      <c r="A59" s="52">
        <v>19</v>
      </c>
      <c r="B59" s="135" t="s">
        <v>104</v>
      </c>
      <c r="C59" s="136" t="s">
        <v>117</v>
      </c>
      <c r="D59" s="135" t="s">
        <v>156</v>
      </c>
      <c r="E59" s="137">
        <v>8</v>
      </c>
      <c r="F59" s="138">
        <f>E59*8/100</f>
        <v>0.64</v>
      </c>
      <c r="G59" s="134">
        <v>1547.28</v>
      </c>
      <c r="H59" s="139">
        <f>F59*G59/1000</f>
        <v>0.99025920000000001</v>
      </c>
      <c r="I59" s="14">
        <f>F59/6*G59</f>
        <v>165.04320000000001</v>
      </c>
      <c r="J59" s="27"/>
      <c r="L59" s="23"/>
      <c r="M59" s="24"/>
      <c r="N59" s="25"/>
    </row>
    <row r="60" spans="1:14" ht="15.75" hidden="1" customHeight="1">
      <c r="A60" s="52"/>
      <c r="B60" s="135" t="s">
        <v>109</v>
      </c>
      <c r="C60" s="136" t="s">
        <v>110</v>
      </c>
      <c r="D60" s="135" t="s">
        <v>42</v>
      </c>
      <c r="E60" s="137">
        <v>8</v>
      </c>
      <c r="F60" s="138">
        <v>16</v>
      </c>
      <c r="G60" s="140">
        <v>180.78</v>
      </c>
      <c r="H60" s="139">
        <f>F60*G60/1000</f>
        <v>2.8924799999999999</v>
      </c>
      <c r="I60" s="14">
        <v>0</v>
      </c>
      <c r="J60" s="27"/>
      <c r="L60" s="23"/>
      <c r="M60" s="24"/>
      <c r="N60" s="25"/>
    </row>
    <row r="61" spans="1:14" ht="15.75" customHeight="1">
      <c r="A61" s="52"/>
      <c r="B61" s="107" t="s">
        <v>44</v>
      </c>
      <c r="C61" s="107"/>
      <c r="D61" s="107"/>
      <c r="E61" s="107"/>
      <c r="F61" s="107"/>
      <c r="G61" s="107"/>
      <c r="H61" s="107"/>
      <c r="I61" s="42"/>
      <c r="J61" s="27"/>
      <c r="L61" s="23"/>
      <c r="M61" s="24"/>
      <c r="N61" s="25"/>
    </row>
    <row r="62" spans="1:14" ht="15.75" customHeight="1">
      <c r="A62" s="52">
        <v>20</v>
      </c>
      <c r="B62" s="135" t="s">
        <v>105</v>
      </c>
      <c r="C62" s="136" t="s">
        <v>26</v>
      </c>
      <c r="D62" s="135" t="s">
        <v>157</v>
      </c>
      <c r="E62" s="137">
        <v>329.4</v>
      </c>
      <c r="F62" s="138">
        <f>E62*12</f>
        <v>3952.7999999999997</v>
      </c>
      <c r="G62" s="141">
        <v>2.5960000000000001</v>
      </c>
      <c r="H62" s="139">
        <f>G62*F62</f>
        <v>10261.468799999999</v>
      </c>
      <c r="I62" s="14">
        <f>F62/12*G62</f>
        <v>855.12239999999997</v>
      </c>
      <c r="J62" s="27"/>
      <c r="L62" s="23"/>
      <c r="M62" s="24"/>
      <c r="N62" s="25"/>
    </row>
    <row r="63" spans="1:14" ht="15.75" hidden="1" customHeight="1">
      <c r="A63" s="52"/>
      <c r="B63" s="135" t="s">
        <v>45</v>
      </c>
      <c r="C63" s="136" t="s">
        <v>26</v>
      </c>
      <c r="D63" s="135" t="s">
        <v>55</v>
      </c>
      <c r="E63" s="137">
        <v>1640.4</v>
      </c>
      <c r="F63" s="138">
        <v>16.404</v>
      </c>
      <c r="G63" s="142">
        <v>739.61</v>
      </c>
      <c r="H63" s="139">
        <f>G63*F63/1000</f>
        <v>12.132562439999999</v>
      </c>
      <c r="I63" s="14">
        <v>0</v>
      </c>
      <c r="J63" s="27"/>
      <c r="L63" s="23"/>
      <c r="M63" s="24"/>
      <c r="N63" s="25"/>
    </row>
    <row r="64" spans="1:14" ht="15.75" hidden="1" customHeight="1">
      <c r="A64" s="52"/>
      <c r="B64" s="107" t="s">
        <v>46</v>
      </c>
      <c r="C64" s="18"/>
      <c r="D64" s="46"/>
      <c r="E64" s="46"/>
      <c r="F64" s="17"/>
      <c r="G64" s="33"/>
      <c r="H64" s="33"/>
      <c r="I64" s="21"/>
      <c r="J64" s="27"/>
      <c r="L64" s="23"/>
      <c r="M64" s="24"/>
      <c r="N64" s="25"/>
    </row>
    <row r="65" spans="1:22" ht="15.75" hidden="1" customHeight="1">
      <c r="A65" s="52">
        <v>21</v>
      </c>
      <c r="B65" s="16" t="s">
        <v>47</v>
      </c>
      <c r="C65" s="18" t="s">
        <v>135</v>
      </c>
      <c r="D65" s="16" t="s">
        <v>72</v>
      </c>
      <c r="E65" s="21">
        <v>40</v>
      </c>
      <c r="F65" s="126">
        <v>40</v>
      </c>
      <c r="G65" s="14">
        <v>222.4</v>
      </c>
      <c r="H65" s="109">
        <f t="shared" ref="H65:H72" si="7">SUM(F65*G65/1000)</f>
        <v>8.8960000000000008</v>
      </c>
      <c r="I65" s="14">
        <f>G65</f>
        <v>222.4</v>
      </c>
      <c r="J65" s="27"/>
      <c r="L65" s="23"/>
      <c r="M65" s="24"/>
      <c r="N65" s="25"/>
    </row>
    <row r="66" spans="1:22" ht="15.75" hidden="1" customHeight="1">
      <c r="A66" s="33">
        <v>29</v>
      </c>
      <c r="B66" s="16" t="s">
        <v>48</v>
      </c>
      <c r="C66" s="18" t="s">
        <v>135</v>
      </c>
      <c r="D66" s="16" t="s">
        <v>72</v>
      </c>
      <c r="E66" s="21">
        <v>15</v>
      </c>
      <c r="F66" s="126">
        <v>15</v>
      </c>
      <c r="G66" s="14">
        <v>76.25</v>
      </c>
      <c r="H66" s="109">
        <f t="shared" si="7"/>
        <v>1.14375</v>
      </c>
      <c r="I66" s="14">
        <v>0</v>
      </c>
      <c r="J66" s="27"/>
      <c r="L66" s="23"/>
      <c r="M66" s="24"/>
      <c r="N66" s="25"/>
    </row>
    <row r="67" spans="1:22" ht="15.75" hidden="1" customHeight="1">
      <c r="A67" s="33">
        <v>8</v>
      </c>
      <c r="B67" s="16" t="s">
        <v>49</v>
      </c>
      <c r="C67" s="18" t="s">
        <v>136</v>
      </c>
      <c r="D67" s="16" t="s">
        <v>55</v>
      </c>
      <c r="E67" s="125">
        <v>24648</v>
      </c>
      <c r="F67" s="14">
        <f>SUM(E67/100)</f>
        <v>246.48</v>
      </c>
      <c r="G67" s="14">
        <v>212.15</v>
      </c>
      <c r="H67" s="109">
        <f t="shared" si="7"/>
        <v>52.290731999999998</v>
      </c>
      <c r="I67" s="14">
        <v>0</v>
      </c>
      <c r="J67" s="27"/>
      <c r="L67" s="23"/>
      <c r="M67" s="24"/>
      <c r="N67" s="25"/>
    </row>
    <row r="68" spans="1:22" ht="15.75" hidden="1" customHeight="1">
      <c r="A68" s="33">
        <v>9</v>
      </c>
      <c r="B68" s="16" t="s">
        <v>50</v>
      </c>
      <c r="C68" s="18" t="s">
        <v>137</v>
      </c>
      <c r="D68" s="16"/>
      <c r="E68" s="125">
        <v>24648</v>
      </c>
      <c r="F68" s="14">
        <f>SUM(E68/1000)</f>
        <v>24.648</v>
      </c>
      <c r="G68" s="14">
        <v>165.21</v>
      </c>
      <c r="H68" s="109">
        <f t="shared" si="7"/>
        <v>4.0720960800000006</v>
      </c>
      <c r="I68" s="14">
        <v>0</v>
      </c>
      <c r="J68" s="27"/>
      <c r="L68" s="23"/>
      <c r="M68" s="24"/>
      <c r="N68" s="25"/>
    </row>
    <row r="69" spans="1:22" ht="15.75" hidden="1" customHeight="1">
      <c r="A69" s="33">
        <v>10</v>
      </c>
      <c r="B69" s="16" t="s">
        <v>51</v>
      </c>
      <c r="C69" s="18" t="s">
        <v>81</v>
      </c>
      <c r="D69" s="16" t="s">
        <v>55</v>
      </c>
      <c r="E69" s="125">
        <v>2730</v>
      </c>
      <c r="F69" s="14">
        <f>SUM(E69/100)</f>
        <v>27.3</v>
      </c>
      <c r="G69" s="14">
        <v>2074.63</v>
      </c>
      <c r="H69" s="109">
        <f t="shared" si="7"/>
        <v>56.637399000000002</v>
      </c>
      <c r="I69" s="14">
        <v>0</v>
      </c>
      <c r="J69" s="27"/>
      <c r="L69" s="23"/>
    </row>
    <row r="70" spans="1:22" ht="15.75" hidden="1" customHeight="1">
      <c r="A70" s="33">
        <v>11</v>
      </c>
      <c r="B70" s="145" t="s">
        <v>138</v>
      </c>
      <c r="C70" s="18" t="s">
        <v>34</v>
      </c>
      <c r="D70" s="16"/>
      <c r="E70" s="125">
        <v>20.28</v>
      </c>
      <c r="F70" s="14">
        <f>SUM(E70)</f>
        <v>20.28</v>
      </c>
      <c r="G70" s="14">
        <v>45.32</v>
      </c>
      <c r="H70" s="109">
        <f t="shared" si="7"/>
        <v>0.91908960000000006</v>
      </c>
      <c r="I70" s="14">
        <v>0</v>
      </c>
    </row>
    <row r="71" spans="1:22" ht="15.75" hidden="1" customHeight="1">
      <c r="A71" s="33">
        <v>12</v>
      </c>
      <c r="B71" s="145" t="s">
        <v>181</v>
      </c>
      <c r="C71" s="18" t="s">
        <v>34</v>
      </c>
      <c r="D71" s="16"/>
      <c r="E71" s="125">
        <v>20.28</v>
      </c>
      <c r="F71" s="14">
        <f>SUM(E71)</f>
        <v>20.28</v>
      </c>
      <c r="G71" s="14">
        <v>42.28</v>
      </c>
      <c r="H71" s="109">
        <f t="shared" si="7"/>
        <v>0.85743840000000016</v>
      </c>
      <c r="I71" s="14">
        <v>0</v>
      </c>
    </row>
    <row r="72" spans="1:22" ht="15.75" hidden="1" customHeight="1">
      <c r="A72" s="33">
        <v>13</v>
      </c>
      <c r="B72" s="16" t="s">
        <v>59</v>
      </c>
      <c r="C72" s="18" t="s">
        <v>60</v>
      </c>
      <c r="D72" s="16" t="s">
        <v>55</v>
      </c>
      <c r="E72" s="21">
        <v>12</v>
      </c>
      <c r="F72" s="126">
        <f>SUM(E72)</f>
        <v>12</v>
      </c>
      <c r="G72" s="14">
        <v>49.88</v>
      </c>
      <c r="H72" s="109">
        <f t="shared" si="7"/>
        <v>0.59856000000000009</v>
      </c>
      <c r="I72" s="14">
        <v>0</v>
      </c>
    </row>
    <row r="73" spans="1:22" ht="15.75" hidden="1" customHeight="1">
      <c r="A73" s="65"/>
      <c r="B73" s="107" t="s">
        <v>140</v>
      </c>
      <c r="C73" s="107"/>
      <c r="D73" s="107"/>
      <c r="E73" s="107"/>
      <c r="F73" s="107"/>
      <c r="G73" s="107"/>
      <c r="H73" s="107"/>
      <c r="I73" s="21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9"/>
    </row>
    <row r="74" spans="1:22" ht="15.75" hidden="1" customHeight="1">
      <c r="A74" s="33">
        <v>36</v>
      </c>
      <c r="B74" s="124" t="s">
        <v>141</v>
      </c>
      <c r="C74" s="18"/>
      <c r="D74" s="16"/>
      <c r="E74" s="115"/>
      <c r="F74" s="14">
        <v>1</v>
      </c>
      <c r="G74" s="14">
        <v>27356</v>
      </c>
      <c r="H74" s="109">
        <f>G74*F74/1000</f>
        <v>27.356000000000002</v>
      </c>
      <c r="I74" s="14">
        <v>0</v>
      </c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33"/>
      <c r="B75" s="60" t="s">
        <v>78</v>
      </c>
      <c r="C75" s="60"/>
      <c r="D75" s="60"/>
      <c r="E75" s="60"/>
      <c r="F75" s="21"/>
      <c r="G75" s="33"/>
      <c r="H75" s="33"/>
      <c r="I75" s="21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33"/>
      <c r="B76" s="16" t="s">
        <v>97</v>
      </c>
      <c r="C76" s="18" t="s">
        <v>32</v>
      </c>
      <c r="D76" s="16"/>
      <c r="E76" s="21">
        <v>2</v>
      </c>
      <c r="F76" s="126">
        <f>SUM(E76)</f>
        <v>2</v>
      </c>
      <c r="G76" s="14">
        <v>358.51</v>
      </c>
      <c r="H76" s="109">
        <f>SUM(F76*G76/1000)</f>
        <v>0.71701999999999999</v>
      </c>
      <c r="I76" s="14">
        <v>0</v>
      </c>
      <c r="J76" s="5"/>
      <c r="K76" s="5"/>
      <c r="L76" s="5"/>
      <c r="M76" s="5"/>
      <c r="N76" s="5"/>
      <c r="O76" s="5"/>
      <c r="P76" s="5"/>
      <c r="Q76" s="5"/>
      <c r="R76" s="180"/>
      <c r="S76" s="180"/>
      <c r="T76" s="180"/>
      <c r="U76" s="180"/>
    </row>
    <row r="77" spans="1:22" ht="15.75" hidden="1" customHeight="1">
      <c r="A77" s="33"/>
      <c r="B77" s="16" t="s">
        <v>79</v>
      </c>
      <c r="C77" s="18" t="s">
        <v>32</v>
      </c>
      <c r="D77" s="16"/>
      <c r="E77" s="21">
        <v>1</v>
      </c>
      <c r="F77" s="14">
        <v>1</v>
      </c>
      <c r="G77" s="14">
        <v>852.99</v>
      </c>
      <c r="H77" s="109">
        <f>F77*G77/1000</f>
        <v>0.85299000000000003</v>
      </c>
      <c r="I77" s="14">
        <v>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2" ht="15.75" hidden="1" customHeight="1">
      <c r="A78" s="33"/>
      <c r="B78" s="61" t="s">
        <v>80</v>
      </c>
      <c r="C78" s="47"/>
      <c r="D78" s="33"/>
      <c r="E78" s="33"/>
      <c r="F78" s="21"/>
      <c r="G78" s="43" t="s">
        <v>158</v>
      </c>
      <c r="H78" s="43"/>
      <c r="I78" s="21"/>
    </row>
    <row r="79" spans="1:22" ht="15.75" hidden="1" customHeight="1">
      <c r="A79" s="33">
        <v>39</v>
      </c>
      <c r="B79" s="63" t="s">
        <v>142</v>
      </c>
      <c r="C79" s="18" t="s">
        <v>81</v>
      </c>
      <c r="D79" s="16"/>
      <c r="E79" s="21"/>
      <c r="F79" s="14">
        <v>1.35</v>
      </c>
      <c r="G79" s="14">
        <v>2759.44</v>
      </c>
      <c r="H79" s="109">
        <f>SUM(F79*G79/1000)</f>
        <v>3.725244</v>
      </c>
      <c r="I79" s="14">
        <v>0</v>
      </c>
    </row>
    <row r="80" spans="1:22" ht="15.75" customHeight="1">
      <c r="A80" s="171" t="s">
        <v>178</v>
      </c>
      <c r="B80" s="172"/>
      <c r="C80" s="172"/>
      <c r="D80" s="172"/>
      <c r="E80" s="172"/>
      <c r="F80" s="172"/>
      <c r="G80" s="172"/>
      <c r="H80" s="172"/>
      <c r="I80" s="173"/>
    </row>
    <row r="81" spans="1:9" ht="15.75" customHeight="1">
      <c r="A81" s="33">
        <v>21</v>
      </c>
      <c r="B81" s="124" t="s">
        <v>143</v>
      </c>
      <c r="C81" s="18" t="s">
        <v>56</v>
      </c>
      <c r="D81" s="147" t="s">
        <v>57</v>
      </c>
      <c r="E81" s="14">
        <v>5926.8</v>
      </c>
      <c r="F81" s="14">
        <f>SUM(E81*12)</f>
        <v>71121.600000000006</v>
      </c>
      <c r="G81" s="14">
        <v>2.1</v>
      </c>
      <c r="H81" s="109">
        <f>SUM(F81*G81/1000)</f>
        <v>149.35536000000002</v>
      </c>
      <c r="I81" s="14">
        <f>F81/12*G81</f>
        <v>12446.28</v>
      </c>
    </row>
    <row r="82" spans="1:9" ht="31.5" customHeight="1">
      <c r="A82" s="33">
        <v>22</v>
      </c>
      <c r="B82" s="16" t="s">
        <v>82</v>
      </c>
      <c r="C82" s="18"/>
      <c r="D82" s="147" t="s">
        <v>57</v>
      </c>
      <c r="E82" s="125">
        <v>5926.8</v>
      </c>
      <c r="F82" s="14">
        <f>E82*12</f>
        <v>71121.600000000006</v>
      </c>
      <c r="G82" s="14">
        <v>1.63</v>
      </c>
      <c r="H82" s="109">
        <f>F82*G82/1000</f>
        <v>115.928208</v>
      </c>
      <c r="I82" s="14">
        <f>F82/12*G82</f>
        <v>9660.6839999999993</v>
      </c>
    </row>
    <row r="83" spans="1:9" ht="15.75" customHeight="1">
      <c r="A83" s="65"/>
      <c r="B83" s="50" t="s">
        <v>85</v>
      </c>
      <c r="C83" s="52"/>
      <c r="D83" s="17"/>
      <c r="E83" s="17"/>
      <c r="F83" s="17"/>
      <c r="G83" s="21"/>
      <c r="H83" s="21"/>
      <c r="I83" s="35">
        <f>SUM(I16+I17+I18+I20+I21+I24+I26+I27+I28+I39+I40+I41+I42+I43+I44+I51+I52+I58+I59+I62+I81+I82)</f>
        <v>96678.150270499988</v>
      </c>
    </row>
    <row r="84" spans="1:9" ht="15.75" customHeight="1">
      <c r="A84" s="174" t="s">
        <v>63</v>
      </c>
      <c r="B84" s="175"/>
      <c r="C84" s="175"/>
      <c r="D84" s="175"/>
      <c r="E84" s="175"/>
      <c r="F84" s="175"/>
      <c r="G84" s="175"/>
      <c r="H84" s="175"/>
      <c r="I84" s="176"/>
    </row>
    <row r="85" spans="1:9" ht="31.5" customHeight="1">
      <c r="A85" s="33">
        <v>23</v>
      </c>
      <c r="B85" s="69" t="s">
        <v>161</v>
      </c>
      <c r="C85" s="84" t="s">
        <v>38</v>
      </c>
      <c r="D85" s="63"/>
      <c r="E85" s="14"/>
      <c r="F85" s="14">
        <v>7.0000000000000007E-2</v>
      </c>
      <c r="G85" s="14">
        <v>3581.13</v>
      </c>
      <c r="H85" s="109">
        <f t="shared" ref="H85" si="8">G85*F85/1000</f>
        <v>0.25067910000000004</v>
      </c>
      <c r="I85" s="14">
        <f>G85*0.01</f>
        <v>35.811300000000003</v>
      </c>
    </row>
    <row r="86" spans="1:9" ht="15.75" customHeight="1">
      <c r="A86" s="33">
        <v>24</v>
      </c>
      <c r="B86" s="69" t="s">
        <v>111</v>
      </c>
      <c r="C86" s="84" t="s">
        <v>135</v>
      </c>
      <c r="D86" s="63"/>
      <c r="E86" s="14"/>
      <c r="F86" s="14">
        <v>968</v>
      </c>
      <c r="G86" s="14">
        <v>53.42</v>
      </c>
      <c r="H86" s="109">
        <f>G86*F86/1000</f>
        <v>51.710560000000008</v>
      </c>
      <c r="I86" s="14">
        <f>G86*121</f>
        <v>6463.8200000000006</v>
      </c>
    </row>
    <row r="87" spans="1:9" ht="15.75" customHeight="1">
      <c r="A87" s="33">
        <v>25</v>
      </c>
      <c r="B87" s="69" t="s">
        <v>87</v>
      </c>
      <c r="C87" s="84" t="s">
        <v>135</v>
      </c>
      <c r="D87" s="63"/>
      <c r="E87" s="14"/>
      <c r="F87" s="14">
        <v>5</v>
      </c>
      <c r="G87" s="14">
        <v>189.88</v>
      </c>
      <c r="H87" s="109">
        <f>G87*F87/1000</f>
        <v>0.94940000000000002</v>
      </c>
      <c r="I87" s="14">
        <f>G87</f>
        <v>189.88</v>
      </c>
    </row>
    <row r="88" spans="1:9" ht="31.5" customHeight="1">
      <c r="A88" s="33">
        <v>26</v>
      </c>
      <c r="B88" s="69" t="s">
        <v>200</v>
      </c>
      <c r="C88" s="84" t="s">
        <v>101</v>
      </c>
      <c r="D88" s="63"/>
      <c r="E88" s="14"/>
      <c r="F88" s="14">
        <v>2</v>
      </c>
      <c r="G88" s="14">
        <v>727.73</v>
      </c>
      <c r="H88" s="109">
        <f t="shared" ref="H88:H89" si="9">G88*F88/1000</f>
        <v>1.45546</v>
      </c>
      <c r="I88" s="14">
        <f>G88*2</f>
        <v>1455.46</v>
      </c>
    </row>
    <row r="89" spans="1:9" ht="15.75" customHeight="1">
      <c r="A89" s="33">
        <v>27</v>
      </c>
      <c r="B89" s="69" t="s">
        <v>201</v>
      </c>
      <c r="C89" s="84" t="s">
        <v>135</v>
      </c>
      <c r="D89" s="63"/>
      <c r="E89" s="14"/>
      <c r="F89" s="14">
        <v>1</v>
      </c>
      <c r="G89" s="14">
        <v>22</v>
      </c>
      <c r="H89" s="109">
        <f t="shared" si="9"/>
        <v>2.1999999999999999E-2</v>
      </c>
      <c r="I89" s="14">
        <f>G89</f>
        <v>22</v>
      </c>
    </row>
    <row r="90" spans="1:9" ht="15.75" customHeight="1">
      <c r="A90" s="33">
        <v>28</v>
      </c>
      <c r="B90" s="69" t="s">
        <v>195</v>
      </c>
      <c r="C90" s="84" t="s">
        <v>135</v>
      </c>
      <c r="D90" s="63"/>
      <c r="E90" s="14"/>
      <c r="F90" s="14">
        <v>1</v>
      </c>
      <c r="G90" s="14">
        <v>46</v>
      </c>
      <c r="H90" s="109">
        <f>G90*F90/1000</f>
        <v>4.5999999999999999E-2</v>
      </c>
      <c r="I90" s="14">
        <f t="shared" ref="I90:I93" si="10">G90</f>
        <v>46</v>
      </c>
    </row>
    <row r="91" spans="1:9" ht="15.75" customHeight="1">
      <c r="A91" s="33">
        <v>29</v>
      </c>
      <c r="B91" s="69" t="s">
        <v>196</v>
      </c>
      <c r="C91" s="84" t="s">
        <v>135</v>
      </c>
      <c r="D91" s="63"/>
      <c r="E91" s="14"/>
      <c r="F91" s="14">
        <v>1</v>
      </c>
      <c r="G91" s="14">
        <v>62</v>
      </c>
      <c r="H91" s="109">
        <f t="shared" ref="H91:H92" si="11">G91*F91/1000</f>
        <v>6.2E-2</v>
      </c>
      <c r="I91" s="14">
        <f t="shared" si="10"/>
        <v>62</v>
      </c>
    </row>
    <row r="92" spans="1:9" ht="15.75" customHeight="1">
      <c r="A92" s="33">
        <v>30</v>
      </c>
      <c r="B92" s="69" t="s">
        <v>197</v>
      </c>
      <c r="C92" s="84" t="s">
        <v>135</v>
      </c>
      <c r="D92" s="16"/>
      <c r="E92" s="21"/>
      <c r="F92" s="14">
        <v>1</v>
      </c>
      <c r="G92" s="14">
        <v>42</v>
      </c>
      <c r="H92" s="109">
        <f t="shared" si="11"/>
        <v>4.2000000000000003E-2</v>
      </c>
      <c r="I92" s="14">
        <f t="shared" si="10"/>
        <v>42</v>
      </c>
    </row>
    <row r="93" spans="1:9" ht="15.75" customHeight="1">
      <c r="A93" s="33">
        <v>31</v>
      </c>
      <c r="B93" s="69" t="s">
        <v>98</v>
      </c>
      <c r="C93" s="84" t="s">
        <v>101</v>
      </c>
      <c r="D93" s="63"/>
      <c r="E93" s="14"/>
      <c r="F93" s="14">
        <v>9</v>
      </c>
      <c r="G93" s="14">
        <v>589.84</v>
      </c>
      <c r="H93" s="109">
        <f>G93*F93/1000</f>
        <v>5.3085600000000008</v>
      </c>
      <c r="I93" s="14">
        <f t="shared" si="10"/>
        <v>589.84</v>
      </c>
    </row>
    <row r="94" spans="1:9" ht="15.75" customHeight="1">
      <c r="A94" s="33">
        <v>32</v>
      </c>
      <c r="B94" s="151" t="s">
        <v>198</v>
      </c>
      <c r="C94" s="33" t="s">
        <v>106</v>
      </c>
      <c r="D94" s="63"/>
      <c r="E94" s="14"/>
      <c r="F94" s="14">
        <f>1.3/10</f>
        <v>0.13</v>
      </c>
      <c r="G94" s="14">
        <v>381.08</v>
      </c>
      <c r="H94" s="109">
        <f>G94*F94/1000</f>
        <v>4.9540399999999998E-2</v>
      </c>
      <c r="I94" s="14">
        <f>G94*F94</f>
        <v>49.540399999999998</v>
      </c>
    </row>
    <row r="95" spans="1:9" ht="15.75" customHeight="1">
      <c r="A95" s="33">
        <v>33</v>
      </c>
      <c r="B95" s="69" t="s">
        <v>199</v>
      </c>
      <c r="C95" s="84" t="s">
        <v>54</v>
      </c>
      <c r="D95" s="63"/>
      <c r="E95" s="14"/>
      <c r="F95" s="14">
        <f>1.3/100</f>
        <v>1.3000000000000001E-2</v>
      </c>
      <c r="G95" s="14">
        <v>51118.77</v>
      </c>
      <c r="H95" s="109">
        <f>G95*F95/1000</f>
        <v>0.66454401000000007</v>
      </c>
      <c r="I95" s="14">
        <f t="shared" ref="I95:I96" si="12">G95*F95</f>
        <v>664.54401000000007</v>
      </c>
    </row>
    <row r="96" spans="1:9" ht="31.5" customHeight="1">
      <c r="A96" s="33">
        <v>34</v>
      </c>
      <c r="B96" s="69" t="s">
        <v>160</v>
      </c>
      <c r="C96" s="89" t="s">
        <v>106</v>
      </c>
      <c r="D96" s="63"/>
      <c r="E96" s="14"/>
      <c r="F96" s="14">
        <f>0.306/10</f>
        <v>3.0599999999999999E-2</v>
      </c>
      <c r="G96" s="14">
        <v>9397.7900000000009</v>
      </c>
      <c r="H96" s="109">
        <f>G96*F96/1000</f>
        <v>0.28757237400000002</v>
      </c>
      <c r="I96" s="14">
        <f t="shared" si="12"/>
        <v>287.57237400000002</v>
      </c>
    </row>
    <row r="97" spans="1:9" ht="15.75" customHeight="1">
      <c r="A97" s="33"/>
      <c r="B97" s="57" t="s">
        <v>52</v>
      </c>
      <c r="C97" s="53"/>
      <c r="D97" s="67"/>
      <c r="E97" s="67"/>
      <c r="F97" s="53">
        <v>1</v>
      </c>
      <c r="G97" s="53"/>
      <c r="H97" s="53"/>
      <c r="I97" s="35">
        <f>SUM(I85:I96)</f>
        <v>9908.4680840000001</v>
      </c>
    </row>
    <row r="98" spans="1:9" ht="15.75" customHeight="1">
      <c r="A98" s="33"/>
      <c r="B98" s="63" t="s">
        <v>83</v>
      </c>
      <c r="C98" s="17"/>
      <c r="D98" s="17"/>
      <c r="E98" s="17"/>
      <c r="F98" s="54"/>
      <c r="G98" s="55"/>
      <c r="H98" s="55"/>
      <c r="I98" s="20">
        <v>0</v>
      </c>
    </row>
    <row r="99" spans="1:9" ht="15.75" customHeight="1">
      <c r="A99" s="68"/>
      <c r="B99" s="58" t="s">
        <v>182</v>
      </c>
      <c r="C99" s="41"/>
      <c r="D99" s="41"/>
      <c r="E99" s="41"/>
      <c r="F99" s="41"/>
      <c r="G99" s="41"/>
      <c r="H99" s="41"/>
      <c r="I99" s="56">
        <f>I83+I97</f>
        <v>106586.61835449998</v>
      </c>
    </row>
    <row r="100" spans="1:9" ht="15.75" customHeight="1">
      <c r="A100" s="190" t="s">
        <v>202</v>
      </c>
      <c r="B100" s="190"/>
      <c r="C100" s="190"/>
      <c r="D100" s="190"/>
      <c r="E100" s="190"/>
      <c r="F100" s="190"/>
      <c r="G100" s="190"/>
      <c r="H100" s="190"/>
      <c r="I100" s="190"/>
    </row>
    <row r="101" spans="1:9" ht="15.75" customHeight="1">
      <c r="A101" s="108"/>
      <c r="B101" s="182" t="s">
        <v>203</v>
      </c>
      <c r="C101" s="182"/>
      <c r="D101" s="182"/>
      <c r="E101" s="182"/>
      <c r="F101" s="182"/>
      <c r="G101" s="182"/>
      <c r="H101" s="123"/>
      <c r="I101" s="3"/>
    </row>
    <row r="102" spans="1:9" ht="15.75" customHeight="1">
      <c r="A102" s="103"/>
      <c r="B102" s="178" t="s">
        <v>6</v>
      </c>
      <c r="C102" s="178"/>
      <c r="D102" s="178"/>
      <c r="E102" s="178"/>
      <c r="F102" s="178"/>
      <c r="G102" s="178"/>
      <c r="H102" s="28"/>
      <c r="I102" s="5"/>
    </row>
    <row r="103" spans="1:9" ht="15.75" customHeight="1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 customHeight="1">
      <c r="A104" s="183" t="s">
        <v>7</v>
      </c>
      <c r="B104" s="183"/>
      <c r="C104" s="183"/>
      <c r="D104" s="183"/>
      <c r="E104" s="183"/>
      <c r="F104" s="183"/>
      <c r="G104" s="183"/>
      <c r="H104" s="183"/>
      <c r="I104" s="183"/>
    </row>
    <row r="105" spans="1:9" ht="15.75" customHeight="1">
      <c r="A105" s="183" t="s">
        <v>8</v>
      </c>
      <c r="B105" s="183"/>
      <c r="C105" s="183"/>
      <c r="D105" s="183"/>
      <c r="E105" s="183"/>
      <c r="F105" s="183"/>
      <c r="G105" s="183"/>
      <c r="H105" s="183"/>
      <c r="I105" s="183"/>
    </row>
    <row r="106" spans="1:9" ht="15.75" customHeight="1">
      <c r="A106" s="184" t="s">
        <v>65</v>
      </c>
      <c r="B106" s="184"/>
      <c r="C106" s="184"/>
      <c r="D106" s="184"/>
      <c r="E106" s="184"/>
      <c r="F106" s="184"/>
      <c r="G106" s="184"/>
      <c r="H106" s="184"/>
      <c r="I106" s="184"/>
    </row>
    <row r="107" spans="1:9" ht="15.75" customHeight="1">
      <c r="A107" s="11"/>
    </row>
    <row r="108" spans="1:9" ht="15.75" customHeight="1">
      <c r="A108" s="185" t="s">
        <v>9</v>
      </c>
      <c r="B108" s="185"/>
      <c r="C108" s="185"/>
      <c r="D108" s="185"/>
      <c r="E108" s="185"/>
      <c r="F108" s="185"/>
      <c r="G108" s="185"/>
      <c r="H108" s="185"/>
      <c r="I108" s="185"/>
    </row>
    <row r="109" spans="1:9" ht="15.75" customHeight="1">
      <c r="A109" s="4"/>
    </row>
    <row r="110" spans="1:9" ht="15.75" customHeight="1">
      <c r="B110" s="102" t="s">
        <v>10</v>
      </c>
      <c r="C110" s="177" t="s">
        <v>99</v>
      </c>
      <c r="D110" s="177"/>
      <c r="E110" s="177"/>
      <c r="F110" s="177"/>
      <c r="I110" s="105"/>
    </row>
    <row r="111" spans="1:9" ht="15.75" customHeight="1">
      <c r="A111" s="103"/>
      <c r="C111" s="178" t="s">
        <v>11</v>
      </c>
      <c r="D111" s="178"/>
      <c r="E111" s="178"/>
      <c r="F111" s="178"/>
      <c r="I111" s="104" t="s">
        <v>12</v>
      </c>
    </row>
    <row r="112" spans="1:9" ht="15.75" customHeight="1">
      <c r="A112" s="29"/>
      <c r="C112" s="12"/>
      <c r="D112" s="12"/>
      <c r="E112" s="12"/>
      <c r="G112" s="12"/>
      <c r="H112" s="12"/>
    </row>
    <row r="113" spans="1:9" ht="15.75" customHeight="1">
      <c r="B113" s="102" t="s">
        <v>13</v>
      </c>
      <c r="C113" s="179"/>
      <c r="D113" s="179"/>
      <c r="E113" s="179"/>
      <c r="F113" s="179"/>
      <c r="I113" s="105"/>
    </row>
    <row r="114" spans="1:9" ht="15.75" customHeight="1">
      <c r="A114" s="103"/>
      <c r="C114" s="180" t="s">
        <v>11</v>
      </c>
      <c r="D114" s="180"/>
      <c r="E114" s="180"/>
      <c r="F114" s="180"/>
      <c r="I114" s="104" t="s">
        <v>12</v>
      </c>
    </row>
    <row r="115" spans="1:9" ht="15.75" customHeight="1">
      <c r="A115" s="4" t="s">
        <v>14</v>
      </c>
    </row>
    <row r="116" spans="1:9">
      <c r="A116" s="181" t="s">
        <v>15</v>
      </c>
      <c r="B116" s="181"/>
      <c r="C116" s="181"/>
      <c r="D116" s="181"/>
      <c r="E116" s="181"/>
      <c r="F116" s="181"/>
      <c r="G116" s="181"/>
      <c r="H116" s="181"/>
      <c r="I116" s="181"/>
    </row>
    <row r="117" spans="1:9" ht="45" customHeight="1">
      <c r="A117" s="170" t="s">
        <v>16</v>
      </c>
      <c r="B117" s="170"/>
      <c r="C117" s="170"/>
      <c r="D117" s="170"/>
      <c r="E117" s="170"/>
      <c r="F117" s="170"/>
      <c r="G117" s="170"/>
      <c r="H117" s="170"/>
      <c r="I117" s="170"/>
    </row>
    <row r="118" spans="1:9" ht="30" customHeight="1">
      <c r="A118" s="170" t="s">
        <v>17</v>
      </c>
      <c r="B118" s="170"/>
      <c r="C118" s="170"/>
      <c r="D118" s="170"/>
      <c r="E118" s="170"/>
      <c r="F118" s="170"/>
      <c r="G118" s="170"/>
      <c r="H118" s="170"/>
      <c r="I118" s="170"/>
    </row>
    <row r="119" spans="1:9" ht="30" customHeight="1">
      <c r="A119" s="170" t="s">
        <v>21</v>
      </c>
      <c r="B119" s="170"/>
      <c r="C119" s="170"/>
      <c r="D119" s="170"/>
      <c r="E119" s="170"/>
      <c r="F119" s="170"/>
      <c r="G119" s="170"/>
      <c r="H119" s="170"/>
      <c r="I119" s="170"/>
    </row>
    <row r="120" spans="1:9" ht="15" customHeight="1">
      <c r="A120" s="170" t="s">
        <v>20</v>
      </c>
      <c r="B120" s="170"/>
      <c r="C120" s="170"/>
      <c r="D120" s="170"/>
      <c r="E120" s="170"/>
      <c r="F120" s="170"/>
      <c r="G120" s="170"/>
      <c r="H120" s="170"/>
      <c r="I120" s="170"/>
    </row>
  </sheetData>
  <autoFilter ref="I12:I71"/>
  <mergeCells count="29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6:U76"/>
    <mergeCell ref="C114:F114"/>
    <mergeCell ref="A84:I84"/>
    <mergeCell ref="A100:I100"/>
    <mergeCell ref="B101:G101"/>
    <mergeCell ref="B102:G102"/>
    <mergeCell ref="A104:I104"/>
    <mergeCell ref="A105:I105"/>
    <mergeCell ref="A106:I106"/>
    <mergeCell ref="A108:I108"/>
    <mergeCell ref="C110:F110"/>
    <mergeCell ref="C111:F111"/>
    <mergeCell ref="C113:F113"/>
    <mergeCell ref="A80:I80"/>
    <mergeCell ref="A116:I116"/>
    <mergeCell ref="A117:I117"/>
    <mergeCell ref="A118:I118"/>
    <mergeCell ref="A119:I119"/>
    <mergeCell ref="A120:I12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9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94</v>
      </c>
      <c r="I1" s="30"/>
      <c r="J1" s="1"/>
      <c r="K1" s="1"/>
      <c r="L1" s="1"/>
      <c r="M1" s="1"/>
    </row>
    <row r="2" spans="1:13" ht="15.75" customHeight="1">
      <c r="A2" s="32" t="s">
        <v>67</v>
      </c>
      <c r="J2" s="2"/>
      <c r="K2" s="2"/>
      <c r="L2" s="2"/>
      <c r="M2" s="2"/>
    </row>
    <row r="3" spans="1:13" ht="15.75" customHeight="1">
      <c r="A3" s="191" t="s">
        <v>204</v>
      </c>
      <c r="B3" s="191"/>
      <c r="C3" s="191"/>
      <c r="D3" s="191"/>
      <c r="E3" s="191"/>
      <c r="F3" s="191"/>
      <c r="G3" s="191"/>
      <c r="H3" s="191"/>
      <c r="I3" s="191"/>
      <c r="J3" s="3"/>
      <c r="K3" s="3"/>
      <c r="L3" s="3"/>
    </row>
    <row r="4" spans="1:13" ht="31.5" customHeight="1">
      <c r="A4" s="192" t="s">
        <v>144</v>
      </c>
      <c r="B4" s="192"/>
      <c r="C4" s="192"/>
      <c r="D4" s="192"/>
      <c r="E4" s="192"/>
      <c r="F4" s="192"/>
      <c r="G4" s="192"/>
      <c r="H4" s="192"/>
      <c r="I4" s="192"/>
    </row>
    <row r="5" spans="1:13" ht="15.75" customHeight="1">
      <c r="A5" s="191" t="s">
        <v>205</v>
      </c>
      <c r="B5" s="193"/>
      <c r="C5" s="193"/>
      <c r="D5" s="193"/>
      <c r="E5" s="193"/>
      <c r="F5" s="193"/>
      <c r="G5" s="193"/>
      <c r="H5" s="193"/>
      <c r="I5" s="193"/>
      <c r="J5" s="2"/>
      <c r="K5" s="2"/>
      <c r="L5" s="2"/>
      <c r="M5" s="2"/>
    </row>
    <row r="6" spans="1:13" ht="15.75" customHeight="1">
      <c r="A6" s="2"/>
      <c r="B6" s="106"/>
      <c r="C6" s="106"/>
      <c r="D6" s="106"/>
      <c r="E6" s="106"/>
      <c r="F6" s="106"/>
      <c r="G6" s="106"/>
      <c r="H6" s="106"/>
      <c r="I6" s="34">
        <v>42886</v>
      </c>
      <c r="J6" s="2"/>
      <c r="K6" s="2"/>
      <c r="L6" s="2"/>
      <c r="M6" s="2"/>
    </row>
    <row r="7" spans="1:13" ht="15.75" customHeight="1">
      <c r="B7" s="102"/>
      <c r="C7" s="102"/>
      <c r="D7" s="102"/>
      <c r="E7" s="102"/>
      <c r="F7" s="3"/>
      <c r="G7" s="3"/>
      <c r="H7" s="3"/>
      <c r="J7" s="3"/>
      <c r="K7" s="3"/>
      <c r="L7" s="3"/>
      <c r="M7" s="3"/>
    </row>
    <row r="8" spans="1:13" ht="78.75" customHeight="1">
      <c r="A8" s="194" t="s">
        <v>168</v>
      </c>
      <c r="B8" s="194"/>
      <c r="C8" s="194"/>
      <c r="D8" s="194"/>
      <c r="E8" s="194"/>
      <c r="F8" s="194"/>
      <c r="G8" s="194"/>
      <c r="H8" s="194"/>
      <c r="I8" s="194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195" t="s">
        <v>261</v>
      </c>
      <c r="B10" s="195"/>
      <c r="C10" s="195"/>
      <c r="D10" s="195"/>
      <c r="E10" s="195"/>
      <c r="F10" s="195"/>
      <c r="G10" s="195"/>
      <c r="H10" s="195"/>
      <c r="I10" s="19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6" t="s">
        <v>61</v>
      </c>
      <c r="B14" s="196"/>
      <c r="C14" s="196"/>
      <c r="D14" s="196"/>
      <c r="E14" s="196"/>
      <c r="F14" s="196"/>
      <c r="G14" s="196"/>
      <c r="H14" s="196"/>
      <c r="I14" s="196"/>
      <c r="J14" s="8"/>
      <c r="K14" s="8"/>
      <c r="L14" s="8"/>
      <c r="M14" s="8"/>
    </row>
    <row r="15" spans="1:13" ht="15.75" customHeight="1">
      <c r="A15" s="186" t="s">
        <v>4</v>
      </c>
      <c r="B15" s="186"/>
      <c r="C15" s="186"/>
      <c r="D15" s="186"/>
      <c r="E15" s="186"/>
      <c r="F15" s="186"/>
      <c r="G15" s="186"/>
      <c r="H15" s="186"/>
      <c r="I15" s="186"/>
      <c r="J15" s="8"/>
      <c r="K15" s="8"/>
      <c r="L15" s="8"/>
      <c r="M15" s="8"/>
    </row>
    <row r="16" spans="1:13" ht="15.75" customHeight="1">
      <c r="A16" s="33">
        <v>1</v>
      </c>
      <c r="B16" s="124" t="s">
        <v>95</v>
      </c>
      <c r="C16" s="90" t="s">
        <v>117</v>
      </c>
      <c r="D16" s="124" t="s">
        <v>118</v>
      </c>
      <c r="E16" s="125">
        <v>160.5</v>
      </c>
      <c r="F16" s="126">
        <f>SUM(E16*156/100)</f>
        <v>250.38</v>
      </c>
      <c r="G16" s="126">
        <v>175.38</v>
      </c>
      <c r="H16" s="127">
        <f t="shared" ref="H16:H28" si="0">SUM(F16*G16/1000)</f>
        <v>43.9116444</v>
      </c>
      <c r="I16" s="14">
        <f>F16/12*G16</f>
        <v>3659.3036999999995</v>
      </c>
      <c r="J16" s="8"/>
      <c r="K16" s="8"/>
      <c r="L16" s="8"/>
      <c r="M16" s="8"/>
    </row>
    <row r="17" spans="1:13" ht="15.75" customHeight="1">
      <c r="A17" s="33">
        <v>2</v>
      </c>
      <c r="B17" s="124" t="s">
        <v>102</v>
      </c>
      <c r="C17" s="90" t="s">
        <v>117</v>
      </c>
      <c r="D17" s="124" t="s">
        <v>119</v>
      </c>
      <c r="E17" s="125">
        <v>642</v>
      </c>
      <c r="F17" s="126">
        <f>SUM(E17*104/100)</f>
        <v>667.68</v>
      </c>
      <c r="G17" s="126">
        <v>175.38</v>
      </c>
      <c r="H17" s="127">
        <f t="shared" si="0"/>
        <v>117.09771839999998</v>
      </c>
      <c r="I17" s="14">
        <f>F17/12*G17</f>
        <v>9758.1431999999986</v>
      </c>
      <c r="J17" s="26"/>
      <c r="K17" s="8"/>
      <c r="L17" s="8"/>
      <c r="M17" s="8"/>
    </row>
    <row r="18" spans="1:13" ht="15.75" customHeight="1">
      <c r="A18" s="33">
        <v>3</v>
      </c>
      <c r="B18" s="124" t="s">
        <v>103</v>
      </c>
      <c r="C18" s="90" t="s">
        <v>117</v>
      </c>
      <c r="D18" s="124" t="s">
        <v>120</v>
      </c>
      <c r="E18" s="125">
        <f>SUM(E16+E17)</f>
        <v>802.5</v>
      </c>
      <c r="F18" s="126">
        <f>SUM(E18*24/100)</f>
        <v>192.6</v>
      </c>
      <c r="G18" s="126">
        <v>504.5</v>
      </c>
      <c r="H18" s="127">
        <f t="shared" si="0"/>
        <v>97.166699999999992</v>
      </c>
      <c r="I18" s="14">
        <f>F18/12*G18</f>
        <v>8097.2250000000004</v>
      </c>
      <c r="J18" s="26"/>
      <c r="K18" s="8"/>
      <c r="L18" s="8"/>
      <c r="M18" s="8"/>
    </row>
    <row r="19" spans="1:13" ht="15.75" customHeight="1">
      <c r="A19" s="33">
        <v>4</v>
      </c>
      <c r="B19" s="124" t="s">
        <v>121</v>
      </c>
      <c r="C19" s="90" t="s">
        <v>122</v>
      </c>
      <c r="D19" s="124" t="s">
        <v>123</v>
      </c>
      <c r="E19" s="125">
        <v>38.4</v>
      </c>
      <c r="F19" s="126">
        <f>SUM(E19/10)</f>
        <v>3.84</v>
      </c>
      <c r="G19" s="126">
        <v>170.16</v>
      </c>
      <c r="H19" s="127">
        <f t="shared" si="0"/>
        <v>0.65341439999999995</v>
      </c>
      <c r="I19" s="14">
        <f>F19/2*G19</f>
        <v>326.7072</v>
      </c>
      <c r="J19" s="26"/>
      <c r="K19" s="8"/>
      <c r="L19" s="8"/>
      <c r="M19" s="8"/>
    </row>
    <row r="20" spans="1:13" ht="15.75" customHeight="1">
      <c r="A20" s="33">
        <v>5</v>
      </c>
      <c r="B20" s="124" t="s">
        <v>107</v>
      </c>
      <c r="C20" s="90" t="s">
        <v>117</v>
      </c>
      <c r="D20" s="124" t="s">
        <v>31</v>
      </c>
      <c r="E20" s="125">
        <v>58.4</v>
      </c>
      <c r="F20" s="126">
        <f>SUM(E20*12/100)</f>
        <v>7.0079999999999991</v>
      </c>
      <c r="G20" s="126">
        <v>217.88</v>
      </c>
      <c r="H20" s="127">
        <f t="shared" si="0"/>
        <v>1.5269030399999997</v>
      </c>
      <c r="I20" s="14">
        <f>F20/12*G20</f>
        <v>127.24191999999999</v>
      </c>
      <c r="J20" s="26"/>
      <c r="K20" s="8"/>
      <c r="L20" s="8"/>
      <c r="M20" s="8"/>
    </row>
    <row r="21" spans="1:13" ht="15.75" customHeight="1">
      <c r="A21" s="33">
        <v>6</v>
      </c>
      <c r="B21" s="124" t="s">
        <v>108</v>
      </c>
      <c r="C21" s="90" t="s">
        <v>117</v>
      </c>
      <c r="D21" s="124" t="s">
        <v>31</v>
      </c>
      <c r="E21" s="125">
        <v>9.08</v>
      </c>
      <c r="F21" s="126">
        <f>SUM(E21*12/100)</f>
        <v>1.0896000000000001</v>
      </c>
      <c r="G21" s="126">
        <v>216.12</v>
      </c>
      <c r="H21" s="127">
        <f t="shared" si="0"/>
        <v>0.23548435200000004</v>
      </c>
      <c r="I21" s="14">
        <f>F21/12*G21</f>
        <v>19.623696000000002</v>
      </c>
      <c r="J21" s="26"/>
      <c r="K21" s="8"/>
      <c r="L21" s="8"/>
      <c r="M21" s="8"/>
    </row>
    <row r="22" spans="1:13" ht="15.75" customHeight="1">
      <c r="A22" s="33">
        <v>7</v>
      </c>
      <c r="B22" s="124" t="s">
        <v>124</v>
      </c>
      <c r="C22" s="90" t="s">
        <v>54</v>
      </c>
      <c r="D22" s="124" t="s">
        <v>123</v>
      </c>
      <c r="E22" s="125">
        <v>822.72</v>
      </c>
      <c r="F22" s="126">
        <f>SUM(E22/100)</f>
        <v>8.2271999999999998</v>
      </c>
      <c r="G22" s="126">
        <v>269.26</v>
      </c>
      <c r="H22" s="127">
        <f t="shared" si="0"/>
        <v>2.2152558719999997</v>
      </c>
      <c r="I22" s="14">
        <f>F22*G22</f>
        <v>2215.2558719999997</v>
      </c>
      <c r="J22" s="26"/>
      <c r="K22" s="8"/>
      <c r="L22" s="8"/>
      <c r="M22" s="8"/>
    </row>
    <row r="23" spans="1:13" ht="15.75" customHeight="1">
      <c r="A23" s="33">
        <v>8</v>
      </c>
      <c r="B23" s="124" t="s">
        <v>125</v>
      </c>
      <c r="C23" s="90" t="s">
        <v>54</v>
      </c>
      <c r="D23" s="124" t="s">
        <v>123</v>
      </c>
      <c r="E23" s="128">
        <v>96.6</v>
      </c>
      <c r="F23" s="126">
        <f>SUM(E23/100)</f>
        <v>0.96599999999999997</v>
      </c>
      <c r="G23" s="126">
        <v>44.29</v>
      </c>
      <c r="H23" s="127">
        <f t="shared" si="0"/>
        <v>4.2784139999999998E-2</v>
      </c>
      <c r="I23" s="14">
        <f>F23*G23</f>
        <v>42.784140000000001</v>
      </c>
      <c r="J23" s="26"/>
      <c r="K23" s="8"/>
      <c r="L23" s="8"/>
      <c r="M23" s="8"/>
    </row>
    <row r="24" spans="1:13" ht="15.75" customHeight="1">
      <c r="A24" s="33">
        <v>9</v>
      </c>
      <c r="B24" s="124" t="s">
        <v>113</v>
      </c>
      <c r="C24" s="90" t="s">
        <v>54</v>
      </c>
      <c r="D24" s="124" t="s">
        <v>31</v>
      </c>
      <c r="E24" s="129">
        <v>32</v>
      </c>
      <c r="F24" s="126">
        <f>32*12/1000</f>
        <v>0.38400000000000001</v>
      </c>
      <c r="G24" s="126">
        <v>389.42</v>
      </c>
      <c r="H24" s="127">
        <f>G24*F24/100</f>
        <v>1.4953728000000002</v>
      </c>
      <c r="I24" s="14">
        <f>F24/12*G24</f>
        <v>12.461440000000001</v>
      </c>
      <c r="J24" s="26"/>
      <c r="K24" s="8"/>
      <c r="L24" s="8"/>
      <c r="M24" s="8"/>
    </row>
    <row r="25" spans="1:13" ht="15.75" customHeight="1">
      <c r="A25" s="33">
        <v>10</v>
      </c>
      <c r="B25" s="124" t="s">
        <v>145</v>
      </c>
      <c r="C25" s="90" t="s">
        <v>54</v>
      </c>
      <c r="D25" s="124" t="s">
        <v>55</v>
      </c>
      <c r="E25" s="130">
        <v>38</v>
      </c>
      <c r="F25" s="126">
        <v>0.38</v>
      </c>
      <c r="G25" s="126">
        <v>216.12</v>
      </c>
      <c r="H25" s="127">
        <f>G25*F25/1000</f>
        <v>8.2125600000000007E-2</v>
      </c>
      <c r="I25" s="14">
        <f>F25*G25</f>
        <v>82.125600000000006</v>
      </c>
      <c r="J25" s="26"/>
      <c r="K25" s="8"/>
      <c r="L25" s="8"/>
      <c r="M25" s="8"/>
    </row>
    <row r="26" spans="1:13" ht="15.75" customHeight="1">
      <c r="A26" s="33">
        <v>11</v>
      </c>
      <c r="B26" s="124" t="s">
        <v>114</v>
      </c>
      <c r="C26" s="90" t="s">
        <v>54</v>
      </c>
      <c r="D26" s="124" t="s">
        <v>146</v>
      </c>
      <c r="E26" s="125">
        <v>17</v>
      </c>
      <c r="F26" s="126">
        <f>SUM(E26*12/100)</f>
        <v>2.04</v>
      </c>
      <c r="G26" s="126">
        <v>520.79999999999995</v>
      </c>
      <c r="H26" s="127">
        <f t="shared" si="0"/>
        <v>1.062432</v>
      </c>
      <c r="I26" s="14">
        <f>F26/12*G26</f>
        <v>88.536000000000001</v>
      </c>
      <c r="J26" s="26"/>
      <c r="K26" s="8"/>
      <c r="L26" s="8"/>
      <c r="M26" s="8"/>
    </row>
    <row r="27" spans="1:13" ht="15.75" customHeight="1">
      <c r="A27" s="33">
        <v>12</v>
      </c>
      <c r="B27" s="124" t="s">
        <v>69</v>
      </c>
      <c r="C27" s="90" t="s">
        <v>34</v>
      </c>
      <c r="D27" s="124" t="s">
        <v>179</v>
      </c>
      <c r="E27" s="125">
        <v>0.1</v>
      </c>
      <c r="F27" s="126">
        <f>SUM(E27*365)</f>
        <v>36.5</v>
      </c>
      <c r="G27" s="126">
        <v>147.03</v>
      </c>
      <c r="H27" s="127">
        <f t="shared" si="0"/>
        <v>5.3665950000000002</v>
      </c>
      <c r="I27" s="14">
        <f>F27/12*G27</f>
        <v>447.21625</v>
      </c>
      <c r="J27" s="26"/>
      <c r="K27" s="8"/>
      <c r="L27" s="8"/>
      <c r="M27" s="8"/>
    </row>
    <row r="28" spans="1:13" ht="15.75" customHeight="1">
      <c r="A28" s="33">
        <v>13</v>
      </c>
      <c r="B28" s="131" t="s">
        <v>23</v>
      </c>
      <c r="C28" s="90" t="s">
        <v>24</v>
      </c>
      <c r="D28" s="131" t="s">
        <v>179</v>
      </c>
      <c r="E28" s="125">
        <v>5926.8</v>
      </c>
      <c r="F28" s="126">
        <f>SUM(E28*12)</f>
        <v>71121.600000000006</v>
      </c>
      <c r="G28" s="126">
        <v>4.53</v>
      </c>
      <c r="H28" s="127">
        <f t="shared" si="0"/>
        <v>322.18084800000008</v>
      </c>
      <c r="I28" s="14">
        <f>F28/12*G28</f>
        <v>26848.404000000002</v>
      </c>
      <c r="J28" s="26"/>
      <c r="K28" s="8"/>
      <c r="L28" s="8"/>
      <c r="M28" s="8"/>
    </row>
    <row r="29" spans="1:13" ht="15.75" customHeight="1">
      <c r="A29" s="186" t="s">
        <v>93</v>
      </c>
      <c r="B29" s="186"/>
      <c r="C29" s="186"/>
      <c r="D29" s="186"/>
      <c r="E29" s="186"/>
      <c r="F29" s="186"/>
      <c r="G29" s="186"/>
      <c r="H29" s="186"/>
      <c r="I29" s="186"/>
      <c r="J29" s="26"/>
      <c r="K29" s="8"/>
      <c r="L29" s="8"/>
      <c r="M29" s="8"/>
    </row>
    <row r="30" spans="1:13" ht="15.75" customHeight="1">
      <c r="A30" s="52"/>
      <c r="B30" s="62" t="s">
        <v>29</v>
      </c>
      <c r="C30" s="62"/>
      <c r="D30" s="62"/>
      <c r="E30" s="62"/>
      <c r="F30" s="62"/>
      <c r="G30" s="62"/>
      <c r="H30" s="62"/>
      <c r="I30" s="21"/>
      <c r="J30" s="26"/>
      <c r="K30" s="8"/>
      <c r="L30" s="8"/>
      <c r="M30" s="8"/>
    </row>
    <row r="31" spans="1:13" ht="15.75" customHeight="1">
      <c r="A31" s="52">
        <v>14</v>
      </c>
      <c r="B31" s="124" t="s">
        <v>126</v>
      </c>
      <c r="C31" s="90" t="s">
        <v>127</v>
      </c>
      <c r="D31" s="124" t="s">
        <v>148</v>
      </c>
      <c r="E31" s="126">
        <v>2732.4</v>
      </c>
      <c r="F31" s="126">
        <f>SUM(E31*26/1000)</f>
        <v>71.042400000000015</v>
      </c>
      <c r="G31" s="126">
        <v>155.88999999999999</v>
      </c>
      <c r="H31" s="127">
        <f t="shared" ref="H31:H33" si="1">SUM(F31*G31/1000)</f>
        <v>11.074799736000001</v>
      </c>
      <c r="I31" s="14">
        <f>F31/6*G31</f>
        <v>1845.7999560000003</v>
      </c>
      <c r="J31" s="26"/>
      <c r="K31" s="8"/>
      <c r="L31" s="8"/>
      <c r="M31" s="8"/>
    </row>
    <row r="32" spans="1:13" ht="31.5" customHeight="1">
      <c r="A32" s="52">
        <v>15</v>
      </c>
      <c r="B32" s="124" t="s">
        <v>149</v>
      </c>
      <c r="C32" s="90" t="s">
        <v>127</v>
      </c>
      <c r="D32" s="124" t="s">
        <v>128</v>
      </c>
      <c r="E32" s="126">
        <v>547.85</v>
      </c>
      <c r="F32" s="126">
        <f>SUM(E32*78/1000)</f>
        <v>42.732300000000002</v>
      </c>
      <c r="G32" s="126">
        <v>258.63</v>
      </c>
      <c r="H32" s="127">
        <f t="shared" si="1"/>
        <v>11.051854749</v>
      </c>
      <c r="I32" s="14">
        <f t="shared" ref="I32:I35" si="2">F32/6*G32</f>
        <v>1841.9757915000002</v>
      </c>
      <c r="J32" s="26"/>
      <c r="K32" s="8"/>
      <c r="L32" s="8"/>
      <c r="M32" s="8"/>
    </row>
    <row r="33" spans="1:14" ht="15.75" customHeight="1">
      <c r="A33" s="52">
        <v>16</v>
      </c>
      <c r="B33" s="124" t="s">
        <v>28</v>
      </c>
      <c r="C33" s="90" t="s">
        <v>127</v>
      </c>
      <c r="D33" s="124" t="s">
        <v>55</v>
      </c>
      <c r="E33" s="126">
        <v>2732.4</v>
      </c>
      <c r="F33" s="126">
        <f>SUM(E33/1000)</f>
        <v>2.7324000000000002</v>
      </c>
      <c r="G33" s="126">
        <v>3020.33</v>
      </c>
      <c r="H33" s="127">
        <f t="shared" si="1"/>
        <v>8.2527496920000001</v>
      </c>
      <c r="I33" s="14">
        <f>F33*G33</f>
        <v>8252.7496919999994</v>
      </c>
      <c r="J33" s="26"/>
      <c r="K33" s="8"/>
      <c r="L33" s="8"/>
      <c r="M33" s="8"/>
    </row>
    <row r="34" spans="1:14" ht="15.75" customHeight="1">
      <c r="A34" s="52">
        <v>17</v>
      </c>
      <c r="B34" s="124" t="s">
        <v>147</v>
      </c>
      <c r="C34" s="90" t="s">
        <v>40</v>
      </c>
      <c r="D34" s="124" t="s">
        <v>68</v>
      </c>
      <c r="E34" s="126">
        <v>8</v>
      </c>
      <c r="F34" s="126">
        <v>12.4</v>
      </c>
      <c r="G34" s="126">
        <v>1302.02</v>
      </c>
      <c r="H34" s="127">
        <v>16.145</v>
      </c>
      <c r="I34" s="14">
        <f t="shared" si="2"/>
        <v>2690.8413333333338</v>
      </c>
      <c r="J34" s="26"/>
      <c r="K34" s="8"/>
      <c r="L34" s="8"/>
      <c r="M34" s="8"/>
    </row>
    <row r="35" spans="1:14" ht="15.75" customHeight="1">
      <c r="A35" s="52">
        <v>18</v>
      </c>
      <c r="B35" s="124" t="s">
        <v>180</v>
      </c>
      <c r="C35" s="90" t="s">
        <v>32</v>
      </c>
      <c r="D35" s="124" t="s">
        <v>68</v>
      </c>
      <c r="E35" s="132">
        <v>1</v>
      </c>
      <c r="F35" s="126">
        <v>155</v>
      </c>
      <c r="G35" s="126">
        <v>56.69</v>
      </c>
      <c r="H35" s="127">
        <f>SUM(G35*155/1000)</f>
        <v>8.7869499999999992</v>
      </c>
      <c r="I35" s="14">
        <f t="shared" si="2"/>
        <v>1464.4916666666666</v>
      </c>
      <c r="J35" s="26"/>
      <c r="K35" s="8"/>
      <c r="L35" s="8"/>
      <c r="M35" s="8"/>
    </row>
    <row r="36" spans="1:14" ht="15.75" hidden="1" customHeight="1">
      <c r="A36" s="52">
        <v>4</v>
      </c>
      <c r="B36" s="124" t="s">
        <v>70</v>
      </c>
      <c r="C36" s="90" t="s">
        <v>34</v>
      </c>
      <c r="D36" s="124" t="s">
        <v>72</v>
      </c>
      <c r="E36" s="125"/>
      <c r="F36" s="126">
        <v>2</v>
      </c>
      <c r="G36" s="126">
        <v>191.32</v>
      </c>
      <c r="H36" s="127">
        <f t="shared" ref="H36:H37" si="3">SUM(F36*G36/1000)</f>
        <v>0.38263999999999998</v>
      </c>
      <c r="I36" s="14">
        <v>0</v>
      </c>
      <c r="J36" s="26"/>
      <c r="K36" s="8"/>
    </row>
    <row r="37" spans="1:14" ht="15.75" hidden="1" customHeight="1">
      <c r="A37" s="33">
        <v>8</v>
      </c>
      <c r="B37" s="124" t="s">
        <v>71</v>
      </c>
      <c r="C37" s="90" t="s">
        <v>33</v>
      </c>
      <c r="D37" s="124" t="s">
        <v>72</v>
      </c>
      <c r="E37" s="125"/>
      <c r="F37" s="126">
        <v>3</v>
      </c>
      <c r="G37" s="126">
        <v>1136.32</v>
      </c>
      <c r="H37" s="127">
        <f t="shared" si="3"/>
        <v>3.40896</v>
      </c>
      <c r="I37" s="14">
        <v>0</v>
      </c>
      <c r="J37" s="27"/>
    </row>
    <row r="38" spans="1:14" ht="15.75" hidden="1" customHeight="1">
      <c r="A38" s="52"/>
      <c r="B38" s="60" t="s">
        <v>5</v>
      </c>
      <c r="C38" s="60"/>
      <c r="D38" s="60"/>
      <c r="E38" s="60"/>
      <c r="F38" s="14"/>
      <c r="G38" s="15"/>
      <c r="H38" s="15"/>
      <c r="I38" s="21"/>
      <c r="J38" s="27"/>
    </row>
    <row r="39" spans="1:14" ht="15.75" hidden="1" customHeight="1">
      <c r="A39" s="38">
        <v>10</v>
      </c>
      <c r="B39" s="124" t="s">
        <v>27</v>
      </c>
      <c r="C39" s="90" t="s">
        <v>33</v>
      </c>
      <c r="D39" s="124"/>
      <c r="E39" s="125"/>
      <c r="F39" s="126">
        <v>15</v>
      </c>
      <c r="G39" s="126">
        <v>1527.22</v>
      </c>
      <c r="H39" s="127">
        <f>SUM(F39*G39/1000)</f>
        <v>22.908300000000001</v>
      </c>
      <c r="I39" s="14">
        <f t="shared" ref="I39:I44" si="4">F39/6*G39</f>
        <v>3818.05</v>
      </c>
      <c r="J39" s="27"/>
    </row>
    <row r="40" spans="1:14" ht="15.75" hidden="1" customHeight="1">
      <c r="A40" s="38">
        <v>11</v>
      </c>
      <c r="B40" s="124" t="s">
        <v>73</v>
      </c>
      <c r="C40" s="90" t="s">
        <v>30</v>
      </c>
      <c r="D40" s="124" t="s">
        <v>130</v>
      </c>
      <c r="E40" s="126">
        <v>547.85</v>
      </c>
      <c r="F40" s="126">
        <f>SUM(E40*50/1000)</f>
        <v>27.392499999999998</v>
      </c>
      <c r="G40" s="126">
        <v>2102.71</v>
      </c>
      <c r="H40" s="127">
        <f t="shared" ref="H40:H44" si="5">SUM(F40*G40/1000)</f>
        <v>57.598483674999997</v>
      </c>
      <c r="I40" s="14">
        <f t="shared" si="4"/>
        <v>9599.747279166666</v>
      </c>
      <c r="J40" s="27"/>
    </row>
    <row r="41" spans="1:14" ht="15.75" hidden="1" customHeight="1">
      <c r="A41" s="38">
        <v>12</v>
      </c>
      <c r="B41" s="124" t="s">
        <v>74</v>
      </c>
      <c r="C41" s="90" t="s">
        <v>30</v>
      </c>
      <c r="D41" s="124" t="s">
        <v>131</v>
      </c>
      <c r="E41" s="126">
        <v>140</v>
      </c>
      <c r="F41" s="126">
        <f>SUM(E41*155/1000)</f>
        <v>21.7</v>
      </c>
      <c r="G41" s="126">
        <v>350.75</v>
      </c>
      <c r="H41" s="127">
        <f t="shared" si="5"/>
        <v>7.611275</v>
      </c>
      <c r="I41" s="14">
        <f t="shared" si="4"/>
        <v>1268.5458333333333</v>
      </c>
      <c r="J41" s="27"/>
    </row>
    <row r="42" spans="1:14" ht="31.5" hidden="1" customHeight="1">
      <c r="A42" s="38">
        <v>13</v>
      </c>
      <c r="B42" s="124" t="s">
        <v>88</v>
      </c>
      <c r="C42" s="90" t="s">
        <v>127</v>
      </c>
      <c r="D42" s="124" t="s">
        <v>150</v>
      </c>
      <c r="E42" s="126">
        <v>140</v>
      </c>
      <c r="F42" s="126">
        <f>SUM(E42*12/1000)</f>
        <v>1.68</v>
      </c>
      <c r="G42" s="126">
        <v>5803.28</v>
      </c>
      <c r="H42" s="127">
        <f t="shared" si="5"/>
        <v>9.7495103999999984</v>
      </c>
      <c r="I42" s="14">
        <f t="shared" si="4"/>
        <v>1624.9183999999998</v>
      </c>
      <c r="J42" s="27"/>
    </row>
    <row r="43" spans="1:14" ht="15.75" hidden="1" customHeight="1">
      <c r="A43" s="38">
        <v>14</v>
      </c>
      <c r="B43" s="124" t="s">
        <v>132</v>
      </c>
      <c r="C43" s="90" t="s">
        <v>127</v>
      </c>
      <c r="D43" s="124" t="s">
        <v>75</v>
      </c>
      <c r="E43" s="126">
        <v>140</v>
      </c>
      <c r="F43" s="126">
        <f>SUM(E43*45/1000)</f>
        <v>6.3</v>
      </c>
      <c r="G43" s="126">
        <v>428.7</v>
      </c>
      <c r="H43" s="127">
        <f t="shared" si="5"/>
        <v>2.7008100000000002</v>
      </c>
      <c r="I43" s="14">
        <f t="shared" si="4"/>
        <v>450.13499999999999</v>
      </c>
      <c r="J43" s="27"/>
    </row>
    <row r="44" spans="1:14" ht="15.75" hidden="1" customHeight="1">
      <c r="A44" s="38">
        <v>15</v>
      </c>
      <c r="B44" s="124" t="s">
        <v>76</v>
      </c>
      <c r="C44" s="90" t="s">
        <v>34</v>
      </c>
      <c r="D44" s="124"/>
      <c r="E44" s="125"/>
      <c r="F44" s="126">
        <v>0.9</v>
      </c>
      <c r="G44" s="126">
        <v>798</v>
      </c>
      <c r="H44" s="127">
        <f t="shared" si="5"/>
        <v>0.71820000000000006</v>
      </c>
      <c r="I44" s="14">
        <f t="shared" si="4"/>
        <v>119.69999999999999</v>
      </c>
      <c r="J44" s="27"/>
      <c r="L44" s="23"/>
      <c r="M44" s="24"/>
      <c r="N44" s="25"/>
    </row>
    <row r="45" spans="1:14" ht="15.75" customHeight="1">
      <c r="A45" s="187" t="s">
        <v>176</v>
      </c>
      <c r="B45" s="188"/>
      <c r="C45" s="188"/>
      <c r="D45" s="188"/>
      <c r="E45" s="188"/>
      <c r="F45" s="188"/>
      <c r="G45" s="188"/>
      <c r="H45" s="188"/>
      <c r="I45" s="189"/>
      <c r="J45" s="27"/>
      <c r="L45" s="23"/>
      <c r="M45" s="24"/>
      <c r="N45" s="25"/>
    </row>
    <row r="46" spans="1:14" ht="15.75" customHeight="1">
      <c r="A46" s="52">
        <v>19</v>
      </c>
      <c r="B46" s="124" t="s">
        <v>133</v>
      </c>
      <c r="C46" s="90" t="s">
        <v>127</v>
      </c>
      <c r="D46" s="124" t="s">
        <v>42</v>
      </c>
      <c r="E46" s="125">
        <v>1640.4</v>
      </c>
      <c r="F46" s="126">
        <f>SUM(E46*2/1000)</f>
        <v>3.2808000000000002</v>
      </c>
      <c r="G46" s="14">
        <v>849.49</v>
      </c>
      <c r="H46" s="127">
        <f t="shared" ref="H46:H54" si="6">SUM(F46*G46/1000)</f>
        <v>2.7870067920000001</v>
      </c>
      <c r="I46" s="14">
        <f t="shared" ref="I46:I48" si="7">F46/2*G46</f>
        <v>1393.5033960000001</v>
      </c>
      <c r="J46" s="27"/>
      <c r="L46" s="23"/>
      <c r="M46" s="24"/>
      <c r="N46" s="25"/>
    </row>
    <row r="47" spans="1:14" ht="15.75" customHeight="1">
      <c r="A47" s="52">
        <v>20</v>
      </c>
      <c r="B47" s="124" t="s">
        <v>35</v>
      </c>
      <c r="C47" s="90" t="s">
        <v>127</v>
      </c>
      <c r="D47" s="124" t="s">
        <v>42</v>
      </c>
      <c r="E47" s="125">
        <v>918.25</v>
      </c>
      <c r="F47" s="126">
        <f>SUM(E47*2/1000)</f>
        <v>1.8365</v>
      </c>
      <c r="G47" s="14">
        <v>579.48</v>
      </c>
      <c r="H47" s="127">
        <f t="shared" si="6"/>
        <v>1.06421502</v>
      </c>
      <c r="I47" s="14">
        <f t="shared" si="7"/>
        <v>532.10751000000005</v>
      </c>
      <c r="J47" s="27"/>
      <c r="L47" s="23"/>
      <c r="M47" s="24"/>
      <c r="N47" s="25"/>
    </row>
    <row r="48" spans="1:14" ht="15.75" customHeight="1">
      <c r="A48" s="52">
        <v>21</v>
      </c>
      <c r="B48" s="124" t="s">
        <v>36</v>
      </c>
      <c r="C48" s="90" t="s">
        <v>127</v>
      </c>
      <c r="D48" s="124" t="s">
        <v>42</v>
      </c>
      <c r="E48" s="125">
        <v>5592.26</v>
      </c>
      <c r="F48" s="126">
        <f>SUM(E48*2/1000)</f>
        <v>11.184520000000001</v>
      </c>
      <c r="G48" s="14">
        <v>579.48</v>
      </c>
      <c r="H48" s="127">
        <f t="shared" si="6"/>
        <v>6.4812056496000006</v>
      </c>
      <c r="I48" s="14">
        <f t="shared" si="7"/>
        <v>3240.6028248000002</v>
      </c>
      <c r="J48" s="27"/>
      <c r="L48" s="23"/>
      <c r="M48" s="24"/>
      <c r="N48" s="25"/>
    </row>
    <row r="49" spans="1:14" ht="15.75" customHeight="1">
      <c r="A49" s="52">
        <v>22</v>
      </c>
      <c r="B49" s="124" t="s">
        <v>37</v>
      </c>
      <c r="C49" s="90" t="s">
        <v>127</v>
      </c>
      <c r="D49" s="124" t="s">
        <v>42</v>
      </c>
      <c r="E49" s="125">
        <v>2817.65</v>
      </c>
      <c r="F49" s="126">
        <f>SUM(E49*2/1000)</f>
        <v>5.6353</v>
      </c>
      <c r="G49" s="14">
        <v>606.77</v>
      </c>
      <c r="H49" s="127">
        <f t="shared" si="6"/>
        <v>3.4193309809999999</v>
      </c>
      <c r="I49" s="14">
        <f>F49/2*G49</f>
        <v>1709.6654905</v>
      </c>
      <c r="J49" s="27"/>
      <c r="L49" s="23"/>
      <c r="M49" s="24"/>
      <c r="N49" s="25"/>
    </row>
    <row r="50" spans="1:14" ht="15.75" customHeight="1">
      <c r="A50" s="52">
        <v>23</v>
      </c>
      <c r="B50" s="124" t="s">
        <v>58</v>
      </c>
      <c r="C50" s="90" t="s">
        <v>127</v>
      </c>
      <c r="D50" s="124" t="s">
        <v>152</v>
      </c>
      <c r="E50" s="125">
        <v>3280.8</v>
      </c>
      <c r="F50" s="126">
        <f>SUM(E50*5/1000)</f>
        <v>16.404</v>
      </c>
      <c r="G50" s="14">
        <v>1213.55</v>
      </c>
      <c r="H50" s="127">
        <f t="shared" si="6"/>
        <v>19.9070742</v>
      </c>
      <c r="I50" s="14">
        <f>F50/5*G50</f>
        <v>3981.4148399999999</v>
      </c>
      <c r="J50" s="27"/>
      <c r="L50" s="23"/>
      <c r="M50" s="24"/>
      <c r="N50" s="25"/>
    </row>
    <row r="51" spans="1:14" ht="31.5" hidden="1" customHeight="1">
      <c r="A51" s="52">
        <v>16</v>
      </c>
      <c r="B51" s="124" t="s">
        <v>134</v>
      </c>
      <c r="C51" s="90" t="s">
        <v>127</v>
      </c>
      <c r="D51" s="124" t="s">
        <v>42</v>
      </c>
      <c r="E51" s="125">
        <v>3280.8</v>
      </c>
      <c r="F51" s="126">
        <f>SUM(E51*2/1000)</f>
        <v>6.5616000000000003</v>
      </c>
      <c r="G51" s="14">
        <v>1213.55</v>
      </c>
      <c r="H51" s="127">
        <f t="shared" si="6"/>
        <v>7.9628296799999996</v>
      </c>
      <c r="I51" s="14">
        <f>F51/2*G51</f>
        <v>3981.4148399999999</v>
      </c>
      <c r="J51" s="27"/>
      <c r="L51" s="23"/>
      <c r="M51" s="24"/>
      <c r="N51" s="25"/>
    </row>
    <row r="52" spans="1:14" ht="31.5" hidden="1" customHeight="1">
      <c r="A52" s="52">
        <v>17</v>
      </c>
      <c r="B52" s="124" t="s">
        <v>151</v>
      </c>
      <c r="C52" s="90" t="s">
        <v>38</v>
      </c>
      <c r="D52" s="124" t="s">
        <v>42</v>
      </c>
      <c r="E52" s="125">
        <v>40</v>
      </c>
      <c r="F52" s="126">
        <f>SUM(E52*2/100)</f>
        <v>0.8</v>
      </c>
      <c r="G52" s="14">
        <v>2730.49</v>
      </c>
      <c r="H52" s="127">
        <f t="shared" si="6"/>
        <v>2.1843919999999999</v>
      </c>
      <c r="I52" s="14">
        <f>F52/2*G52</f>
        <v>1092.1959999999999</v>
      </c>
      <c r="J52" s="27"/>
      <c r="L52" s="23"/>
      <c r="M52" s="24"/>
      <c r="N52" s="25"/>
    </row>
    <row r="53" spans="1:14" ht="15.75" hidden="1" customHeight="1">
      <c r="A53" s="52">
        <v>16</v>
      </c>
      <c r="B53" s="124" t="s">
        <v>39</v>
      </c>
      <c r="C53" s="90" t="s">
        <v>40</v>
      </c>
      <c r="D53" s="124" t="s">
        <v>42</v>
      </c>
      <c r="E53" s="125">
        <v>1</v>
      </c>
      <c r="F53" s="126">
        <v>0.02</v>
      </c>
      <c r="G53" s="14">
        <v>5652.13</v>
      </c>
      <c r="H53" s="127">
        <f t="shared" si="6"/>
        <v>0.11304260000000001</v>
      </c>
      <c r="I53" s="14">
        <f>F53/2*G53</f>
        <v>56.521300000000004</v>
      </c>
      <c r="J53" s="27"/>
      <c r="L53" s="23"/>
      <c r="M53" s="24"/>
      <c r="N53" s="25"/>
    </row>
    <row r="54" spans="1:14" ht="15.75" hidden="1" customHeight="1">
      <c r="A54" s="52">
        <v>17</v>
      </c>
      <c r="B54" s="124" t="s">
        <v>41</v>
      </c>
      <c r="C54" s="90" t="s">
        <v>135</v>
      </c>
      <c r="D54" s="124" t="s">
        <v>77</v>
      </c>
      <c r="E54" s="125">
        <v>238</v>
      </c>
      <c r="F54" s="126">
        <f>SUM(E54)*3</f>
        <v>714</v>
      </c>
      <c r="G54" s="14">
        <v>65.67</v>
      </c>
      <c r="H54" s="127">
        <f t="shared" si="6"/>
        <v>46.888380000000005</v>
      </c>
      <c r="I54" s="14">
        <f>E54*G54</f>
        <v>15629.460000000001</v>
      </c>
      <c r="J54" s="27"/>
      <c r="L54" s="23"/>
      <c r="M54" s="24"/>
      <c r="N54" s="25"/>
    </row>
    <row r="55" spans="1:14" ht="15.75" customHeight="1">
      <c r="A55" s="187" t="s">
        <v>177</v>
      </c>
      <c r="B55" s="188"/>
      <c r="C55" s="188"/>
      <c r="D55" s="188"/>
      <c r="E55" s="188"/>
      <c r="F55" s="188"/>
      <c r="G55" s="188"/>
      <c r="H55" s="188"/>
      <c r="I55" s="189"/>
      <c r="J55" s="27"/>
      <c r="L55" s="23"/>
      <c r="M55" s="24"/>
      <c r="N55" s="25"/>
    </row>
    <row r="56" spans="1:14" ht="15.75" hidden="1" customHeight="1">
      <c r="A56" s="65"/>
      <c r="B56" s="59" t="s">
        <v>43</v>
      </c>
      <c r="C56" s="18"/>
      <c r="D56" s="17"/>
      <c r="E56" s="17"/>
      <c r="F56" s="17"/>
      <c r="G56" s="33"/>
      <c r="H56" s="33"/>
      <c r="I56" s="21"/>
      <c r="J56" s="27"/>
      <c r="L56" s="23"/>
      <c r="M56" s="24"/>
      <c r="N56" s="25"/>
    </row>
    <row r="57" spans="1:14" ht="15.75" hidden="1" customHeight="1">
      <c r="A57" s="52">
        <v>15</v>
      </c>
      <c r="B57" s="124" t="s">
        <v>153</v>
      </c>
      <c r="C57" s="90" t="s">
        <v>117</v>
      </c>
      <c r="D57" s="124" t="s">
        <v>55</v>
      </c>
      <c r="E57" s="133">
        <v>1640.4</v>
      </c>
      <c r="F57" s="14">
        <f>E57/100</f>
        <v>16.404</v>
      </c>
      <c r="G57" s="126">
        <v>472.59</v>
      </c>
      <c r="H57" s="127">
        <f>SUM(F57*G57/1000)</f>
        <v>7.7523663599999999</v>
      </c>
      <c r="I57" s="14">
        <v>0</v>
      </c>
      <c r="J57" s="27"/>
      <c r="L57" s="23"/>
      <c r="M57" s="24"/>
      <c r="N57" s="25"/>
    </row>
    <row r="58" spans="1:14" ht="31.5" hidden="1" customHeight="1">
      <c r="A58" s="52">
        <v>18</v>
      </c>
      <c r="B58" s="124" t="s">
        <v>154</v>
      </c>
      <c r="C58" s="90" t="s">
        <v>117</v>
      </c>
      <c r="D58" s="124" t="s">
        <v>155</v>
      </c>
      <c r="E58" s="125">
        <v>164.04</v>
      </c>
      <c r="F58" s="14">
        <f>E58*6/100</f>
        <v>9.8423999999999996</v>
      </c>
      <c r="G58" s="134">
        <v>1547.28</v>
      </c>
      <c r="H58" s="127">
        <f>F58*G58/1000</f>
        <v>15.228948671999998</v>
      </c>
      <c r="I58" s="14">
        <f>F58/6*G58</f>
        <v>2538.1581119999996</v>
      </c>
      <c r="J58" s="27"/>
      <c r="L58" s="23"/>
      <c r="M58" s="24"/>
      <c r="N58" s="25"/>
    </row>
    <row r="59" spans="1:14" ht="15.75" hidden="1" customHeight="1">
      <c r="A59" s="52">
        <v>19</v>
      </c>
      <c r="B59" s="135" t="s">
        <v>104</v>
      </c>
      <c r="C59" s="136" t="s">
        <v>117</v>
      </c>
      <c r="D59" s="135" t="s">
        <v>156</v>
      </c>
      <c r="E59" s="137">
        <v>8</v>
      </c>
      <c r="F59" s="138">
        <f>E59*8/100</f>
        <v>0.64</v>
      </c>
      <c r="G59" s="134">
        <v>1547.28</v>
      </c>
      <c r="H59" s="139">
        <f>F59*G59/1000</f>
        <v>0.99025920000000001</v>
      </c>
      <c r="I59" s="14">
        <f>F59/6*G59</f>
        <v>165.04320000000001</v>
      </c>
      <c r="J59" s="27"/>
      <c r="L59" s="23"/>
      <c r="M59" s="24"/>
      <c r="N59" s="25"/>
    </row>
    <row r="60" spans="1:14" ht="15.75" hidden="1" customHeight="1">
      <c r="A60" s="52"/>
      <c r="B60" s="135" t="s">
        <v>109</v>
      </c>
      <c r="C60" s="136" t="s">
        <v>110</v>
      </c>
      <c r="D60" s="135" t="s">
        <v>42</v>
      </c>
      <c r="E60" s="137">
        <v>8</v>
      </c>
      <c r="F60" s="138">
        <v>16</v>
      </c>
      <c r="G60" s="140">
        <v>180.78</v>
      </c>
      <c r="H60" s="139">
        <f>F60*G60/1000</f>
        <v>2.8924799999999999</v>
      </c>
      <c r="I60" s="14">
        <v>0</v>
      </c>
      <c r="J60" s="27"/>
      <c r="L60" s="23"/>
      <c r="M60" s="24"/>
      <c r="N60" s="25"/>
    </row>
    <row r="61" spans="1:14" ht="15.75" customHeight="1">
      <c r="A61" s="52"/>
      <c r="B61" s="107" t="s">
        <v>44</v>
      </c>
      <c r="C61" s="107"/>
      <c r="D61" s="107"/>
      <c r="E61" s="107"/>
      <c r="F61" s="107"/>
      <c r="G61" s="107"/>
      <c r="H61" s="107"/>
      <c r="I61" s="42"/>
      <c r="J61" s="27"/>
      <c r="L61" s="23"/>
      <c r="M61" s="24"/>
      <c r="N61" s="25"/>
    </row>
    <row r="62" spans="1:14" ht="15.75" customHeight="1">
      <c r="A62" s="52">
        <v>24</v>
      </c>
      <c r="B62" s="135" t="s">
        <v>105</v>
      </c>
      <c r="C62" s="136" t="s">
        <v>26</v>
      </c>
      <c r="D62" s="135" t="s">
        <v>157</v>
      </c>
      <c r="E62" s="137">
        <v>329.4</v>
      </c>
      <c r="F62" s="138">
        <f>E62*12</f>
        <v>3952.7999999999997</v>
      </c>
      <c r="G62" s="141">
        <v>2.5960000000000001</v>
      </c>
      <c r="H62" s="139">
        <f>G62*F62</f>
        <v>10261.468799999999</v>
      </c>
      <c r="I62" s="14">
        <f>F62/12*G62</f>
        <v>855.12239999999997</v>
      </c>
      <c r="J62" s="27"/>
      <c r="L62" s="23"/>
      <c r="M62" s="24"/>
      <c r="N62" s="25"/>
    </row>
    <row r="63" spans="1:14" ht="15.75" hidden="1" customHeight="1">
      <c r="A63" s="52"/>
      <c r="B63" s="135" t="s">
        <v>45</v>
      </c>
      <c r="C63" s="136" t="s">
        <v>26</v>
      </c>
      <c r="D63" s="135" t="s">
        <v>55</v>
      </c>
      <c r="E63" s="137">
        <v>1640.4</v>
      </c>
      <c r="F63" s="138">
        <v>16.404</v>
      </c>
      <c r="G63" s="142">
        <v>739.61</v>
      </c>
      <c r="H63" s="139">
        <f>G63*F63/1000</f>
        <v>12.132562439999999</v>
      </c>
      <c r="I63" s="14">
        <v>0</v>
      </c>
      <c r="J63" s="27"/>
      <c r="L63" s="23"/>
      <c r="M63" s="24"/>
      <c r="N63" s="25"/>
    </row>
    <row r="64" spans="1:14" ht="15.75" customHeight="1">
      <c r="A64" s="52"/>
      <c r="B64" s="107" t="s">
        <v>46</v>
      </c>
      <c r="C64" s="18"/>
      <c r="D64" s="46"/>
      <c r="E64" s="46"/>
      <c r="F64" s="17"/>
      <c r="G64" s="33"/>
      <c r="H64" s="33"/>
      <c r="I64" s="21"/>
      <c r="J64" s="27"/>
      <c r="L64" s="23"/>
      <c r="M64" s="24"/>
      <c r="N64" s="25"/>
    </row>
    <row r="65" spans="1:22" ht="15.75" customHeight="1">
      <c r="A65" s="52">
        <v>25</v>
      </c>
      <c r="B65" s="16" t="s">
        <v>47</v>
      </c>
      <c r="C65" s="18" t="s">
        <v>135</v>
      </c>
      <c r="D65" s="16" t="s">
        <v>72</v>
      </c>
      <c r="E65" s="21">
        <v>40</v>
      </c>
      <c r="F65" s="126">
        <v>40</v>
      </c>
      <c r="G65" s="14">
        <v>222.4</v>
      </c>
      <c r="H65" s="109">
        <f t="shared" ref="H65:H72" si="8">SUM(F65*G65/1000)</f>
        <v>8.8960000000000008</v>
      </c>
      <c r="I65" s="14">
        <f>G65</f>
        <v>222.4</v>
      </c>
      <c r="J65" s="27"/>
      <c r="L65" s="23"/>
      <c r="M65" s="24"/>
      <c r="N65" s="25"/>
    </row>
    <row r="66" spans="1:22" ht="15.75" hidden="1" customHeight="1">
      <c r="A66" s="33">
        <v>29</v>
      </c>
      <c r="B66" s="16" t="s">
        <v>48</v>
      </c>
      <c r="C66" s="18" t="s">
        <v>135</v>
      </c>
      <c r="D66" s="16" t="s">
        <v>72</v>
      </c>
      <c r="E66" s="21">
        <v>15</v>
      </c>
      <c r="F66" s="126">
        <v>15</v>
      </c>
      <c r="G66" s="14">
        <v>76.25</v>
      </c>
      <c r="H66" s="109">
        <f t="shared" si="8"/>
        <v>1.14375</v>
      </c>
      <c r="I66" s="14">
        <v>0</v>
      </c>
      <c r="J66" s="27"/>
      <c r="L66" s="23"/>
      <c r="M66" s="24"/>
      <c r="N66" s="25"/>
    </row>
    <row r="67" spans="1:22" ht="15.75" customHeight="1">
      <c r="A67" s="33">
        <v>26</v>
      </c>
      <c r="B67" s="16" t="s">
        <v>49</v>
      </c>
      <c r="C67" s="18" t="s">
        <v>136</v>
      </c>
      <c r="D67" s="16" t="s">
        <v>55</v>
      </c>
      <c r="E67" s="125">
        <v>24648</v>
      </c>
      <c r="F67" s="14">
        <f>SUM(E67/100)</f>
        <v>246.48</v>
      </c>
      <c r="G67" s="14">
        <v>212.15</v>
      </c>
      <c r="H67" s="109">
        <f t="shared" si="8"/>
        <v>52.290731999999998</v>
      </c>
      <c r="I67" s="14">
        <f>F67*G67</f>
        <v>52290.731999999996</v>
      </c>
      <c r="J67" s="27"/>
      <c r="L67" s="23"/>
      <c r="M67" s="24"/>
      <c r="N67" s="25"/>
    </row>
    <row r="68" spans="1:22" ht="15.75" customHeight="1">
      <c r="A68" s="33">
        <v>27</v>
      </c>
      <c r="B68" s="16" t="s">
        <v>50</v>
      </c>
      <c r="C68" s="18" t="s">
        <v>137</v>
      </c>
      <c r="D68" s="16"/>
      <c r="E68" s="125">
        <v>24648</v>
      </c>
      <c r="F68" s="14">
        <f>SUM(E68/1000)</f>
        <v>24.648</v>
      </c>
      <c r="G68" s="14">
        <v>165.21</v>
      </c>
      <c r="H68" s="109">
        <f t="shared" si="8"/>
        <v>4.0720960800000006</v>
      </c>
      <c r="I68" s="14">
        <f t="shared" ref="I68:I71" si="9">F68*G68</f>
        <v>4072.0960800000003</v>
      </c>
      <c r="J68" s="27"/>
      <c r="L68" s="23"/>
      <c r="M68" s="24"/>
      <c r="N68" s="25"/>
    </row>
    <row r="69" spans="1:22" ht="15.75" customHeight="1">
      <c r="A69" s="33">
        <v>28</v>
      </c>
      <c r="B69" s="16" t="s">
        <v>51</v>
      </c>
      <c r="C69" s="18" t="s">
        <v>81</v>
      </c>
      <c r="D69" s="16" t="s">
        <v>55</v>
      </c>
      <c r="E69" s="125">
        <v>2730</v>
      </c>
      <c r="F69" s="14">
        <f>SUM(E69/100)</f>
        <v>27.3</v>
      </c>
      <c r="G69" s="14">
        <v>2074.63</v>
      </c>
      <c r="H69" s="109">
        <f t="shared" si="8"/>
        <v>56.637399000000002</v>
      </c>
      <c r="I69" s="14">
        <f t="shared" si="9"/>
        <v>56637.399000000005</v>
      </c>
      <c r="J69" s="27"/>
      <c r="L69" s="23"/>
    </row>
    <row r="70" spans="1:22" ht="15.75" customHeight="1">
      <c r="A70" s="33">
        <v>29</v>
      </c>
      <c r="B70" s="145" t="s">
        <v>138</v>
      </c>
      <c r="C70" s="18" t="s">
        <v>34</v>
      </c>
      <c r="D70" s="16"/>
      <c r="E70" s="125">
        <v>20.28</v>
      </c>
      <c r="F70" s="14">
        <f>SUM(E70)</f>
        <v>20.28</v>
      </c>
      <c r="G70" s="14">
        <v>45.32</v>
      </c>
      <c r="H70" s="109">
        <f t="shared" si="8"/>
        <v>0.91908960000000006</v>
      </c>
      <c r="I70" s="14">
        <f t="shared" si="9"/>
        <v>919.08960000000002</v>
      </c>
    </row>
    <row r="71" spans="1:22" ht="15.75" customHeight="1">
      <c r="A71" s="33">
        <v>30</v>
      </c>
      <c r="B71" s="145" t="s">
        <v>181</v>
      </c>
      <c r="C71" s="18" t="s">
        <v>34</v>
      </c>
      <c r="D71" s="16"/>
      <c r="E71" s="125">
        <v>20.28</v>
      </c>
      <c r="F71" s="14">
        <f>SUM(E71)</f>
        <v>20.28</v>
      </c>
      <c r="G71" s="14">
        <v>42.28</v>
      </c>
      <c r="H71" s="109">
        <f t="shared" si="8"/>
        <v>0.85743840000000016</v>
      </c>
      <c r="I71" s="14">
        <f t="shared" si="9"/>
        <v>857.43840000000012</v>
      </c>
    </row>
    <row r="72" spans="1:22" ht="15.75" hidden="1" customHeight="1">
      <c r="A72" s="33">
        <v>13</v>
      </c>
      <c r="B72" s="16" t="s">
        <v>59</v>
      </c>
      <c r="C72" s="18" t="s">
        <v>60</v>
      </c>
      <c r="D72" s="16" t="s">
        <v>55</v>
      </c>
      <c r="E72" s="21">
        <v>12</v>
      </c>
      <c r="F72" s="126">
        <f>SUM(E72)</f>
        <v>12</v>
      </c>
      <c r="G72" s="14">
        <v>49.88</v>
      </c>
      <c r="H72" s="109">
        <f t="shared" si="8"/>
        <v>0.59856000000000009</v>
      </c>
      <c r="I72" s="14">
        <v>0</v>
      </c>
    </row>
    <row r="73" spans="1:22" ht="15.75" hidden="1" customHeight="1">
      <c r="A73" s="65"/>
      <c r="B73" s="107" t="s">
        <v>140</v>
      </c>
      <c r="C73" s="107"/>
      <c r="D73" s="107"/>
      <c r="E73" s="107"/>
      <c r="F73" s="107"/>
      <c r="G73" s="107"/>
      <c r="H73" s="107"/>
      <c r="I73" s="21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9"/>
    </row>
    <row r="74" spans="1:22" ht="15.75" hidden="1" customHeight="1">
      <c r="A74" s="33">
        <v>36</v>
      </c>
      <c r="B74" s="124" t="s">
        <v>141</v>
      </c>
      <c r="C74" s="18"/>
      <c r="D74" s="16"/>
      <c r="E74" s="115"/>
      <c r="F74" s="14">
        <v>1</v>
      </c>
      <c r="G74" s="14">
        <v>27356</v>
      </c>
      <c r="H74" s="109">
        <f>G74*F74/1000</f>
        <v>27.356000000000002</v>
      </c>
      <c r="I74" s="14">
        <v>0</v>
      </c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33"/>
      <c r="B75" s="60" t="s">
        <v>78</v>
      </c>
      <c r="C75" s="60"/>
      <c r="D75" s="60"/>
      <c r="E75" s="60"/>
      <c r="F75" s="21"/>
      <c r="G75" s="33"/>
      <c r="H75" s="33"/>
      <c r="I75" s="21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33"/>
      <c r="B76" s="16" t="s">
        <v>97</v>
      </c>
      <c r="C76" s="18" t="s">
        <v>32</v>
      </c>
      <c r="D76" s="16"/>
      <c r="E76" s="21">
        <v>2</v>
      </c>
      <c r="F76" s="126">
        <f>SUM(E76)</f>
        <v>2</v>
      </c>
      <c r="G76" s="14">
        <v>358.51</v>
      </c>
      <c r="H76" s="109">
        <f>SUM(F76*G76/1000)</f>
        <v>0.71701999999999999</v>
      </c>
      <c r="I76" s="14">
        <v>0</v>
      </c>
      <c r="J76" s="5"/>
      <c r="K76" s="5"/>
      <c r="L76" s="5"/>
      <c r="M76" s="5"/>
      <c r="N76" s="5"/>
      <c r="O76" s="5"/>
      <c r="P76" s="5"/>
      <c r="Q76" s="5"/>
      <c r="R76" s="180"/>
      <c r="S76" s="180"/>
      <c r="T76" s="180"/>
      <c r="U76" s="180"/>
    </row>
    <row r="77" spans="1:22" ht="15.75" hidden="1" customHeight="1">
      <c r="A77" s="33"/>
      <c r="B77" s="16" t="s">
        <v>79</v>
      </c>
      <c r="C77" s="18" t="s">
        <v>32</v>
      </c>
      <c r="D77" s="16"/>
      <c r="E77" s="21">
        <v>1</v>
      </c>
      <c r="F77" s="14">
        <v>1</v>
      </c>
      <c r="G77" s="14">
        <v>852.99</v>
      </c>
      <c r="H77" s="109">
        <f>F77*G77/1000</f>
        <v>0.85299000000000003</v>
      </c>
      <c r="I77" s="14">
        <v>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2" ht="15.75" hidden="1" customHeight="1">
      <c r="A78" s="33"/>
      <c r="B78" s="61" t="s">
        <v>80</v>
      </c>
      <c r="C78" s="47"/>
      <c r="D78" s="33"/>
      <c r="E78" s="33"/>
      <c r="F78" s="21"/>
      <c r="G78" s="43" t="s">
        <v>158</v>
      </c>
      <c r="H78" s="43"/>
      <c r="I78" s="21"/>
    </row>
    <row r="79" spans="1:22" ht="15.75" hidden="1" customHeight="1">
      <c r="A79" s="33">
        <v>39</v>
      </c>
      <c r="B79" s="63" t="s">
        <v>142</v>
      </c>
      <c r="C79" s="18" t="s">
        <v>81</v>
      </c>
      <c r="D79" s="16"/>
      <c r="E79" s="21"/>
      <c r="F79" s="14">
        <v>1.35</v>
      </c>
      <c r="G79" s="14">
        <v>2759.44</v>
      </c>
      <c r="H79" s="109">
        <f>SUM(F79*G79/1000)</f>
        <v>3.725244</v>
      </c>
      <c r="I79" s="14">
        <v>0</v>
      </c>
    </row>
    <row r="80" spans="1:22" ht="15.75" customHeight="1">
      <c r="A80" s="171" t="s">
        <v>178</v>
      </c>
      <c r="B80" s="172"/>
      <c r="C80" s="172"/>
      <c r="D80" s="172"/>
      <c r="E80" s="172"/>
      <c r="F80" s="172"/>
      <c r="G80" s="172"/>
      <c r="H80" s="172"/>
      <c r="I80" s="173"/>
    </row>
    <row r="81" spans="1:9" ht="15.75" customHeight="1">
      <c r="A81" s="33">
        <v>31</v>
      </c>
      <c r="B81" s="124" t="s">
        <v>143</v>
      </c>
      <c r="C81" s="18" t="s">
        <v>56</v>
      </c>
      <c r="D81" s="147" t="s">
        <v>57</v>
      </c>
      <c r="E81" s="14">
        <v>5926.8</v>
      </c>
      <c r="F81" s="14">
        <f>SUM(E81*12)</f>
        <v>71121.600000000006</v>
      </c>
      <c r="G81" s="14">
        <v>2.1</v>
      </c>
      <c r="H81" s="109">
        <f>SUM(F81*G81/1000)</f>
        <v>149.35536000000002</v>
      </c>
      <c r="I81" s="14">
        <f>F81/12*G81</f>
        <v>12446.28</v>
      </c>
    </row>
    <row r="82" spans="1:9" ht="31.5" customHeight="1">
      <c r="A82" s="33">
        <v>32</v>
      </c>
      <c r="B82" s="16" t="s">
        <v>82</v>
      </c>
      <c r="C82" s="18"/>
      <c r="D82" s="147" t="s">
        <v>57</v>
      </c>
      <c r="E82" s="125">
        <v>5926.8</v>
      </c>
      <c r="F82" s="14">
        <f>E82*12</f>
        <v>71121.600000000006</v>
      </c>
      <c r="G82" s="14">
        <v>1.63</v>
      </c>
      <c r="H82" s="109">
        <f>F82*G82/1000</f>
        <v>115.928208</v>
      </c>
      <c r="I82" s="14">
        <f>F82/12*G82</f>
        <v>9660.6839999999993</v>
      </c>
    </row>
    <row r="83" spans="1:9" ht="15.75" customHeight="1">
      <c r="A83" s="65"/>
      <c r="B83" s="50" t="s">
        <v>85</v>
      </c>
      <c r="C83" s="52"/>
      <c r="D83" s="17"/>
      <c r="E83" s="17"/>
      <c r="F83" s="17"/>
      <c r="G83" s="21"/>
      <c r="H83" s="21"/>
      <c r="I83" s="35">
        <f>SUM(I16+I17+I18+I19+I20+I21+I22+I23+I24+I25+I26+I27+I28+I31+I32+I33+I34+I35+I46+I47+I48+I49+I50+I62+I65+I67+I68+I69+I70+I71+I81+I82)</f>
        <v>216639.42199880001</v>
      </c>
    </row>
    <row r="84" spans="1:9" ht="15.75" customHeight="1">
      <c r="A84" s="174" t="s">
        <v>63</v>
      </c>
      <c r="B84" s="175"/>
      <c r="C84" s="175"/>
      <c r="D84" s="175"/>
      <c r="E84" s="175"/>
      <c r="F84" s="175"/>
      <c r="G84" s="175"/>
      <c r="H84" s="175"/>
      <c r="I84" s="176"/>
    </row>
    <row r="85" spans="1:9" ht="15.75" customHeight="1">
      <c r="A85" s="33">
        <v>33</v>
      </c>
      <c r="B85" s="152" t="s">
        <v>111</v>
      </c>
      <c r="C85" s="153" t="s">
        <v>135</v>
      </c>
      <c r="D85" s="63"/>
      <c r="E85" s="43"/>
      <c r="F85" s="43">
        <v>968</v>
      </c>
      <c r="G85" s="44">
        <v>53.42</v>
      </c>
      <c r="H85" s="146">
        <f>G85*F85/1000</f>
        <v>51.710560000000008</v>
      </c>
      <c r="I85" s="14">
        <f>G85*121</f>
        <v>6463.8200000000006</v>
      </c>
    </row>
    <row r="86" spans="1:9" ht="31.5" customHeight="1">
      <c r="A86" s="33">
        <v>34</v>
      </c>
      <c r="B86" s="69" t="s">
        <v>84</v>
      </c>
      <c r="C86" s="84" t="s">
        <v>135</v>
      </c>
      <c r="D86" s="63"/>
      <c r="E86" s="43"/>
      <c r="F86" s="43">
        <v>8</v>
      </c>
      <c r="G86" s="43">
        <v>83.36</v>
      </c>
      <c r="H86" s="146">
        <f>G86*F86/1000</f>
        <v>0.66688000000000003</v>
      </c>
      <c r="I86" s="14">
        <f>G86</f>
        <v>83.36</v>
      </c>
    </row>
    <row r="87" spans="1:9" ht="15.75" customHeight="1">
      <c r="A87" s="33">
        <v>35</v>
      </c>
      <c r="B87" s="69" t="s">
        <v>185</v>
      </c>
      <c r="C87" s="84" t="s">
        <v>89</v>
      </c>
      <c r="D87" s="63"/>
      <c r="E87" s="14"/>
      <c r="F87" s="14">
        <v>4</v>
      </c>
      <c r="G87" s="14">
        <v>195.85</v>
      </c>
      <c r="H87" s="143">
        <f>G87*F87/1000</f>
        <v>0.78339999999999999</v>
      </c>
      <c r="I87" s="14">
        <f>G87</f>
        <v>195.85</v>
      </c>
    </row>
    <row r="88" spans="1:9" ht="31.5" customHeight="1">
      <c r="A88" s="33">
        <v>36</v>
      </c>
      <c r="B88" s="148" t="s">
        <v>186</v>
      </c>
      <c r="C88" s="33" t="s">
        <v>187</v>
      </c>
      <c r="D88" s="63"/>
      <c r="E88" s="14"/>
      <c r="F88" s="14">
        <v>2</v>
      </c>
      <c r="G88" s="14">
        <v>1934.94</v>
      </c>
      <c r="H88" s="144">
        <f t="shared" ref="H88" si="10">G88*F88/1000</f>
        <v>3.8698800000000002</v>
      </c>
      <c r="I88" s="14">
        <f t="shared" ref="I88" si="11">G88</f>
        <v>1934.94</v>
      </c>
    </row>
    <row r="89" spans="1:9" ht="15.75" customHeight="1">
      <c r="A89" s="33">
        <v>37</v>
      </c>
      <c r="B89" s="69" t="s">
        <v>87</v>
      </c>
      <c r="C89" s="84" t="s">
        <v>135</v>
      </c>
      <c r="D89" s="63"/>
      <c r="E89" s="14"/>
      <c r="F89" s="14">
        <v>5</v>
      </c>
      <c r="G89" s="14">
        <v>189.88</v>
      </c>
      <c r="H89" s="143">
        <f>G89*F89/1000</f>
        <v>0.94940000000000002</v>
      </c>
      <c r="I89" s="14">
        <f>G89*2</f>
        <v>379.76</v>
      </c>
    </row>
    <row r="90" spans="1:9" ht="15.75" customHeight="1">
      <c r="A90" s="33">
        <v>38</v>
      </c>
      <c r="B90" s="149" t="s">
        <v>190</v>
      </c>
      <c r="C90" s="150" t="s">
        <v>100</v>
      </c>
      <c r="D90" s="63"/>
      <c r="E90" s="14"/>
      <c r="F90" s="14">
        <f>60/3</f>
        <v>20</v>
      </c>
      <c r="G90" s="14">
        <v>1120.8900000000001</v>
      </c>
      <c r="H90" s="143">
        <f>G90*F90/1000</f>
        <v>22.417800000000003</v>
      </c>
      <c r="I90" s="14">
        <f>G90*(5/3)</f>
        <v>1868.1500000000003</v>
      </c>
    </row>
    <row r="91" spans="1:9" ht="15.75" customHeight="1">
      <c r="A91" s="33">
        <v>39</v>
      </c>
      <c r="B91" s="69" t="s">
        <v>206</v>
      </c>
      <c r="C91" s="84" t="s">
        <v>101</v>
      </c>
      <c r="D91" s="63"/>
      <c r="E91" s="14"/>
      <c r="F91" s="14">
        <v>32</v>
      </c>
      <c r="G91" s="14">
        <v>1046.06</v>
      </c>
      <c r="H91" s="109">
        <f t="shared" ref="H91:H92" si="12">G91*F91/1000</f>
        <v>33.47392</v>
      </c>
      <c r="I91" s="14">
        <f>G91*32</f>
        <v>33473.919999999998</v>
      </c>
    </row>
    <row r="92" spans="1:9" ht="15.75" customHeight="1">
      <c r="A92" s="33">
        <v>40</v>
      </c>
      <c r="B92" s="69" t="s">
        <v>207</v>
      </c>
      <c r="C92" s="84" t="s">
        <v>135</v>
      </c>
      <c r="D92" s="16"/>
      <c r="E92" s="21"/>
      <c r="F92" s="14">
        <v>13</v>
      </c>
      <c r="G92" s="14">
        <v>140</v>
      </c>
      <c r="H92" s="109">
        <f t="shared" si="12"/>
        <v>1.82</v>
      </c>
      <c r="I92" s="14">
        <f>G92*13</f>
        <v>1820</v>
      </c>
    </row>
    <row r="93" spans="1:9" ht="15.75" customHeight="1">
      <c r="A93" s="33">
        <v>41</v>
      </c>
      <c r="B93" s="69" t="s">
        <v>208</v>
      </c>
      <c r="C93" s="89" t="s">
        <v>209</v>
      </c>
      <c r="D93" s="63"/>
      <c r="E93" s="14"/>
      <c r="F93" s="14">
        <v>8</v>
      </c>
      <c r="G93" s="14">
        <v>294.45</v>
      </c>
      <c r="H93" s="109">
        <f>G93*F93/1000</f>
        <v>2.3555999999999999</v>
      </c>
      <c r="I93" s="14">
        <f>G93*5</f>
        <v>1472.25</v>
      </c>
    </row>
    <row r="94" spans="1:9" ht="15.75" customHeight="1">
      <c r="A94" s="33">
        <v>42</v>
      </c>
      <c r="B94" s="69" t="s">
        <v>210</v>
      </c>
      <c r="C94" s="84" t="s">
        <v>135</v>
      </c>
      <c r="D94" s="63"/>
      <c r="E94" s="14"/>
      <c r="F94" s="14">
        <v>1</v>
      </c>
      <c r="G94" s="14">
        <v>40</v>
      </c>
      <c r="H94" s="109">
        <f t="shared" ref="H94:H95" si="13">G94*F94/1000</f>
        <v>0.04</v>
      </c>
      <c r="I94" s="14">
        <f>G94</f>
        <v>40</v>
      </c>
    </row>
    <row r="95" spans="1:9" ht="15.75" customHeight="1">
      <c r="A95" s="33">
        <v>43</v>
      </c>
      <c r="B95" s="69" t="s">
        <v>211</v>
      </c>
      <c r="C95" s="84" t="s">
        <v>101</v>
      </c>
      <c r="D95" s="63"/>
      <c r="E95" s="14"/>
      <c r="F95" s="14">
        <v>1</v>
      </c>
      <c r="G95" s="14">
        <v>666.24</v>
      </c>
      <c r="H95" s="109">
        <f t="shared" si="13"/>
        <v>0.66624000000000005</v>
      </c>
      <c r="I95" s="14">
        <f>G95</f>
        <v>666.24</v>
      </c>
    </row>
    <row r="96" spans="1:9" ht="15.75" customHeight="1">
      <c r="A96" s="33"/>
      <c r="B96" s="57" t="s">
        <v>52</v>
      </c>
      <c r="C96" s="53"/>
      <c r="D96" s="67"/>
      <c r="E96" s="67"/>
      <c r="F96" s="53">
        <v>1</v>
      </c>
      <c r="G96" s="53"/>
      <c r="H96" s="53"/>
      <c r="I96" s="35">
        <f>SUM(I85:I95)</f>
        <v>48398.29</v>
      </c>
    </row>
    <row r="97" spans="1:9" ht="15.75" customHeight="1">
      <c r="A97" s="33"/>
      <c r="B97" s="63" t="s">
        <v>83</v>
      </c>
      <c r="C97" s="17"/>
      <c r="D97" s="17"/>
      <c r="E97" s="17"/>
      <c r="F97" s="54"/>
      <c r="G97" s="55"/>
      <c r="H97" s="55"/>
      <c r="I97" s="20">
        <v>0</v>
      </c>
    </row>
    <row r="98" spans="1:9" ht="15.75" customHeight="1">
      <c r="A98" s="68"/>
      <c r="B98" s="58" t="s">
        <v>182</v>
      </c>
      <c r="C98" s="41"/>
      <c r="D98" s="41"/>
      <c r="E98" s="41"/>
      <c r="F98" s="41"/>
      <c r="G98" s="41"/>
      <c r="H98" s="41"/>
      <c r="I98" s="56">
        <f>I83+I96</f>
        <v>265037.71199879999</v>
      </c>
    </row>
    <row r="99" spans="1:9" ht="15.75" customHeight="1">
      <c r="A99" s="190" t="s">
        <v>212</v>
      </c>
      <c r="B99" s="190"/>
      <c r="C99" s="190"/>
      <c r="D99" s="190"/>
      <c r="E99" s="190"/>
      <c r="F99" s="190"/>
      <c r="G99" s="190"/>
      <c r="H99" s="190"/>
      <c r="I99" s="190"/>
    </row>
    <row r="100" spans="1:9" ht="15.75" customHeight="1">
      <c r="A100" s="108"/>
      <c r="B100" s="182" t="s">
        <v>213</v>
      </c>
      <c r="C100" s="182"/>
      <c r="D100" s="182"/>
      <c r="E100" s="182"/>
      <c r="F100" s="182"/>
      <c r="G100" s="182"/>
      <c r="H100" s="123"/>
      <c r="I100" s="3"/>
    </row>
    <row r="101" spans="1:9" ht="15.75" customHeight="1">
      <c r="A101" s="103"/>
      <c r="B101" s="178" t="s">
        <v>6</v>
      </c>
      <c r="C101" s="178"/>
      <c r="D101" s="178"/>
      <c r="E101" s="178"/>
      <c r="F101" s="178"/>
      <c r="G101" s="178"/>
      <c r="H101" s="28"/>
      <c r="I101" s="5"/>
    </row>
    <row r="102" spans="1:9" ht="15.75" customHeight="1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 customHeight="1">
      <c r="A103" s="183" t="s">
        <v>7</v>
      </c>
      <c r="B103" s="183"/>
      <c r="C103" s="183"/>
      <c r="D103" s="183"/>
      <c r="E103" s="183"/>
      <c r="F103" s="183"/>
      <c r="G103" s="183"/>
      <c r="H103" s="183"/>
      <c r="I103" s="183"/>
    </row>
    <row r="104" spans="1:9" ht="15.75" customHeight="1">
      <c r="A104" s="183" t="s">
        <v>8</v>
      </c>
      <c r="B104" s="183"/>
      <c r="C104" s="183"/>
      <c r="D104" s="183"/>
      <c r="E104" s="183"/>
      <c r="F104" s="183"/>
      <c r="G104" s="183"/>
      <c r="H104" s="183"/>
      <c r="I104" s="183"/>
    </row>
    <row r="105" spans="1:9" ht="15.75" customHeight="1">
      <c r="A105" s="184" t="s">
        <v>65</v>
      </c>
      <c r="B105" s="184"/>
      <c r="C105" s="184"/>
      <c r="D105" s="184"/>
      <c r="E105" s="184"/>
      <c r="F105" s="184"/>
      <c r="G105" s="184"/>
      <c r="H105" s="184"/>
      <c r="I105" s="184"/>
    </row>
    <row r="106" spans="1:9" ht="15.75" customHeight="1">
      <c r="A106" s="11"/>
    </row>
    <row r="107" spans="1:9" ht="15.75" customHeight="1">
      <c r="A107" s="185" t="s">
        <v>9</v>
      </c>
      <c r="B107" s="185"/>
      <c r="C107" s="185"/>
      <c r="D107" s="185"/>
      <c r="E107" s="185"/>
      <c r="F107" s="185"/>
      <c r="G107" s="185"/>
      <c r="H107" s="185"/>
      <c r="I107" s="185"/>
    </row>
    <row r="108" spans="1:9" ht="15.75" customHeight="1">
      <c r="A108" s="4"/>
    </row>
    <row r="109" spans="1:9" ht="15.75" customHeight="1">
      <c r="B109" s="102" t="s">
        <v>10</v>
      </c>
      <c r="C109" s="177" t="s">
        <v>99</v>
      </c>
      <c r="D109" s="177"/>
      <c r="E109" s="177"/>
      <c r="F109" s="177"/>
      <c r="I109" s="105"/>
    </row>
    <row r="110" spans="1:9" ht="15.75" customHeight="1">
      <c r="A110" s="103"/>
      <c r="C110" s="178" t="s">
        <v>11</v>
      </c>
      <c r="D110" s="178"/>
      <c r="E110" s="178"/>
      <c r="F110" s="178"/>
      <c r="I110" s="104" t="s">
        <v>12</v>
      </c>
    </row>
    <row r="111" spans="1:9" ht="15.75" customHeight="1">
      <c r="A111" s="29"/>
      <c r="C111" s="12"/>
      <c r="D111" s="12"/>
      <c r="E111" s="12"/>
      <c r="G111" s="12"/>
      <c r="H111" s="12"/>
    </row>
    <row r="112" spans="1:9" ht="15.75" customHeight="1">
      <c r="B112" s="102" t="s">
        <v>13</v>
      </c>
      <c r="C112" s="179"/>
      <c r="D112" s="179"/>
      <c r="E112" s="179"/>
      <c r="F112" s="179"/>
      <c r="I112" s="105"/>
    </row>
    <row r="113" spans="1:9" ht="15.75" customHeight="1">
      <c r="A113" s="103"/>
      <c r="C113" s="180" t="s">
        <v>11</v>
      </c>
      <c r="D113" s="180"/>
      <c r="E113" s="180"/>
      <c r="F113" s="180"/>
      <c r="I113" s="104" t="s">
        <v>12</v>
      </c>
    </row>
    <row r="114" spans="1:9" ht="15.75" customHeight="1">
      <c r="A114" s="4" t="s">
        <v>14</v>
      </c>
    </row>
    <row r="115" spans="1:9">
      <c r="A115" s="181" t="s">
        <v>15</v>
      </c>
      <c r="B115" s="181"/>
      <c r="C115" s="181"/>
      <c r="D115" s="181"/>
      <c r="E115" s="181"/>
      <c r="F115" s="181"/>
      <c r="G115" s="181"/>
      <c r="H115" s="181"/>
      <c r="I115" s="181"/>
    </row>
    <row r="116" spans="1:9" ht="45" customHeight="1">
      <c r="A116" s="170" t="s">
        <v>16</v>
      </c>
      <c r="B116" s="170"/>
      <c r="C116" s="170"/>
      <c r="D116" s="170"/>
      <c r="E116" s="170"/>
      <c r="F116" s="170"/>
      <c r="G116" s="170"/>
      <c r="H116" s="170"/>
      <c r="I116" s="170"/>
    </row>
    <row r="117" spans="1:9" ht="30" customHeight="1">
      <c r="A117" s="170" t="s">
        <v>17</v>
      </c>
      <c r="B117" s="170"/>
      <c r="C117" s="170"/>
      <c r="D117" s="170"/>
      <c r="E117" s="170"/>
      <c r="F117" s="170"/>
      <c r="G117" s="170"/>
      <c r="H117" s="170"/>
      <c r="I117" s="170"/>
    </row>
    <row r="118" spans="1:9" ht="30" customHeight="1">
      <c r="A118" s="170" t="s">
        <v>21</v>
      </c>
      <c r="B118" s="170"/>
      <c r="C118" s="170"/>
      <c r="D118" s="170"/>
      <c r="E118" s="170"/>
      <c r="F118" s="170"/>
      <c r="G118" s="170"/>
      <c r="H118" s="170"/>
      <c r="I118" s="170"/>
    </row>
    <row r="119" spans="1:9" ht="15" customHeight="1">
      <c r="A119" s="170" t="s">
        <v>20</v>
      </c>
      <c r="B119" s="170"/>
      <c r="C119" s="170"/>
      <c r="D119" s="170"/>
      <c r="E119" s="170"/>
      <c r="F119" s="170"/>
      <c r="G119" s="170"/>
      <c r="H119" s="170"/>
      <c r="I119" s="170"/>
    </row>
  </sheetData>
  <autoFilter ref="I12:I71"/>
  <mergeCells count="29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6:U76"/>
    <mergeCell ref="C113:F113"/>
    <mergeCell ref="A84:I84"/>
    <mergeCell ref="A99:I99"/>
    <mergeCell ref="B100:G100"/>
    <mergeCell ref="B101:G101"/>
    <mergeCell ref="A103:I103"/>
    <mergeCell ref="A104:I104"/>
    <mergeCell ref="A105:I105"/>
    <mergeCell ref="A107:I107"/>
    <mergeCell ref="C109:F109"/>
    <mergeCell ref="C110:F110"/>
    <mergeCell ref="C112:F112"/>
    <mergeCell ref="A80:I80"/>
    <mergeCell ref="A115:I115"/>
    <mergeCell ref="A116:I116"/>
    <mergeCell ref="A117:I117"/>
    <mergeCell ref="A118:I118"/>
    <mergeCell ref="A119:I11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2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94</v>
      </c>
      <c r="I1" s="30"/>
      <c r="J1" s="1"/>
      <c r="K1" s="1"/>
      <c r="L1" s="1"/>
      <c r="M1" s="1"/>
    </row>
    <row r="2" spans="1:13" ht="15.75" customHeight="1">
      <c r="A2" s="32" t="s">
        <v>67</v>
      </c>
      <c r="J2" s="2"/>
      <c r="K2" s="2"/>
      <c r="L2" s="2"/>
      <c r="M2" s="2"/>
    </row>
    <row r="3" spans="1:13" ht="15.75" customHeight="1">
      <c r="A3" s="191" t="s">
        <v>214</v>
      </c>
      <c r="B3" s="191"/>
      <c r="C3" s="191"/>
      <c r="D3" s="191"/>
      <c r="E3" s="191"/>
      <c r="F3" s="191"/>
      <c r="G3" s="191"/>
      <c r="H3" s="191"/>
      <c r="I3" s="191"/>
      <c r="J3" s="3"/>
      <c r="K3" s="3"/>
      <c r="L3" s="3"/>
    </row>
    <row r="4" spans="1:13" ht="31.5" customHeight="1">
      <c r="A4" s="192" t="s">
        <v>144</v>
      </c>
      <c r="B4" s="192"/>
      <c r="C4" s="192"/>
      <c r="D4" s="192"/>
      <c r="E4" s="192"/>
      <c r="F4" s="192"/>
      <c r="G4" s="192"/>
      <c r="H4" s="192"/>
      <c r="I4" s="192"/>
    </row>
    <row r="5" spans="1:13" ht="15.75" customHeight="1">
      <c r="A5" s="191" t="s">
        <v>215</v>
      </c>
      <c r="B5" s="193"/>
      <c r="C5" s="193"/>
      <c r="D5" s="193"/>
      <c r="E5" s="193"/>
      <c r="F5" s="193"/>
      <c r="G5" s="193"/>
      <c r="H5" s="193"/>
      <c r="I5" s="193"/>
      <c r="J5" s="2"/>
      <c r="K5" s="2"/>
      <c r="L5" s="2"/>
      <c r="M5" s="2"/>
    </row>
    <row r="6" spans="1:13" ht="15.75" customHeight="1">
      <c r="A6" s="2"/>
      <c r="B6" s="106"/>
      <c r="C6" s="106"/>
      <c r="D6" s="106"/>
      <c r="E6" s="106"/>
      <c r="F6" s="106"/>
      <c r="G6" s="106"/>
      <c r="H6" s="106"/>
      <c r="I6" s="34">
        <v>42916</v>
      </c>
      <c r="J6" s="2"/>
      <c r="K6" s="2"/>
      <c r="L6" s="2"/>
      <c r="M6" s="2"/>
    </row>
    <row r="7" spans="1:13" ht="15.75" customHeight="1">
      <c r="B7" s="102"/>
      <c r="C7" s="102"/>
      <c r="D7" s="102"/>
      <c r="E7" s="102"/>
      <c r="F7" s="3"/>
      <c r="G7" s="3"/>
      <c r="H7" s="3"/>
      <c r="J7" s="3"/>
      <c r="K7" s="3"/>
      <c r="L7" s="3"/>
      <c r="M7" s="3"/>
    </row>
    <row r="8" spans="1:13" ht="78.75" customHeight="1">
      <c r="A8" s="194" t="s">
        <v>168</v>
      </c>
      <c r="B8" s="194"/>
      <c r="C8" s="194"/>
      <c r="D8" s="194"/>
      <c r="E8" s="194"/>
      <c r="F8" s="194"/>
      <c r="G8" s="194"/>
      <c r="H8" s="194"/>
      <c r="I8" s="194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195" t="s">
        <v>261</v>
      </c>
      <c r="B10" s="195"/>
      <c r="C10" s="195"/>
      <c r="D10" s="195"/>
      <c r="E10" s="195"/>
      <c r="F10" s="195"/>
      <c r="G10" s="195"/>
      <c r="H10" s="195"/>
      <c r="I10" s="19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6" t="s">
        <v>61</v>
      </c>
      <c r="B14" s="196"/>
      <c r="C14" s="196"/>
      <c r="D14" s="196"/>
      <c r="E14" s="196"/>
      <c r="F14" s="196"/>
      <c r="G14" s="196"/>
      <c r="H14" s="196"/>
      <c r="I14" s="196"/>
      <c r="J14" s="8"/>
      <c r="K14" s="8"/>
      <c r="L14" s="8"/>
      <c r="M14" s="8"/>
    </row>
    <row r="15" spans="1:13" ht="15.75" customHeight="1">
      <c r="A15" s="186" t="s">
        <v>4</v>
      </c>
      <c r="B15" s="186"/>
      <c r="C15" s="186"/>
      <c r="D15" s="186"/>
      <c r="E15" s="186"/>
      <c r="F15" s="186"/>
      <c r="G15" s="186"/>
      <c r="H15" s="186"/>
      <c r="I15" s="186"/>
      <c r="J15" s="8"/>
      <c r="K15" s="8"/>
      <c r="L15" s="8"/>
      <c r="M15" s="8"/>
    </row>
    <row r="16" spans="1:13" ht="15.75" customHeight="1">
      <c r="A16" s="33">
        <v>1</v>
      </c>
      <c r="B16" s="124" t="s">
        <v>95</v>
      </c>
      <c r="C16" s="90" t="s">
        <v>117</v>
      </c>
      <c r="D16" s="124" t="s">
        <v>118</v>
      </c>
      <c r="E16" s="125">
        <v>160.5</v>
      </c>
      <c r="F16" s="126">
        <f>SUM(E16*156/100)</f>
        <v>250.38</v>
      </c>
      <c r="G16" s="126">
        <v>175.38</v>
      </c>
      <c r="H16" s="127">
        <f t="shared" ref="H16:H28" si="0">SUM(F16*G16/1000)</f>
        <v>43.9116444</v>
      </c>
      <c r="I16" s="14">
        <f>F16/12*G16</f>
        <v>3659.3036999999995</v>
      </c>
      <c r="J16" s="8"/>
      <c r="K16" s="8"/>
      <c r="L16" s="8"/>
      <c r="M16" s="8"/>
    </row>
    <row r="17" spans="1:13" ht="15.75" customHeight="1">
      <c r="A17" s="33">
        <v>2</v>
      </c>
      <c r="B17" s="124" t="s">
        <v>102</v>
      </c>
      <c r="C17" s="90" t="s">
        <v>117</v>
      </c>
      <c r="D17" s="124" t="s">
        <v>119</v>
      </c>
      <c r="E17" s="125">
        <v>642</v>
      </c>
      <c r="F17" s="126">
        <f>SUM(E17*104/100)</f>
        <v>667.68</v>
      </c>
      <c r="G17" s="126">
        <v>175.38</v>
      </c>
      <c r="H17" s="127">
        <f t="shared" si="0"/>
        <v>117.09771839999998</v>
      </c>
      <c r="I17" s="14">
        <f>F17/12*G17</f>
        <v>9758.1431999999986</v>
      </c>
      <c r="J17" s="26"/>
      <c r="K17" s="8"/>
      <c r="L17" s="8"/>
      <c r="M17" s="8"/>
    </row>
    <row r="18" spans="1:13" ht="15.75" customHeight="1">
      <c r="A18" s="33">
        <v>3</v>
      </c>
      <c r="B18" s="124" t="s">
        <v>103</v>
      </c>
      <c r="C18" s="90" t="s">
        <v>117</v>
      </c>
      <c r="D18" s="124" t="s">
        <v>120</v>
      </c>
      <c r="E18" s="125">
        <f>SUM(E16+E17)</f>
        <v>802.5</v>
      </c>
      <c r="F18" s="126">
        <f>SUM(E18*24/100)</f>
        <v>192.6</v>
      </c>
      <c r="G18" s="126">
        <v>504.5</v>
      </c>
      <c r="H18" s="127">
        <f t="shared" si="0"/>
        <v>97.166699999999992</v>
      </c>
      <c r="I18" s="14">
        <f>F18/12*G18</f>
        <v>8097.2250000000004</v>
      </c>
      <c r="J18" s="26"/>
      <c r="K18" s="8"/>
      <c r="L18" s="8"/>
      <c r="M18" s="8"/>
    </row>
    <row r="19" spans="1:13" ht="15.75" hidden="1" customHeight="1">
      <c r="A19" s="33">
        <v>4</v>
      </c>
      <c r="B19" s="124" t="s">
        <v>121</v>
      </c>
      <c r="C19" s="90" t="s">
        <v>122</v>
      </c>
      <c r="D19" s="124" t="s">
        <v>123</v>
      </c>
      <c r="E19" s="125">
        <v>38.4</v>
      </c>
      <c r="F19" s="126">
        <f>SUM(E19/10)</f>
        <v>3.84</v>
      </c>
      <c r="G19" s="126">
        <v>170.16</v>
      </c>
      <c r="H19" s="127">
        <f t="shared" si="0"/>
        <v>0.65341439999999995</v>
      </c>
      <c r="I19" s="14">
        <f>F19/2*G19</f>
        <v>326.7072</v>
      </c>
      <c r="J19" s="26"/>
      <c r="K19" s="8"/>
      <c r="L19" s="8"/>
      <c r="M19" s="8"/>
    </row>
    <row r="20" spans="1:13" ht="15.75" customHeight="1">
      <c r="A20" s="33">
        <v>4</v>
      </c>
      <c r="B20" s="124" t="s">
        <v>107</v>
      </c>
      <c r="C20" s="90" t="s">
        <v>117</v>
      </c>
      <c r="D20" s="124" t="s">
        <v>31</v>
      </c>
      <c r="E20" s="125">
        <v>58.4</v>
      </c>
      <c r="F20" s="126">
        <f>SUM(E20*12/100)</f>
        <v>7.0079999999999991</v>
      </c>
      <c r="G20" s="126">
        <v>217.88</v>
      </c>
      <c r="H20" s="127">
        <f t="shared" si="0"/>
        <v>1.5269030399999997</v>
      </c>
      <c r="I20" s="14">
        <f>F20/12*G20</f>
        <v>127.24191999999999</v>
      </c>
      <c r="J20" s="26"/>
      <c r="K20" s="8"/>
      <c r="L20" s="8"/>
      <c r="M20" s="8"/>
    </row>
    <row r="21" spans="1:13" ht="15.75" customHeight="1">
      <c r="A21" s="33">
        <v>5</v>
      </c>
      <c r="B21" s="124" t="s">
        <v>108</v>
      </c>
      <c r="C21" s="90" t="s">
        <v>117</v>
      </c>
      <c r="D21" s="124" t="s">
        <v>31</v>
      </c>
      <c r="E21" s="125">
        <v>9.08</v>
      </c>
      <c r="F21" s="126">
        <f>SUM(E21*12/100)</f>
        <v>1.0896000000000001</v>
      </c>
      <c r="G21" s="126">
        <v>216.12</v>
      </c>
      <c r="H21" s="127">
        <f t="shared" si="0"/>
        <v>0.23548435200000004</v>
      </c>
      <c r="I21" s="14">
        <f>F21/12*G21</f>
        <v>19.623696000000002</v>
      </c>
      <c r="J21" s="26"/>
      <c r="K21" s="8"/>
      <c r="L21" s="8"/>
      <c r="M21" s="8"/>
    </row>
    <row r="22" spans="1:13" ht="15.75" hidden="1" customHeight="1">
      <c r="A22" s="33">
        <v>7</v>
      </c>
      <c r="B22" s="124" t="s">
        <v>124</v>
      </c>
      <c r="C22" s="90" t="s">
        <v>54</v>
      </c>
      <c r="D22" s="124" t="s">
        <v>123</v>
      </c>
      <c r="E22" s="125">
        <v>822.72</v>
      </c>
      <c r="F22" s="126">
        <f>SUM(E22/100)</f>
        <v>8.2271999999999998</v>
      </c>
      <c r="G22" s="126">
        <v>269.26</v>
      </c>
      <c r="H22" s="127">
        <f t="shared" si="0"/>
        <v>2.2152558719999997</v>
      </c>
      <c r="I22" s="14">
        <f>F22*G22</f>
        <v>2215.2558719999997</v>
      </c>
      <c r="J22" s="26"/>
      <c r="K22" s="8"/>
      <c r="L22" s="8"/>
      <c r="M22" s="8"/>
    </row>
    <row r="23" spans="1:13" ht="15.75" hidden="1" customHeight="1">
      <c r="A23" s="33">
        <v>8</v>
      </c>
      <c r="B23" s="124" t="s">
        <v>125</v>
      </c>
      <c r="C23" s="90" t="s">
        <v>54</v>
      </c>
      <c r="D23" s="124" t="s">
        <v>123</v>
      </c>
      <c r="E23" s="128">
        <v>96.6</v>
      </c>
      <c r="F23" s="126">
        <f>SUM(E23/100)</f>
        <v>0.96599999999999997</v>
      </c>
      <c r="G23" s="126">
        <v>44.29</v>
      </c>
      <c r="H23" s="127">
        <f t="shared" si="0"/>
        <v>4.2784139999999998E-2</v>
      </c>
      <c r="I23" s="14">
        <f>F23*G23</f>
        <v>42.784140000000001</v>
      </c>
      <c r="J23" s="26"/>
      <c r="K23" s="8"/>
      <c r="L23" s="8"/>
      <c r="M23" s="8"/>
    </row>
    <row r="24" spans="1:13" ht="15.75" customHeight="1">
      <c r="A24" s="33">
        <v>6</v>
      </c>
      <c r="B24" s="124" t="s">
        <v>113</v>
      </c>
      <c r="C24" s="90" t="s">
        <v>54</v>
      </c>
      <c r="D24" s="124" t="s">
        <v>31</v>
      </c>
      <c r="E24" s="129">
        <v>32</v>
      </c>
      <c r="F24" s="126">
        <f>32*12/1000</f>
        <v>0.38400000000000001</v>
      </c>
      <c r="G24" s="126">
        <v>389.42</v>
      </c>
      <c r="H24" s="127">
        <f>G24*F24/100</f>
        <v>1.4953728000000002</v>
      </c>
      <c r="I24" s="14">
        <f>F24/12*G24</f>
        <v>12.461440000000001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124" t="s">
        <v>145</v>
      </c>
      <c r="C25" s="90" t="s">
        <v>54</v>
      </c>
      <c r="D25" s="124" t="s">
        <v>55</v>
      </c>
      <c r="E25" s="130">
        <v>38</v>
      </c>
      <c r="F25" s="126">
        <v>0.38</v>
      </c>
      <c r="G25" s="126">
        <v>216.12</v>
      </c>
      <c r="H25" s="127">
        <f>G25*F25/1000</f>
        <v>8.2125600000000007E-2</v>
      </c>
      <c r="I25" s="14">
        <f>F25*G25</f>
        <v>82.125600000000006</v>
      </c>
      <c r="J25" s="26"/>
      <c r="K25" s="8"/>
      <c r="L25" s="8"/>
      <c r="M25" s="8"/>
    </row>
    <row r="26" spans="1:13" ht="15.75" customHeight="1">
      <c r="A26" s="33">
        <v>7</v>
      </c>
      <c r="B26" s="124" t="s">
        <v>114</v>
      </c>
      <c r="C26" s="90" t="s">
        <v>54</v>
      </c>
      <c r="D26" s="124" t="s">
        <v>146</v>
      </c>
      <c r="E26" s="125">
        <v>17</v>
      </c>
      <c r="F26" s="126">
        <f>SUM(E26*12/100)</f>
        <v>2.04</v>
      </c>
      <c r="G26" s="126">
        <v>520.79999999999995</v>
      </c>
      <c r="H26" s="127">
        <f t="shared" si="0"/>
        <v>1.062432</v>
      </c>
      <c r="I26" s="14">
        <f>F26/12*G26</f>
        <v>88.536000000000001</v>
      </c>
      <c r="J26" s="26"/>
      <c r="K26" s="8"/>
      <c r="L26" s="8"/>
      <c r="M26" s="8"/>
    </row>
    <row r="27" spans="1:13" ht="15.75" customHeight="1">
      <c r="A27" s="33">
        <v>8</v>
      </c>
      <c r="B27" s="124" t="s">
        <v>69</v>
      </c>
      <c r="C27" s="90" t="s">
        <v>34</v>
      </c>
      <c r="D27" s="124" t="s">
        <v>179</v>
      </c>
      <c r="E27" s="125">
        <v>0.1</v>
      </c>
      <c r="F27" s="126">
        <f>SUM(E27*365)</f>
        <v>36.5</v>
      </c>
      <c r="G27" s="126">
        <v>147.03</v>
      </c>
      <c r="H27" s="127">
        <f t="shared" si="0"/>
        <v>5.3665950000000002</v>
      </c>
      <c r="I27" s="14">
        <f>F27/12*G27</f>
        <v>447.21625</v>
      </c>
      <c r="J27" s="26"/>
      <c r="K27" s="8"/>
      <c r="L27" s="8"/>
      <c r="M27" s="8"/>
    </row>
    <row r="28" spans="1:13" ht="15.75" customHeight="1">
      <c r="A28" s="33">
        <v>9</v>
      </c>
      <c r="B28" s="131" t="s">
        <v>23</v>
      </c>
      <c r="C28" s="90" t="s">
        <v>24</v>
      </c>
      <c r="D28" s="131" t="s">
        <v>179</v>
      </c>
      <c r="E28" s="125">
        <v>5926.8</v>
      </c>
      <c r="F28" s="126">
        <f>SUM(E28*12)</f>
        <v>71121.600000000006</v>
      </c>
      <c r="G28" s="126">
        <v>4.53</v>
      </c>
      <c r="H28" s="127">
        <f t="shared" si="0"/>
        <v>322.18084800000008</v>
      </c>
      <c r="I28" s="14">
        <f>F28/12*G28</f>
        <v>26848.404000000002</v>
      </c>
      <c r="J28" s="26"/>
      <c r="K28" s="8"/>
      <c r="L28" s="8"/>
      <c r="M28" s="8"/>
    </row>
    <row r="29" spans="1:13" ht="15.75" customHeight="1">
      <c r="A29" s="186" t="s">
        <v>93</v>
      </c>
      <c r="B29" s="186"/>
      <c r="C29" s="186"/>
      <c r="D29" s="186"/>
      <c r="E29" s="186"/>
      <c r="F29" s="186"/>
      <c r="G29" s="186"/>
      <c r="H29" s="186"/>
      <c r="I29" s="186"/>
      <c r="J29" s="26"/>
      <c r="K29" s="8"/>
      <c r="L29" s="8"/>
      <c r="M29" s="8"/>
    </row>
    <row r="30" spans="1:13" ht="15.75" customHeight="1">
      <c r="A30" s="52"/>
      <c r="B30" s="62" t="s">
        <v>29</v>
      </c>
      <c r="C30" s="62"/>
      <c r="D30" s="62"/>
      <c r="E30" s="62"/>
      <c r="F30" s="62"/>
      <c r="G30" s="62"/>
      <c r="H30" s="62"/>
      <c r="I30" s="21"/>
      <c r="J30" s="26"/>
      <c r="K30" s="8"/>
      <c r="L30" s="8"/>
      <c r="M30" s="8"/>
    </row>
    <row r="31" spans="1:13" ht="15.75" customHeight="1">
      <c r="A31" s="52">
        <v>10</v>
      </c>
      <c r="B31" s="124" t="s">
        <v>126</v>
      </c>
      <c r="C31" s="90" t="s">
        <v>127</v>
      </c>
      <c r="D31" s="124" t="s">
        <v>148</v>
      </c>
      <c r="E31" s="126">
        <v>2732.4</v>
      </c>
      <c r="F31" s="126">
        <f>SUM(E31*26/1000)</f>
        <v>71.042400000000015</v>
      </c>
      <c r="G31" s="126">
        <v>155.88999999999999</v>
      </c>
      <c r="H31" s="127">
        <f t="shared" ref="H31:H33" si="1">SUM(F31*G31/1000)</f>
        <v>11.074799736000001</v>
      </c>
      <c r="I31" s="14">
        <f>F31/6*G31</f>
        <v>1845.7999560000003</v>
      </c>
      <c r="J31" s="26"/>
      <c r="K31" s="8"/>
      <c r="L31" s="8"/>
      <c r="M31" s="8"/>
    </row>
    <row r="32" spans="1:13" ht="31.5" customHeight="1">
      <c r="A32" s="52">
        <v>11</v>
      </c>
      <c r="B32" s="124" t="s">
        <v>149</v>
      </c>
      <c r="C32" s="90" t="s">
        <v>127</v>
      </c>
      <c r="D32" s="124" t="s">
        <v>128</v>
      </c>
      <c r="E32" s="126">
        <v>547.85</v>
      </c>
      <c r="F32" s="126">
        <f>SUM(E32*78/1000)</f>
        <v>42.732300000000002</v>
      </c>
      <c r="G32" s="126">
        <v>258.63</v>
      </c>
      <c r="H32" s="127">
        <f t="shared" si="1"/>
        <v>11.051854749</v>
      </c>
      <c r="I32" s="14">
        <f t="shared" ref="I32:I35" si="2">F32/6*G32</f>
        <v>1841.9757915000002</v>
      </c>
      <c r="J32" s="26"/>
      <c r="K32" s="8"/>
      <c r="L32" s="8"/>
      <c r="M32" s="8"/>
    </row>
    <row r="33" spans="1:14" ht="15.75" hidden="1" customHeight="1">
      <c r="A33" s="52">
        <v>16</v>
      </c>
      <c r="B33" s="124" t="s">
        <v>28</v>
      </c>
      <c r="C33" s="90" t="s">
        <v>127</v>
      </c>
      <c r="D33" s="124" t="s">
        <v>55</v>
      </c>
      <c r="E33" s="126">
        <v>2732.4</v>
      </c>
      <c r="F33" s="126">
        <f>SUM(E33/1000)</f>
        <v>2.7324000000000002</v>
      </c>
      <c r="G33" s="126">
        <v>3020.33</v>
      </c>
      <c r="H33" s="127">
        <f t="shared" si="1"/>
        <v>8.2527496920000001</v>
      </c>
      <c r="I33" s="14">
        <f>F33*G33</f>
        <v>8252.7496919999994</v>
      </c>
      <c r="J33" s="26"/>
      <c r="K33" s="8"/>
      <c r="L33" s="8"/>
      <c r="M33" s="8"/>
    </row>
    <row r="34" spans="1:14" ht="15.75" customHeight="1">
      <c r="A34" s="52">
        <v>12</v>
      </c>
      <c r="B34" s="124" t="s">
        <v>147</v>
      </c>
      <c r="C34" s="90" t="s">
        <v>40</v>
      </c>
      <c r="D34" s="124" t="s">
        <v>68</v>
      </c>
      <c r="E34" s="126">
        <v>8</v>
      </c>
      <c r="F34" s="126">
        <v>12.4</v>
      </c>
      <c r="G34" s="126">
        <v>1302.02</v>
      </c>
      <c r="H34" s="127">
        <v>16.145</v>
      </c>
      <c r="I34" s="14">
        <f t="shared" si="2"/>
        <v>2690.8413333333338</v>
      </c>
      <c r="J34" s="26"/>
      <c r="K34" s="8"/>
      <c r="L34" s="8"/>
      <c r="M34" s="8"/>
    </row>
    <row r="35" spans="1:14" ht="15.75" customHeight="1">
      <c r="A35" s="52">
        <v>13</v>
      </c>
      <c r="B35" s="124" t="s">
        <v>180</v>
      </c>
      <c r="C35" s="90" t="s">
        <v>32</v>
      </c>
      <c r="D35" s="124" t="s">
        <v>68</v>
      </c>
      <c r="E35" s="132">
        <v>1</v>
      </c>
      <c r="F35" s="126">
        <v>155</v>
      </c>
      <c r="G35" s="126">
        <v>56.69</v>
      </c>
      <c r="H35" s="127">
        <f>SUM(G35*155/1000)</f>
        <v>8.7869499999999992</v>
      </c>
      <c r="I35" s="14">
        <f t="shared" si="2"/>
        <v>1464.4916666666666</v>
      </c>
      <c r="J35" s="26"/>
      <c r="K35" s="8"/>
      <c r="L35" s="8"/>
      <c r="M35" s="8"/>
    </row>
    <row r="36" spans="1:14" ht="15.75" hidden="1" customHeight="1">
      <c r="A36" s="52">
        <v>4</v>
      </c>
      <c r="B36" s="124" t="s">
        <v>70</v>
      </c>
      <c r="C36" s="90" t="s">
        <v>34</v>
      </c>
      <c r="D36" s="124" t="s">
        <v>72</v>
      </c>
      <c r="E36" s="125"/>
      <c r="F36" s="126">
        <v>2</v>
      </c>
      <c r="G36" s="126">
        <v>191.32</v>
      </c>
      <c r="H36" s="127">
        <f t="shared" ref="H36:H37" si="3">SUM(F36*G36/1000)</f>
        <v>0.38263999999999998</v>
      </c>
      <c r="I36" s="14">
        <v>0</v>
      </c>
      <c r="J36" s="26"/>
      <c r="K36" s="8"/>
    </row>
    <row r="37" spans="1:14" ht="15.75" hidden="1" customHeight="1">
      <c r="A37" s="33">
        <v>8</v>
      </c>
      <c r="B37" s="124" t="s">
        <v>71</v>
      </c>
      <c r="C37" s="90" t="s">
        <v>33</v>
      </c>
      <c r="D37" s="124" t="s">
        <v>72</v>
      </c>
      <c r="E37" s="125"/>
      <c r="F37" s="126">
        <v>3</v>
      </c>
      <c r="G37" s="126">
        <v>1136.32</v>
      </c>
      <c r="H37" s="127">
        <f t="shared" si="3"/>
        <v>3.40896</v>
      </c>
      <c r="I37" s="14">
        <v>0</v>
      </c>
      <c r="J37" s="27"/>
    </row>
    <row r="38" spans="1:14" ht="15.75" hidden="1" customHeight="1">
      <c r="A38" s="52"/>
      <c r="B38" s="60" t="s">
        <v>5</v>
      </c>
      <c r="C38" s="60"/>
      <c r="D38" s="60"/>
      <c r="E38" s="60"/>
      <c r="F38" s="14"/>
      <c r="G38" s="15"/>
      <c r="H38" s="15"/>
      <c r="I38" s="21"/>
      <c r="J38" s="27"/>
    </row>
    <row r="39" spans="1:14" ht="15.75" hidden="1" customHeight="1">
      <c r="A39" s="38">
        <v>10</v>
      </c>
      <c r="B39" s="124" t="s">
        <v>27</v>
      </c>
      <c r="C39" s="90" t="s">
        <v>33</v>
      </c>
      <c r="D39" s="124"/>
      <c r="E39" s="125"/>
      <c r="F39" s="126">
        <v>15</v>
      </c>
      <c r="G39" s="126">
        <v>1527.22</v>
      </c>
      <c r="H39" s="127">
        <f>SUM(F39*G39/1000)</f>
        <v>22.908300000000001</v>
      </c>
      <c r="I39" s="14">
        <f t="shared" ref="I39:I44" si="4">F39/6*G39</f>
        <v>3818.05</v>
      </c>
      <c r="J39" s="27"/>
    </row>
    <row r="40" spans="1:14" ht="15.75" hidden="1" customHeight="1">
      <c r="A40" s="38">
        <v>11</v>
      </c>
      <c r="B40" s="124" t="s">
        <v>73</v>
      </c>
      <c r="C40" s="90" t="s">
        <v>30</v>
      </c>
      <c r="D40" s="124" t="s">
        <v>130</v>
      </c>
      <c r="E40" s="126">
        <v>547.85</v>
      </c>
      <c r="F40" s="126">
        <f>SUM(E40*50/1000)</f>
        <v>27.392499999999998</v>
      </c>
      <c r="G40" s="126">
        <v>2102.71</v>
      </c>
      <c r="H40" s="127">
        <f t="shared" ref="H40:H44" si="5">SUM(F40*G40/1000)</f>
        <v>57.598483674999997</v>
      </c>
      <c r="I40" s="14">
        <f t="shared" si="4"/>
        <v>9599.747279166666</v>
      </c>
      <c r="J40" s="27"/>
    </row>
    <row r="41" spans="1:14" ht="15.75" hidden="1" customHeight="1">
      <c r="A41" s="38">
        <v>12</v>
      </c>
      <c r="B41" s="124" t="s">
        <v>74</v>
      </c>
      <c r="C41" s="90" t="s">
        <v>30</v>
      </c>
      <c r="D41" s="124" t="s">
        <v>131</v>
      </c>
      <c r="E41" s="126">
        <v>140</v>
      </c>
      <c r="F41" s="126">
        <f>SUM(E41*155/1000)</f>
        <v>21.7</v>
      </c>
      <c r="G41" s="126">
        <v>350.75</v>
      </c>
      <c r="H41" s="127">
        <f t="shared" si="5"/>
        <v>7.611275</v>
      </c>
      <c r="I41" s="14">
        <f t="shared" si="4"/>
        <v>1268.5458333333333</v>
      </c>
      <c r="J41" s="27"/>
    </row>
    <row r="42" spans="1:14" ht="31.5" hidden="1" customHeight="1">
      <c r="A42" s="38">
        <v>13</v>
      </c>
      <c r="B42" s="124" t="s">
        <v>88</v>
      </c>
      <c r="C42" s="90" t="s">
        <v>127</v>
      </c>
      <c r="D42" s="124" t="s">
        <v>150</v>
      </c>
      <c r="E42" s="126">
        <v>140</v>
      </c>
      <c r="F42" s="126">
        <f>SUM(E42*12/1000)</f>
        <v>1.68</v>
      </c>
      <c r="G42" s="126">
        <v>5803.28</v>
      </c>
      <c r="H42" s="127">
        <f t="shared" si="5"/>
        <v>9.7495103999999984</v>
      </c>
      <c r="I42" s="14">
        <f t="shared" si="4"/>
        <v>1624.9183999999998</v>
      </c>
      <c r="J42" s="27"/>
    </row>
    <row r="43" spans="1:14" ht="15.75" hidden="1" customHeight="1">
      <c r="A43" s="38">
        <v>14</v>
      </c>
      <c r="B43" s="124" t="s">
        <v>132</v>
      </c>
      <c r="C43" s="90" t="s">
        <v>127</v>
      </c>
      <c r="D43" s="124" t="s">
        <v>75</v>
      </c>
      <c r="E43" s="126">
        <v>140</v>
      </c>
      <c r="F43" s="126">
        <f>SUM(E43*45/1000)</f>
        <v>6.3</v>
      </c>
      <c r="G43" s="126">
        <v>428.7</v>
      </c>
      <c r="H43" s="127">
        <f t="shared" si="5"/>
        <v>2.7008100000000002</v>
      </c>
      <c r="I43" s="14">
        <f t="shared" si="4"/>
        <v>450.13499999999999</v>
      </c>
      <c r="J43" s="27"/>
    </row>
    <row r="44" spans="1:14" ht="15.75" hidden="1" customHeight="1">
      <c r="A44" s="38">
        <v>15</v>
      </c>
      <c r="B44" s="124" t="s">
        <v>76</v>
      </c>
      <c r="C44" s="90" t="s">
        <v>34</v>
      </c>
      <c r="D44" s="124"/>
      <c r="E44" s="125"/>
      <c r="F44" s="126">
        <v>0.9</v>
      </c>
      <c r="G44" s="126">
        <v>798</v>
      </c>
      <c r="H44" s="127">
        <f t="shared" si="5"/>
        <v>0.71820000000000006</v>
      </c>
      <c r="I44" s="14">
        <f t="shared" si="4"/>
        <v>119.69999999999999</v>
      </c>
      <c r="J44" s="27"/>
      <c r="L44" s="23"/>
      <c r="M44" s="24"/>
      <c r="N44" s="25"/>
    </row>
    <row r="45" spans="1:14" ht="15.75" customHeight="1">
      <c r="A45" s="187" t="s">
        <v>176</v>
      </c>
      <c r="B45" s="188"/>
      <c r="C45" s="188"/>
      <c r="D45" s="188"/>
      <c r="E45" s="188"/>
      <c r="F45" s="188"/>
      <c r="G45" s="188"/>
      <c r="H45" s="188"/>
      <c r="I45" s="189"/>
      <c r="J45" s="27"/>
      <c r="L45" s="23"/>
      <c r="M45" s="24"/>
      <c r="N45" s="25"/>
    </row>
    <row r="46" spans="1:14" ht="15.75" hidden="1" customHeight="1">
      <c r="A46" s="52">
        <v>19</v>
      </c>
      <c r="B46" s="124" t="s">
        <v>133</v>
      </c>
      <c r="C46" s="90" t="s">
        <v>127</v>
      </c>
      <c r="D46" s="124" t="s">
        <v>42</v>
      </c>
      <c r="E46" s="125">
        <v>1640.4</v>
      </c>
      <c r="F46" s="126">
        <f>SUM(E46*2/1000)</f>
        <v>3.2808000000000002</v>
      </c>
      <c r="G46" s="14">
        <v>849.49</v>
      </c>
      <c r="H46" s="127">
        <f t="shared" ref="H46:H54" si="6">SUM(F46*G46/1000)</f>
        <v>2.7870067920000001</v>
      </c>
      <c r="I46" s="14">
        <f t="shared" ref="I46:I48" si="7">F46/2*G46</f>
        <v>1393.5033960000001</v>
      </c>
      <c r="J46" s="27"/>
      <c r="L46" s="23"/>
      <c r="M46" s="24"/>
      <c r="N46" s="25"/>
    </row>
    <row r="47" spans="1:14" ht="15.75" hidden="1" customHeight="1">
      <c r="A47" s="52">
        <v>20</v>
      </c>
      <c r="B47" s="124" t="s">
        <v>35</v>
      </c>
      <c r="C47" s="90" t="s">
        <v>127</v>
      </c>
      <c r="D47" s="124" t="s">
        <v>42</v>
      </c>
      <c r="E47" s="125">
        <v>918.25</v>
      </c>
      <c r="F47" s="126">
        <f>SUM(E47*2/1000)</f>
        <v>1.8365</v>
      </c>
      <c r="G47" s="14">
        <v>579.48</v>
      </c>
      <c r="H47" s="127">
        <f t="shared" si="6"/>
        <v>1.06421502</v>
      </c>
      <c r="I47" s="14">
        <f t="shared" si="7"/>
        <v>532.10751000000005</v>
      </c>
      <c r="J47" s="27"/>
      <c r="L47" s="23"/>
      <c r="M47" s="24"/>
      <c r="N47" s="25"/>
    </row>
    <row r="48" spans="1:14" ht="15.75" hidden="1" customHeight="1">
      <c r="A48" s="52">
        <v>21</v>
      </c>
      <c r="B48" s="124" t="s">
        <v>36</v>
      </c>
      <c r="C48" s="90" t="s">
        <v>127</v>
      </c>
      <c r="D48" s="124" t="s">
        <v>42</v>
      </c>
      <c r="E48" s="125">
        <v>5592.26</v>
      </c>
      <c r="F48" s="126">
        <f>SUM(E48*2/1000)</f>
        <v>11.184520000000001</v>
      </c>
      <c r="G48" s="14">
        <v>579.48</v>
      </c>
      <c r="H48" s="127">
        <f t="shared" si="6"/>
        <v>6.4812056496000006</v>
      </c>
      <c r="I48" s="14">
        <f t="shared" si="7"/>
        <v>3240.6028248000002</v>
      </c>
      <c r="J48" s="27"/>
      <c r="L48" s="23"/>
      <c r="M48" s="24"/>
      <c r="N48" s="25"/>
    </row>
    <row r="49" spans="1:14" ht="15.75" hidden="1" customHeight="1">
      <c r="A49" s="52">
        <v>22</v>
      </c>
      <c r="B49" s="124" t="s">
        <v>37</v>
      </c>
      <c r="C49" s="90" t="s">
        <v>127</v>
      </c>
      <c r="D49" s="124" t="s">
        <v>42</v>
      </c>
      <c r="E49" s="125">
        <v>2817.65</v>
      </c>
      <c r="F49" s="126">
        <f>SUM(E49*2/1000)</f>
        <v>5.6353</v>
      </c>
      <c r="G49" s="14">
        <v>606.77</v>
      </c>
      <c r="H49" s="127">
        <f t="shared" si="6"/>
        <v>3.4193309809999999</v>
      </c>
      <c r="I49" s="14">
        <f>F49/2*G49</f>
        <v>1709.6654905</v>
      </c>
      <c r="J49" s="27"/>
      <c r="L49" s="23"/>
      <c r="M49" s="24"/>
      <c r="N49" s="25"/>
    </row>
    <row r="50" spans="1:14" ht="15.75" hidden="1" customHeight="1">
      <c r="A50" s="52">
        <v>23</v>
      </c>
      <c r="B50" s="124" t="s">
        <v>58</v>
      </c>
      <c r="C50" s="90" t="s">
        <v>127</v>
      </c>
      <c r="D50" s="124" t="s">
        <v>152</v>
      </c>
      <c r="E50" s="125">
        <v>3280.8</v>
      </c>
      <c r="F50" s="126">
        <f>SUM(E50*5/1000)</f>
        <v>16.404</v>
      </c>
      <c r="G50" s="14">
        <v>1213.55</v>
      </c>
      <c r="H50" s="127">
        <f t="shared" si="6"/>
        <v>19.9070742</v>
      </c>
      <c r="I50" s="14">
        <f>F50/5*G50</f>
        <v>3981.4148399999999</v>
      </c>
      <c r="J50" s="27"/>
      <c r="L50" s="23"/>
      <c r="M50" s="24"/>
      <c r="N50" s="25"/>
    </row>
    <row r="51" spans="1:14" ht="31.5" hidden="1" customHeight="1">
      <c r="A51" s="52">
        <v>16</v>
      </c>
      <c r="B51" s="124" t="s">
        <v>134</v>
      </c>
      <c r="C51" s="90" t="s">
        <v>127</v>
      </c>
      <c r="D51" s="124" t="s">
        <v>42</v>
      </c>
      <c r="E51" s="125">
        <v>3280.8</v>
      </c>
      <c r="F51" s="126">
        <f>SUM(E51*2/1000)</f>
        <v>6.5616000000000003</v>
      </c>
      <c r="G51" s="14">
        <v>1213.55</v>
      </c>
      <c r="H51" s="127">
        <f t="shared" si="6"/>
        <v>7.9628296799999996</v>
      </c>
      <c r="I51" s="14">
        <f>F51/2*G51</f>
        <v>3981.4148399999999</v>
      </c>
      <c r="J51" s="27"/>
      <c r="L51" s="23"/>
      <c r="M51" s="24"/>
      <c r="N51" s="25"/>
    </row>
    <row r="52" spans="1:14" ht="31.5" hidden="1" customHeight="1">
      <c r="A52" s="52">
        <v>17</v>
      </c>
      <c r="B52" s="124" t="s">
        <v>151</v>
      </c>
      <c r="C52" s="90" t="s">
        <v>38</v>
      </c>
      <c r="D52" s="124" t="s">
        <v>42</v>
      </c>
      <c r="E52" s="125">
        <v>40</v>
      </c>
      <c r="F52" s="126">
        <f>SUM(E52*2/100)</f>
        <v>0.8</v>
      </c>
      <c r="G52" s="14">
        <v>2730.49</v>
      </c>
      <c r="H52" s="127">
        <f t="shared" si="6"/>
        <v>2.1843919999999999</v>
      </c>
      <c r="I52" s="14">
        <f>F52/2*G52</f>
        <v>1092.1959999999999</v>
      </c>
      <c r="J52" s="27"/>
      <c r="L52" s="23"/>
      <c r="M52" s="24"/>
      <c r="N52" s="25"/>
    </row>
    <row r="53" spans="1:14" ht="15.75" hidden="1" customHeight="1">
      <c r="A53" s="52">
        <v>16</v>
      </c>
      <c r="B53" s="124" t="s">
        <v>39</v>
      </c>
      <c r="C53" s="90" t="s">
        <v>40</v>
      </c>
      <c r="D53" s="124" t="s">
        <v>42</v>
      </c>
      <c r="E53" s="125">
        <v>1</v>
      </c>
      <c r="F53" s="126">
        <v>0.02</v>
      </c>
      <c r="G53" s="14">
        <v>5652.13</v>
      </c>
      <c r="H53" s="127">
        <f t="shared" si="6"/>
        <v>0.11304260000000001</v>
      </c>
      <c r="I53" s="14">
        <f>F53/2*G53</f>
        <v>56.521300000000004</v>
      </c>
      <c r="J53" s="27"/>
      <c r="L53" s="23"/>
      <c r="M53" s="24"/>
      <c r="N53" s="25"/>
    </row>
    <row r="54" spans="1:14" ht="15.75" customHeight="1">
      <c r="A54" s="52">
        <v>14</v>
      </c>
      <c r="B54" s="124" t="s">
        <v>41</v>
      </c>
      <c r="C54" s="90" t="s">
        <v>135</v>
      </c>
      <c r="D54" s="124" t="s">
        <v>77</v>
      </c>
      <c r="E54" s="125">
        <v>238</v>
      </c>
      <c r="F54" s="126">
        <f>SUM(E54)*3</f>
        <v>714</v>
      </c>
      <c r="G54" s="14">
        <v>65.67</v>
      </c>
      <c r="H54" s="127">
        <f t="shared" si="6"/>
        <v>46.888380000000005</v>
      </c>
      <c r="I54" s="14">
        <f>E54*G54</f>
        <v>15629.460000000001</v>
      </c>
      <c r="J54" s="27"/>
      <c r="L54" s="23"/>
      <c r="M54" s="24"/>
      <c r="N54" s="25"/>
    </row>
    <row r="55" spans="1:14" ht="15.75" customHeight="1">
      <c r="A55" s="187" t="s">
        <v>177</v>
      </c>
      <c r="B55" s="188"/>
      <c r="C55" s="188"/>
      <c r="D55" s="188"/>
      <c r="E55" s="188"/>
      <c r="F55" s="188"/>
      <c r="G55" s="188"/>
      <c r="H55" s="188"/>
      <c r="I55" s="189"/>
      <c r="J55" s="27"/>
      <c r="L55" s="23"/>
      <c r="M55" s="24"/>
      <c r="N55" s="25"/>
    </row>
    <row r="56" spans="1:14" ht="15.75" hidden="1" customHeight="1">
      <c r="A56" s="65"/>
      <c r="B56" s="59" t="s">
        <v>43</v>
      </c>
      <c r="C56" s="18"/>
      <c r="D56" s="17"/>
      <c r="E56" s="17"/>
      <c r="F56" s="17"/>
      <c r="G56" s="33"/>
      <c r="H56" s="33"/>
      <c r="I56" s="21"/>
      <c r="J56" s="27"/>
      <c r="L56" s="23"/>
      <c r="M56" s="24"/>
      <c r="N56" s="25"/>
    </row>
    <row r="57" spans="1:14" ht="15.75" hidden="1" customHeight="1">
      <c r="A57" s="52">
        <v>15</v>
      </c>
      <c r="B57" s="124" t="s">
        <v>153</v>
      </c>
      <c r="C57" s="90" t="s">
        <v>117</v>
      </c>
      <c r="D57" s="124" t="s">
        <v>55</v>
      </c>
      <c r="E57" s="133">
        <v>1640.4</v>
      </c>
      <c r="F57" s="14">
        <f>E57/100</f>
        <v>16.404</v>
      </c>
      <c r="G57" s="126">
        <v>472.59</v>
      </c>
      <c r="H57" s="127">
        <f>SUM(F57*G57/1000)</f>
        <v>7.7523663599999999</v>
      </c>
      <c r="I57" s="14">
        <v>0</v>
      </c>
      <c r="J57" s="27"/>
      <c r="L57" s="23"/>
      <c r="M57" s="24"/>
      <c r="N57" s="25"/>
    </row>
    <row r="58" spans="1:14" ht="31.5" hidden="1" customHeight="1">
      <c r="A58" s="52">
        <v>18</v>
      </c>
      <c r="B58" s="124" t="s">
        <v>154</v>
      </c>
      <c r="C58" s="90" t="s">
        <v>117</v>
      </c>
      <c r="D58" s="124" t="s">
        <v>155</v>
      </c>
      <c r="E58" s="125">
        <v>164.04</v>
      </c>
      <c r="F58" s="14">
        <f>E58*6/100</f>
        <v>9.8423999999999996</v>
      </c>
      <c r="G58" s="134">
        <v>1547.28</v>
      </c>
      <c r="H58" s="127">
        <f>F58*G58/1000</f>
        <v>15.228948671999998</v>
      </c>
      <c r="I58" s="14">
        <f>F58/6*G58</f>
        <v>2538.1581119999996</v>
      </c>
      <c r="J58" s="27"/>
      <c r="L58" s="23"/>
      <c r="M58" s="24"/>
      <c r="N58" s="25"/>
    </row>
    <row r="59" spans="1:14" ht="15.75" hidden="1" customHeight="1">
      <c r="A59" s="52">
        <v>19</v>
      </c>
      <c r="B59" s="135" t="s">
        <v>104</v>
      </c>
      <c r="C59" s="136" t="s">
        <v>117</v>
      </c>
      <c r="D59" s="135" t="s">
        <v>156</v>
      </c>
      <c r="E59" s="137">
        <v>8</v>
      </c>
      <c r="F59" s="138">
        <f>E59*8/100</f>
        <v>0.64</v>
      </c>
      <c r="G59" s="134">
        <v>1547.28</v>
      </c>
      <c r="H59" s="139">
        <f>F59*G59/1000</f>
        <v>0.99025920000000001</v>
      </c>
      <c r="I59" s="14">
        <f>F59/6*G59</f>
        <v>165.04320000000001</v>
      </c>
      <c r="J59" s="27"/>
      <c r="L59" s="23"/>
      <c r="M59" s="24"/>
      <c r="N59" s="25"/>
    </row>
    <row r="60" spans="1:14" ht="15.75" hidden="1" customHeight="1">
      <c r="A60" s="52"/>
      <c r="B60" s="135" t="s">
        <v>109</v>
      </c>
      <c r="C60" s="136" t="s">
        <v>110</v>
      </c>
      <c r="D60" s="135" t="s">
        <v>42</v>
      </c>
      <c r="E60" s="137">
        <v>8</v>
      </c>
      <c r="F60" s="138">
        <v>16</v>
      </c>
      <c r="G60" s="140">
        <v>180.78</v>
      </c>
      <c r="H60" s="139">
        <f>F60*G60/1000</f>
        <v>2.8924799999999999</v>
      </c>
      <c r="I60" s="14">
        <v>0</v>
      </c>
      <c r="J60" s="27"/>
      <c r="L60" s="23"/>
      <c r="M60" s="24"/>
      <c r="N60" s="25"/>
    </row>
    <row r="61" spans="1:14" ht="15.75" customHeight="1">
      <c r="A61" s="52"/>
      <c r="B61" s="107" t="s">
        <v>44</v>
      </c>
      <c r="C61" s="107"/>
      <c r="D61" s="107"/>
      <c r="E61" s="107"/>
      <c r="F61" s="107"/>
      <c r="G61" s="107"/>
      <c r="H61" s="107"/>
      <c r="I61" s="42"/>
      <c r="J61" s="27"/>
      <c r="L61" s="23"/>
      <c r="M61" s="24"/>
      <c r="N61" s="25"/>
    </row>
    <row r="62" spans="1:14" ht="15.75" customHeight="1">
      <c r="A62" s="52">
        <v>15</v>
      </c>
      <c r="B62" s="135" t="s">
        <v>105</v>
      </c>
      <c r="C62" s="136" t="s">
        <v>26</v>
      </c>
      <c r="D62" s="135" t="s">
        <v>157</v>
      </c>
      <c r="E62" s="137">
        <v>329.4</v>
      </c>
      <c r="F62" s="138">
        <f>E62*12</f>
        <v>3952.7999999999997</v>
      </c>
      <c r="G62" s="141">
        <v>2.5960000000000001</v>
      </c>
      <c r="H62" s="139">
        <f>G62*F62</f>
        <v>10261.468799999999</v>
      </c>
      <c r="I62" s="14">
        <f>F62/12*G62</f>
        <v>855.12239999999997</v>
      </c>
      <c r="J62" s="27"/>
      <c r="L62" s="23"/>
      <c r="M62" s="24"/>
      <c r="N62" s="25"/>
    </row>
    <row r="63" spans="1:14" ht="15.75" hidden="1" customHeight="1">
      <c r="A63" s="52"/>
      <c r="B63" s="135" t="s">
        <v>45</v>
      </c>
      <c r="C63" s="136" t="s">
        <v>26</v>
      </c>
      <c r="D63" s="135" t="s">
        <v>55</v>
      </c>
      <c r="E63" s="137">
        <v>1640.4</v>
      </c>
      <c r="F63" s="138">
        <v>16.404</v>
      </c>
      <c r="G63" s="142">
        <v>739.61</v>
      </c>
      <c r="H63" s="139">
        <f>G63*F63/1000</f>
        <v>12.132562439999999</v>
      </c>
      <c r="I63" s="14">
        <v>0</v>
      </c>
      <c r="J63" s="27"/>
      <c r="L63" s="23"/>
      <c r="M63" s="24"/>
      <c r="N63" s="25"/>
    </row>
    <row r="64" spans="1:14" ht="15.75" customHeight="1">
      <c r="A64" s="52"/>
      <c r="B64" s="107" t="s">
        <v>46</v>
      </c>
      <c r="C64" s="18"/>
      <c r="D64" s="46"/>
      <c r="E64" s="46"/>
      <c r="F64" s="17"/>
      <c r="G64" s="33"/>
      <c r="H64" s="33"/>
      <c r="I64" s="21"/>
      <c r="J64" s="27"/>
      <c r="L64" s="23"/>
      <c r="M64" s="24"/>
      <c r="N64" s="25"/>
    </row>
    <row r="65" spans="1:22" ht="15.75" customHeight="1">
      <c r="A65" s="52">
        <v>16</v>
      </c>
      <c r="B65" s="16" t="s">
        <v>47</v>
      </c>
      <c r="C65" s="18" t="s">
        <v>135</v>
      </c>
      <c r="D65" s="16" t="s">
        <v>72</v>
      </c>
      <c r="E65" s="21">
        <v>40</v>
      </c>
      <c r="F65" s="126">
        <v>40</v>
      </c>
      <c r="G65" s="14">
        <v>222.4</v>
      </c>
      <c r="H65" s="109">
        <f t="shared" ref="H65:H72" si="8">SUM(F65*G65/1000)</f>
        <v>8.8960000000000008</v>
      </c>
      <c r="I65" s="14">
        <f>G65*13</f>
        <v>2891.2000000000003</v>
      </c>
      <c r="J65" s="27"/>
      <c r="L65" s="23"/>
      <c r="M65" s="24"/>
      <c r="N65" s="25"/>
    </row>
    <row r="66" spans="1:22" ht="15.75" hidden="1" customHeight="1">
      <c r="A66" s="33">
        <v>29</v>
      </c>
      <c r="B66" s="16" t="s">
        <v>48</v>
      </c>
      <c r="C66" s="18" t="s">
        <v>135</v>
      </c>
      <c r="D66" s="16" t="s">
        <v>72</v>
      </c>
      <c r="E66" s="21">
        <v>15</v>
      </c>
      <c r="F66" s="126">
        <v>15</v>
      </c>
      <c r="G66" s="14">
        <v>76.25</v>
      </c>
      <c r="H66" s="109">
        <f t="shared" si="8"/>
        <v>1.14375</v>
      </c>
      <c r="I66" s="14">
        <v>0</v>
      </c>
      <c r="J66" s="27"/>
      <c r="L66" s="23"/>
      <c r="M66" s="24"/>
      <c r="N66" s="25"/>
    </row>
    <row r="67" spans="1:22" ht="15.75" hidden="1" customHeight="1">
      <c r="A67" s="33">
        <v>26</v>
      </c>
      <c r="B67" s="16" t="s">
        <v>49</v>
      </c>
      <c r="C67" s="18" t="s">
        <v>136</v>
      </c>
      <c r="D67" s="16" t="s">
        <v>55</v>
      </c>
      <c r="E67" s="125">
        <v>24648</v>
      </c>
      <c r="F67" s="14">
        <f>SUM(E67/100)</f>
        <v>246.48</v>
      </c>
      <c r="G67" s="14">
        <v>212.15</v>
      </c>
      <c r="H67" s="109">
        <f t="shared" si="8"/>
        <v>52.290731999999998</v>
      </c>
      <c r="I67" s="14">
        <f>F67*G67</f>
        <v>52290.731999999996</v>
      </c>
      <c r="J67" s="27"/>
      <c r="L67" s="23"/>
      <c r="M67" s="24"/>
      <c r="N67" s="25"/>
    </row>
    <row r="68" spans="1:22" ht="15.75" hidden="1" customHeight="1">
      <c r="A68" s="33">
        <v>27</v>
      </c>
      <c r="B68" s="16" t="s">
        <v>50</v>
      </c>
      <c r="C68" s="18" t="s">
        <v>137</v>
      </c>
      <c r="D68" s="16"/>
      <c r="E68" s="125">
        <v>24648</v>
      </c>
      <c r="F68" s="14">
        <f>SUM(E68/1000)</f>
        <v>24.648</v>
      </c>
      <c r="G68" s="14">
        <v>165.21</v>
      </c>
      <c r="H68" s="109">
        <f t="shared" si="8"/>
        <v>4.0720960800000006</v>
      </c>
      <c r="I68" s="14">
        <f t="shared" ref="I68:I71" si="9">F68*G68</f>
        <v>4072.0960800000003</v>
      </c>
      <c r="J68" s="27"/>
      <c r="L68" s="23"/>
      <c r="M68" s="24"/>
      <c r="N68" s="25"/>
    </row>
    <row r="69" spans="1:22" ht="15.75" hidden="1" customHeight="1">
      <c r="A69" s="33">
        <v>28</v>
      </c>
      <c r="B69" s="16" t="s">
        <v>51</v>
      </c>
      <c r="C69" s="18" t="s">
        <v>81</v>
      </c>
      <c r="D69" s="16" t="s">
        <v>55</v>
      </c>
      <c r="E69" s="125">
        <v>2730</v>
      </c>
      <c r="F69" s="14">
        <f>SUM(E69/100)</f>
        <v>27.3</v>
      </c>
      <c r="G69" s="14">
        <v>2074.63</v>
      </c>
      <c r="H69" s="109">
        <f t="shared" si="8"/>
        <v>56.637399000000002</v>
      </c>
      <c r="I69" s="14">
        <f t="shared" si="9"/>
        <v>56637.399000000005</v>
      </c>
      <c r="J69" s="27"/>
      <c r="L69" s="23"/>
    </row>
    <row r="70" spans="1:22" ht="15.75" hidden="1" customHeight="1">
      <c r="A70" s="33">
        <v>29</v>
      </c>
      <c r="B70" s="145" t="s">
        <v>138</v>
      </c>
      <c r="C70" s="18" t="s">
        <v>34</v>
      </c>
      <c r="D70" s="16"/>
      <c r="E70" s="125">
        <v>20.28</v>
      </c>
      <c r="F70" s="14">
        <f>SUM(E70)</f>
        <v>20.28</v>
      </c>
      <c r="G70" s="14">
        <v>45.32</v>
      </c>
      <c r="H70" s="109">
        <f t="shared" si="8"/>
        <v>0.91908960000000006</v>
      </c>
      <c r="I70" s="14">
        <f t="shared" si="9"/>
        <v>919.08960000000002</v>
      </c>
    </row>
    <row r="71" spans="1:22" ht="15.75" hidden="1" customHeight="1">
      <c r="A71" s="33">
        <v>30</v>
      </c>
      <c r="B71" s="145" t="s">
        <v>181</v>
      </c>
      <c r="C71" s="18" t="s">
        <v>34</v>
      </c>
      <c r="D71" s="16"/>
      <c r="E71" s="125">
        <v>20.28</v>
      </c>
      <c r="F71" s="14">
        <f>SUM(E71)</f>
        <v>20.28</v>
      </c>
      <c r="G71" s="14">
        <v>42.28</v>
      </c>
      <c r="H71" s="109">
        <f t="shared" si="8"/>
        <v>0.85743840000000016</v>
      </c>
      <c r="I71" s="14">
        <f t="shared" si="9"/>
        <v>857.43840000000012</v>
      </c>
    </row>
    <row r="72" spans="1:22" ht="15.75" hidden="1" customHeight="1">
      <c r="A72" s="33">
        <v>13</v>
      </c>
      <c r="B72" s="16" t="s">
        <v>59</v>
      </c>
      <c r="C72" s="18" t="s">
        <v>60</v>
      </c>
      <c r="D72" s="16" t="s">
        <v>55</v>
      </c>
      <c r="E72" s="21">
        <v>12</v>
      </c>
      <c r="F72" s="126">
        <f>SUM(E72)</f>
        <v>12</v>
      </c>
      <c r="G72" s="14">
        <v>49.88</v>
      </c>
      <c r="H72" s="109">
        <f t="shared" si="8"/>
        <v>0.59856000000000009</v>
      </c>
      <c r="I72" s="14">
        <v>0</v>
      </c>
    </row>
    <row r="73" spans="1:22" ht="15.75" customHeight="1">
      <c r="A73" s="65"/>
      <c r="B73" s="107" t="s">
        <v>140</v>
      </c>
      <c r="C73" s="107"/>
      <c r="D73" s="107"/>
      <c r="E73" s="107"/>
      <c r="F73" s="107"/>
      <c r="G73" s="107"/>
      <c r="H73" s="107"/>
      <c r="I73" s="21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9"/>
    </row>
    <row r="74" spans="1:22" ht="15.75" customHeight="1">
      <c r="A74" s="33">
        <v>17</v>
      </c>
      <c r="B74" s="124" t="s">
        <v>141</v>
      </c>
      <c r="C74" s="18"/>
      <c r="D74" s="16"/>
      <c r="E74" s="115"/>
      <c r="F74" s="14">
        <v>1</v>
      </c>
      <c r="G74" s="14">
        <v>27356</v>
      </c>
      <c r="H74" s="109">
        <f>G74*F74/1000</f>
        <v>27.356000000000002</v>
      </c>
      <c r="I74" s="14">
        <v>10890.14</v>
      </c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33"/>
      <c r="B75" s="60" t="s">
        <v>78</v>
      </c>
      <c r="C75" s="60"/>
      <c r="D75" s="60"/>
      <c r="E75" s="60"/>
      <c r="F75" s="21"/>
      <c r="G75" s="33"/>
      <c r="H75" s="33"/>
      <c r="I75" s="21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33"/>
      <c r="B76" s="16" t="s">
        <v>97</v>
      </c>
      <c r="C76" s="18" t="s">
        <v>32</v>
      </c>
      <c r="D76" s="16"/>
      <c r="E76" s="21">
        <v>2</v>
      </c>
      <c r="F76" s="126">
        <f>SUM(E76)</f>
        <v>2</v>
      </c>
      <c r="G76" s="14">
        <v>358.51</v>
      </c>
      <c r="H76" s="109">
        <f>SUM(F76*G76/1000)</f>
        <v>0.71701999999999999</v>
      </c>
      <c r="I76" s="14">
        <v>0</v>
      </c>
      <c r="J76" s="5"/>
      <c r="K76" s="5"/>
      <c r="L76" s="5"/>
      <c r="M76" s="5"/>
      <c r="N76" s="5"/>
      <c r="O76" s="5"/>
      <c r="P76" s="5"/>
      <c r="Q76" s="5"/>
      <c r="R76" s="180"/>
      <c r="S76" s="180"/>
      <c r="T76" s="180"/>
      <c r="U76" s="180"/>
    </row>
    <row r="77" spans="1:22" ht="15.75" hidden="1" customHeight="1">
      <c r="A77" s="33"/>
      <c r="B77" s="16" t="s">
        <v>79</v>
      </c>
      <c r="C77" s="18" t="s">
        <v>32</v>
      </c>
      <c r="D77" s="16"/>
      <c r="E77" s="21">
        <v>1</v>
      </c>
      <c r="F77" s="14">
        <v>1</v>
      </c>
      <c r="G77" s="14">
        <v>852.99</v>
      </c>
      <c r="H77" s="109">
        <f>F77*G77/1000</f>
        <v>0.85299000000000003</v>
      </c>
      <c r="I77" s="14">
        <v>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2" ht="15.75" hidden="1" customHeight="1">
      <c r="A78" s="33"/>
      <c r="B78" s="61" t="s">
        <v>80</v>
      </c>
      <c r="C78" s="47"/>
      <c r="D78" s="33"/>
      <c r="E78" s="33"/>
      <c r="F78" s="21"/>
      <c r="G78" s="43" t="s">
        <v>158</v>
      </c>
      <c r="H78" s="43"/>
      <c r="I78" s="21"/>
    </row>
    <row r="79" spans="1:22" ht="15.75" hidden="1" customHeight="1">
      <c r="A79" s="33">
        <v>39</v>
      </c>
      <c r="B79" s="63" t="s">
        <v>142</v>
      </c>
      <c r="C79" s="18" t="s">
        <v>81</v>
      </c>
      <c r="D79" s="16"/>
      <c r="E79" s="21"/>
      <c r="F79" s="14">
        <v>1.35</v>
      </c>
      <c r="G79" s="14">
        <v>2759.44</v>
      </c>
      <c r="H79" s="109">
        <f>SUM(F79*G79/1000)</f>
        <v>3.725244</v>
      </c>
      <c r="I79" s="14">
        <v>0</v>
      </c>
    </row>
    <row r="80" spans="1:22" ht="15.75" customHeight="1">
      <c r="A80" s="171" t="s">
        <v>178</v>
      </c>
      <c r="B80" s="172"/>
      <c r="C80" s="172"/>
      <c r="D80" s="172"/>
      <c r="E80" s="172"/>
      <c r="F80" s="172"/>
      <c r="G80" s="172"/>
      <c r="H80" s="172"/>
      <c r="I80" s="173"/>
    </row>
    <row r="81" spans="1:9" ht="15.75" customHeight="1">
      <c r="A81" s="33">
        <v>18</v>
      </c>
      <c r="B81" s="124" t="s">
        <v>143</v>
      </c>
      <c r="C81" s="18" t="s">
        <v>56</v>
      </c>
      <c r="D81" s="147" t="s">
        <v>57</v>
      </c>
      <c r="E81" s="14">
        <v>5926.8</v>
      </c>
      <c r="F81" s="14">
        <f>SUM(E81*12)</f>
        <v>71121.600000000006</v>
      </c>
      <c r="G81" s="14">
        <v>2.1</v>
      </c>
      <c r="H81" s="109">
        <f>SUM(F81*G81/1000)</f>
        <v>149.35536000000002</v>
      </c>
      <c r="I81" s="14">
        <f>F81/12*G81</f>
        <v>12446.28</v>
      </c>
    </row>
    <row r="82" spans="1:9" ht="31.5" customHeight="1">
      <c r="A82" s="33">
        <v>19</v>
      </c>
      <c r="B82" s="16" t="s">
        <v>82</v>
      </c>
      <c r="C82" s="18"/>
      <c r="D82" s="147" t="s">
        <v>57</v>
      </c>
      <c r="E82" s="125">
        <v>5926.8</v>
      </c>
      <c r="F82" s="14">
        <f>E82*12</f>
        <v>71121.600000000006</v>
      </c>
      <c r="G82" s="14">
        <v>1.63</v>
      </c>
      <c r="H82" s="109">
        <f>F82*G82/1000</f>
        <v>115.928208</v>
      </c>
      <c r="I82" s="14">
        <f>F82/12*G82</f>
        <v>9660.6839999999993</v>
      </c>
    </row>
    <row r="83" spans="1:9" ht="15.75" customHeight="1">
      <c r="A83" s="65"/>
      <c r="B83" s="50" t="s">
        <v>85</v>
      </c>
      <c r="C83" s="52"/>
      <c r="D83" s="17"/>
      <c r="E83" s="17"/>
      <c r="F83" s="17"/>
      <c r="G83" s="21"/>
      <c r="H83" s="21"/>
      <c r="I83" s="35">
        <f>SUM(I16+I17+I18+I20+I21+I24+I26+I27+I28+I31+I32+I34+I35+I54+I62+I65+I74+I81+I82)</f>
        <v>109274.15035349999</v>
      </c>
    </row>
    <row r="84" spans="1:9" ht="15.75" customHeight="1">
      <c r="A84" s="174" t="s">
        <v>63</v>
      </c>
      <c r="B84" s="175"/>
      <c r="C84" s="175"/>
      <c r="D84" s="175"/>
      <c r="E84" s="175"/>
      <c r="F84" s="175"/>
      <c r="G84" s="175"/>
      <c r="H84" s="175"/>
      <c r="I84" s="176"/>
    </row>
    <row r="85" spans="1:9" ht="31.5" customHeight="1">
      <c r="A85" s="33">
        <v>20</v>
      </c>
      <c r="B85" s="69" t="s">
        <v>161</v>
      </c>
      <c r="C85" s="84" t="s">
        <v>38</v>
      </c>
      <c r="D85" s="63"/>
      <c r="E85" s="14"/>
      <c r="F85" s="14">
        <v>7.0000000000000007E-2</v>
      </c>
      <c r="G85" s="14">
        <v>3581.13</v>
      </c>
      <c r="H85" s="109">
        <f t="shared" ref="H85" si="10">G85*F85/1000</f>
        <v>0.25067910000000004</v>
      </c>
      <c r="I85" s="14">
        <f>G85*0.03</f>
        <v>107.43389999999999</v>
      </c>
    </row>
    <row r="86" spans="1:9" ht="15.75" customHeight="1">
      <c r="A86" s="33">
        <v>21</v>
      </c>
      <c r="B86" s="69" t="s">
        <v>111</v>
      </c>
      <c r="C86" s="84" t="s">
        <v>135</v>
      </c>
      <c r="D86" s="63"/>
      <c r="E86" s="14"/>
      <c r="F86" s="14">
        <v>968</v>
      </c>
      <c r="G86" s="14">
        <v>53.42</v>
      </c>
      <c r="H86" s="109">
        <f>G86*F86/1000</f>
        <v>51.710560000000008</v>
      </c>
      <c r="I86" s="14">
        <f>G86*121</f>
        <v>6463.8200000000006</v>
      </c>
    </row>
    <row r="87" spans="1:9" ht="31.5" customHeight="1">
      <c r="A87" s="33">
        <v>22</v>
      </c>
      <c r="B87" s="69" t="s">
        <v>163</v>
      </c>
      <c r="C87" s="84" t="s">
        <v>86</v>
      </c>
      <c r="D87" s="63"/>
      <c r="E87" s="14"/>
      <c r="F87" s="14">
        <v>27.5</v>
      </c>
      <c r="G87" s="14">
        <v>1187</v>
      </c>
      <c r="H87" s="109">
        <f>G87*F87/1000</f>
        <v>32.642499999999998</v>
      </c>
      <c r="I87" s="14">
        <f>G87*4</f>
        <v>4748</v>
      </c>
    </row>
    <row r="88" spans="1:9" ht="15.75" customHeight="1">
      <c r="A88" s="33">
        <v>23</v>
      </c>
      <c r="B88" s="149" t="s">
        <v>190</v>
      </c>
      <c r="C88" s="150" t="s">
        <v>100</v>
      </c>
      <c r="D88" s="82"/>
      <c r="E88" s="43"/>
      <c r="F88" s="43">
        <f>60/3</f>
        <v>20</v>
      </c>
      <c r="G88" s="43">
        <v>1120.8900000000001</v>
      </c>
      <c r="H88" s="146">
        <f>G88*F88/1000</f>
        <v>22.417800000000003</v>
      </c>
      <c r="I88" s="14">
        <f>G88*((7+20+15)/3)</f>
        <v>15692.460000000001</v>
      </c>
    </row>
    <row r="89" spans="1:9" ht="15.75" customHeight="1">
      <c r="A89" s="33">
        <v>24</v>
      </c>
      <c r="B89" s="69" t="s">
        <v>208</v>
      </c>
      <c r="C89" s="89" t="s">
        <v>209</v>
      </c>
      <c r="D89" s="82"/>
      <c r="E89" s="43"/>
      <c r="F89" s="43">
        <v>8</v>
      </c>
      <c r="G89" s="43">
        <v>294.45</v>
      </c>
      <c r="H89" s="146">
        <f>G89*F89/1000</f>
        <v>2.3555999999999999</v>
      </c>
      <c r="I89" s="14">
        <f>G89*2</f>
        <v>588.9</v>
      </c>
    </row>
    <row r="90" spans="1:9" ht="15.75" customHeight="1">
      <c r="A90" s="33">
        <v>25</v>
      </c>
      <c r="B90" s="69" t="s">
        <v>219</v>
      </c>
      <c r="C90" s="84" t="s">
        <v>101</v>
      </c>
      <c r="D90" s="82"/>
      <c r="E90" s="43"/>
      <c r="F90" s="43">
        <v>2</v>
      </c>
      <c r="G90" s="43">
        <v>333</v>
      </c>
      <c r="H90" s="146">
        <f t="shared" ref="H90:H93" si="11">G90*F90/1000</f>
        <v>0.66600000000000004</v>
      </c>
      <c r="I90" s="14">
        <f>G90*2</f>
        <v>666</v>
      </c>
    </row>
    <row r="91" spans="1:9" ht="15.75" customHeight="1">
      <c r="A91" s="33">
        <v>26</v>
      </c>
      <c r="B91" s="69" t="s">
        <v>220</v>
      </c>
      <c r="C91" s="84" t="s">
        <v>101</v>
      </c>
      <c r="D91" s="82"/>
      <c r="E91" s="43"/>
      <c r="F91" s="43">
        <v>2</v>
      </c>
      <c r="G91" s="43">
        <v>290</v>
      </c>
      <c r="H91" s="146">
        <f t="shared" si="11"/>
        <v>0.57999999999999996</v>
      </c>
      <c r="I91" s="14">
        <f t="shared" ref="I91" si="12">G91*2</f>
        <v>580</v>
      </c>
    </row>
    <row r="92" spans="1:9" ht="31.5" customHeight="1">
      <c r="A92" s="33">
        <v>27</v>
      </c>
      <c r="B92" s="69" t="s">
        <v>164</v>
      </c>
      <c r="C92" s="84" t="s">
        <v>86</v>
      </c>
      <c r="D92" s="63"/>
      <c r="E92" s="43"/>
      <c r="F92" s="43">
        <v>16</v>
      </c>
      <c r="G92" s="43">
        <v>1272</v>
      </c>
      <c r="H92" s="146">
        <f t="shared" si="11"/>
        <v>20.352</v>
      </c>
      <c r="I92" s="14">
        <f>G92*16</f>
        <v>20352</v>
      </c>
    </row>
    <row r="93" spans="1:9" ht="31.5" customHeight="1">
      <c r="A93" s="33">
        <v>28</v>
      </c>
      <c r="B93" s="69" t="s">
        <v>216</v>
      </c>
      <c r="C93" s="84" t="s">
        <v>115</v>
      </c>
      <c r="D93" s="82"/>
      <c r="E93" s="43"/>
      <c r="F93" s="43">
        <v>2</v>
      </c>
      <c r="G93" s="43">
        <v>54.17</v>
      </c>
      <c r="H93" s="146">
        <f t="shared" si="11"/>
        <v>0.10834000000000001</v>
      </c>
      <c r="I93" s="14">
        <f>G93</f>
        <v>54.17</v>
      </c>
    </row>
    <row r="94" spans="1:9" ht="47.25" customHeight="1">
      <c r="A94" s="33">
        <v>29</v>
      </c>
      <c r="B94" s="152" t="s">
        <v>217</v>
      </c>
      <c r="C94" s="153" t="s">
        <v>106</v>
      </c>
      <c r="D94" s="82"/>
      <c r="E94" s="43"/>
      <c r="F94" s="43">
        <f>1/10</f>
        <v>0.1</v>
      </c>
      <c r="G94" s="43">
        <v>9833.11</v>
      </c>
      <c r="H94" s="146">
        <f>G94*F94/1000</f>
        <v>0.98331100000000016</v>
      </c>
      <c r="I94" s="14">
        <f>G94*0.1</f>
        <v>983.31100000000015</v>
      </c>
    </row>
    <row r="95" spans="1:9" ht="47.25" customHeight="1">
      <c r="A95" s="33">
        <v>30</v>
      </c>
      <c r="B95" s="152" t="s">
        <v>218</v>
      </c>
      <c r="C95" s="153" t="s">
        <v>106</v>
      </c>
      <c r="D95" s="82"/>
      <c r="E95" s="43"/>
      <c r="F95" s="43">
        <f>40/10</f>
        <v>4</v>
      </c>
      <c r="G95" s="43">
        <v>2166.5300000000002</v>
      </c>
      <c r="H95" s="146">
        <f t="shared" ref="H95" si="13">G95*F95/1000</f>
        <v>8.6661200000000012</v>
      </c>
      <c r="I95" s="14">
        <f>G95*4</f>
        <v>8666.1200000000008</v>
      </c>
    </row>
    <row r="96" spans="1:9" ht="15.75" customHeight="1">
      <c r="A96" s="33">
        <v>31</v>
      </c>
      <c r="B96" s="63" t="s">
        <v>96</v>
      </c>
      <c r="C96" s="18" t="s">
        <v>112</v>
      </c>
      <c r="D96" s="82"/>
      <c r="E96" s="43"/>
      <c r="F96" s="43">
        <v>1</v>
      </c>
      <c r="G96" s="43">
        <v>1582</v>
      </c>
      <c r="H96" s="146">
        <f>G96*F96/1000</f>
        <v>1.5820000000000001</v>
      </c>
      <c r="I96" s="14">
        <f>G96</f>
        <v>1582</v>
      </c>
    </row>
    <row r="97" spans="1:9" ht="15.75" customHeight="1">
      <c r="A97" s="33"/>
      <c r="B97" s="57" t="s">
        <v>52</v>
      </c>
      <c r="C97" s="53"/>
      <c r="D97" s="67"/>
      <c r="E97" s="67"/>
      <c r="F97" s="53">
        <v>1</v>
      </c>
      <c r="G97" s="53"/>
      <c r="H97" s="53"/>
      <c r="I97" s="35">
        <f>SUM(I85:I96)</f>
        <v>60484.214900000006</v>
      </c>
    </row>
    <row r="98" spans="1:9" ht="15.75" customHeight="1">
      <c r="A98" s="33"/>
      <c r="B98" s="63" t="s">
        <v>83</v>
      </c>
      <c r="C98" s="17"/>
      <c r="D98" s="17"/>
      <c r="E98" s="17"/>
      <c r="F98" s="54"/>
      <c r="G98" s="55"/>
      <c r="H98" s="55"/>
      <c r="I98" s="20">
        <v>0</v>
      </c>
    </row>
    <row r="99" spans="1:9" ht="15.75" customHeight="1">
      <c r="A99" s="68"/>
      <c r="B99" s="58" t="s">
        <v>182</v>
      </c>
      <c r="C99" s="41"/>
      <c r="D99" s="41"/>
      <c r="E99" s="41"/>
      <c r="F99" s="41"/>
      <c r="G99" s="41"/>
      <c r="H99" s="41"/>
      <c r="I99" s="56">
        <f>I83+I97</f>
        <v>169758.3652535</v>
      </c>
    </row>
    <row r="100" spans="1:9" ht="15.75" customHeight="1">
      <c r="A100" s="190" t="s">
        <v>245</v>
      </c>
      <c r="B100" s="190"/>
      <c r="C100" s="190"/>
      <c r="D100" s="190"/>
      <c r="E100" s="190"/>
      <c r="F100" s="190"/>
      <c r="G100" s="190"/>
      <c r="H100" s="190"/>
      <c r="I100" s="190"/>
    </row>
    <row r="101" spans="1:9" ht="15.75" customHeight="1">
      <c r="A101" s="108"/>
      <c r="B101" s="182" t="s">
        <v>246</v>
      </c>
      <c r="C101" s="182"/>
      <c r="D101" s="182"/>
      <c r="E101" s="182"/>
      <c r="F101" s="182"/>
      <c r="G101" s="182"/>
      <c r="H101" s="123"/>
      <c r="I101" s="3"/>
    </row>
    <row r="102" spans="1:9" ht="15.75" customHeight="1">
      <c r="A102" s="103"/>
      <c r="B102" s="178" t="s">
        <v>6</v>
      </c>
      <c r="C102" s="178"/>
      <c r="D102" s="178"/>
      <c r="E102" s="178"/>
      <c r="F102" s="178"/>
      <c r="G102" s="178"/>
      <c r="H102" s="28"/>
      <c r="I102" s="5"/>
    </row>
    <row r="103" spans="1:9" ht="15.75" customHeight="1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 customHeight="1">
      <c r="A104" s="183" t="s">
        <v>7</v>
      </c>
      <c r="B104" s="183"/>
      <c r="C104" s="183"/>
      <c r="D104" s="183"/>
      <c r="E104" s="183"/>
      <c r="F104" s="183"/>
      <c r="G104" s="183"/>
      <c r="H104" s="183"/>
      <c r="I104" s="183"/>
    </row>
    <row r="105" spans="1:9" ht="15.75" customHeight="1">
      <c r="A105" s="183" t="s">
        <v>8</v>
      </c>
      <c r="B105" s="183"/>
      <c r="C105" s="183"/>
      <c r="D105" s="183"/>
      <c r="E105" s="183"/>
      <c r="F105" s="183"/>
      <c r="G105" s="183"/>
      <c r="H105" s="183"/>
      <c r="I105" s="183"/>
    </row>
    <row r="106" spans="1:9" ht="15.75" customHeight="1">
      <c r="A106" s="184" t="s">
        <v>65</v>
      </c>
      <c r="B106" s="184"/>
      <c r="C106" s="184"/>
      <c r="D106" s="184"/>
      <c r="E106" s="184"/>
      <c r="F106" s="184"/>
      <c r="G106" s="184"/>
      <c r="H106" s="184"/>
      <c r="I106" s="184"/>
    </row>
    <row r="107" spans="1:9" ht="15.75" customHeight="1">
      <c r="A107" s="11"/>
    </row>
    <row r="108" spans="1:9" ht="15.75" customHeight="1">
      <c r="A108" s="185" t="s">
        <v>9</v>
      </c>
      <c r="B108" s="185"/>
      <c r="C108" s="185"/>
      <c r="D108" s="185"/>
      <c r="E108" s="185"/>
      <c r="F108" s="185"/>
      <c r="G108" s="185"/>
      <c r="H108" s="185"/>
      <c r="I108" s="185"/>
    </row>
    <row r="109" spans="1:9" ht="15.75" customHeight="1">
      <c r="A109" s="4"/>
    </row>
    <row r="110" spans="1:9" ht="15.75" customHeight="1">
      <c r="B110" s="102" t="s">
        <v>10</v>
      </c>
      <c r="C110" s="177" t="s">
        <v>99</v>
      </c>
      <c r="D110" s="177"/>
      <c r="E110" s="177"/>
      <c r="F110" s="177"/>
      <c r="I110" s="105"/>
    </row>
    <row r="111" spans="1:9" ht="15.75" customHeight="1">
      <c r="A111" s="103"/>
      <c r="C111" s="178" t="s">
        <v>11</v>
      </c>
      <c r="D111" s="178"/>
      <c r="E111" s="178"/>
      <c r="F111" s="178"/>
      <c r="I111" s="104" t="s">
        <v>12</v>
      </c>
    </row>
    <row r="112" spans="1:9" ht="15.75" customHeight="1">
      <c r="A112" s="29"/>
      <c r="C112" s="12"/>
      <c r="D112" s="12"/>
      <c r="E112" s="12"/>
      <c r="G112" s="12"/>
      <c r="H112" s="12"/>
    </row>
    <row r="113" spans="1:9" ht="15.75" customHeight="1">
      <c r="B113" s="102" t="s">
        <v>13</v>
      </c>
      <c r="C113" s="179"/>
      <c r="D113" s="179"/>
      <c r="E113" s="179"/>
      <c r="F113" s="179"/>
      <c r="I113" s="105"/>
    </row>
    <row r="114" spans="1:9" ht="15.75" customHeight="1">
      <c r="A114" s="103"/>
      <c r="C114" s="180" t="s">
        <v>11</v>
      </c>
      <c r="D114" s="180"/>
      <c r="E114" s="180"/>
      <c r="F114" s="180"/>
      <c r="I114" s="104" t="s">
        <v>12</v>
      </c>
    </row>
    <row r="115" spans="1:9" ht="15.75" customHeight="1">
      <c r="A115" s="4" t="s">
        <v>14</v>
      </c>
    </row>
    <row r="116" spans="1:9">
      <c r="A116" s="181" t="s">
        <v>15</v>
      </c>
      <c r="B116" s="181"/>
      <c r="C116" s="181"/>
      <c r="D116" s="181"/>
      <c r="E116" s="181"/>
      <c r="F116" s="181"/>
      <c r="G116" s="181"/>
      <c r="H116" s="181"/>
      <c r="I116" s="181"/>
    </row>
    <row r="117" spans="1:9" ht="45" customHeight="1">
      <c r="A117" s="170" t="s">
        <v>16</v>
      </c>
      <c r="B117" s="170"/>
      <c r="C117" s="170"/>
      <c r="D117" s="170"/>
      <c r="E117" s="170"/>
      <c r="F117" s="170"/>
      <c r="G117" s="170"/>
      <c r="H117" s="170"/>
      <c r="I117" s="170"/>
    </row>
    <row r="118" spans="1:9" ht="30" customHeight="1">
      <c r="A118" s="170" t="s">
        <v>17</v>
      </c>
      <c r="B118" s="170"/>
      <c r="C118" s="170"/>
      <c r="D118" s="170"/>
      <c r="E118" s="170"/>
      <c r="F118" s="170"/>
      <c r="G118" s="170"/>
      <c r="H118" s="170"/>
      <c r="I118" s="170"/>
    </row>
    <row r="119" spans="1:9" ht="30" customHeight="1">
      <c r="A119" s="170" t="s">
        <v>21</v>
      </c>
      <c r="B119" s="170"/>
      <c r="C119" s="170"/>
      <c r="D119" s="170"/>
      <c r="E119" s="170"/>
      <c r="F119" s="170"/>
      <c r="G119" s="170"/>
      <c r="H119" s="170"/>
      <c r="I119" s="170"/>
    </row>
    <row r="120" spans="1:9" ht="15" customHeight="1">
      <c r="A120" s="170" t="s">
        <v>20</v>
      </c>
      <c r="B120" s="170"/>
      <c r="C120" s="170"/>
      <c r="D120" s="170"/>
      <c r="E120" s="170"/>
      <c r="F120" s="170"/>
      <c r="G120" s="170"/>
      <c r="H120" s="170"/>
      <c r="I120" s="170"/>
    </row>
  </sheetData>
  <autoFilter ref="I12:I71"/>
  <mergeCells count="29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6:U76"/>
    <mergeCell ref="C114:F114"/>
    <mergeCell ref="A84:I84"/>
    <mergeCell ref="A100:I100"/>
    <mergeCell ref="B101:G101"/>
    <mergeCell ref="B102:G102"/>
    <mergeCell ref="A104:I104"/>
    <mergeCell ref="A105:I105"/>
    <mergeCell ref="A106:I106"/>
    <mergeCell ref="A108:I108"/>
    <mergeCell ref="C110:F110"/>
    <mergeCell ref="C111:F111"/>
    <mergeCell ref="C113:F113"/>
    <mergeCell ref="A80:I80"/>
    <mergeCell ref="A116:I116"/>
    <mergeCell ref="A117:I117"/>
    <mergeCell ref="A118:I118"/>
    <mergeCell ref="A119:I119"/>
    <mergeCell ref="A120:I12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7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94</v>
      </c>
      <c r="I1" s="30"/>
      <c r="J1" s="1"/>
      <c r="K1" s="1"/>
      <c r="L1" s="1"/>
      <c r="M1" s="1"/>
    </row>
    <row r="2" spans="1:13" ht="15.75" customHeight="1">
      <c r="A2" s="32" t="s">
        <v>67</v>
      </c>
      <c r="J2" s="2"/>
      <c r="K2" s="2"/>
      <c r="L2" s="2"/>
      <c r="M2" s="2"/>
    </row>
    <row r="3" spans="1:13" ht="15.75" customHeight="1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  <c r="K3" s="3"/>
      <c r="L3" s="3"/>
    </row>
    <row r="4" spans="1:13" ht="31.5" customHeight="1">
      <c r="A4" s="192" t="s">
        <v>144</v>
      </c>
      <c r="B4" s="192"/>
      <c r="C4" s="192"/>
      <c r="D4" s="192"/>
      <c r="E4" s="192"/>
      <c r="F4" s="192"/>
      <c r="G4" s="192"/>
      <c r="H4" s="192"/>
      <c r="I4" s="192"/>
    </row>
    <row r="5" spans="1:13" ht="15.75" customHeight="1">
      <c r="A5" s="191" t="s">
        <v>222</v>
      </c>
      <c r="B5" s="193"/>
      <c r="C5" s="193"/>
      <c r="D5" s="193"/>
      <c r="E5" s="193"/>
      <c r="F5" s="193"/>
      <c r="G5" s="193"/>
      <c r="H5" s="193"/>
      <c r="I5" s="193"/>
      <c r="J5" s="2"/>
      <c r="K5" s="2"/>
      <c r="L5" s="2"/>
      <c r="M5" s="2"/>
    </row>
    <row r="6" spans="1:13" ht="15.75" customHeight="1">
      <c r="A6" s="2"/>
      <c r="B6" s="106"/>
      <c r="C6" s="106"/>
      <c r="D6" s="106"/>
      <c r="E6" s="106"/>
      <c r="F6" s="106"/>
      <c r="G6" s="106"/>
      <c r="H6" s="106"/>
      <c r="I6" s="34">
        <v>42947</v>
      </c>
      <c r="J6" s="2"/>
      <c r="K6" s="2"/>
      <c r="L6" s="2"/>
      <c r="M6" s="2"/>
    </row>
    <row r="7" spans="1:13" ht="15.75" customHeight="1">
      <c r="B7" s="102"/>
      <c r="C7" s="102"/>
      <c r="D7" s="102"/>
      <c r="E7" s="102"/>
      <c r="F7" s="3"/>
      <c r="G7" s="3"/>
      <c r="H7" s="3"/>
      <c r="J7" s="3"/>
      <c r="K7" s="3"/>
      <c r="L7" s="3"/>
      <c r="M7" s="3"/>
    </row>
    <row r="8" spans="1:13" ht="78.75" customHeight="1">
      <c r="A8" s="194" t="s">
        <v>168</v>
      </c>
      <c r="B8" s="194"/>
      <c r="C8" s="194"/>
      <c r="D8" s="194"/>
      <c r="E8" s="194"/>
      <c r="F8" s="194"/>
      <c r="G8" s="194"/>
      <c r="H8" s="194"/>
      <c r="I8" s="194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195" t="s">
        <v>261</v>
      </c>
      <c r="B10" s="195"/>
      <c r="C10" s="195"/>
      <c r="D10" s="195"/>
      <c r="E10" s="195"/>
      <c r="F10" s="195"/>
      <c r="G10" s="195"/>
      <c r="H10" s="195"/>
      <c r="I10" s="19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6" t="s">
        <v>61</v>
      </c>
      <c r="B14" s="196"/>
      <c r="C14" s="196"/>
      <c r="D14" s="196"/>
      <c r="E14" s="196"/>
      <c r="F14" s="196"/>
      <c r="G14" s="196"/>
      <c r="H14" s="196"/>
      <c r="I14" s="196"/>
      <c r="J14" s="8"/>
      <c r="K14" s="8"/>
      <c r="L14" s="8"/>
      <c r="M14" s="8"/>
    </row>
    <row r="15" spans="1:13" ht="15.75" customHeight="1">
      <c r="A15" s="186" t="s">
        <v>4</v>
      </c>
      <c r="B15" s="186"/>
      <c r="C15" s="186"/>
      <c r="D15" s="186"/>
      <c r="E15" s="186"/>
      <c r="F15" s="186"/>
      <c r="G15" s="186"/>
      <c r="H15" s="186"/>
      <c r="I15" s="186"/>
      <c r="J15" s="8"/>
      <c r="K15" s="8"/>
      <c r="L15" s="8"/>
      <c r="M15" s="8"/>
    </row>
    <row r="16" spans="1:13" ht="15.75" customHeight="1">
      <c r="A16" s="33">
        <v>1</v>
      </c>
      <c r="B16" s="124" t="s">
        <v>95</v>
      </c>
      <c r="C16" s="90" t="s">
        <v>117</v>
      </c>
      <c r="D16" s="124" t="s">
        <v>118</v>
      </c>
      <c r="E16" s="125">
        <v>160.5</v>
      </c>
      <c r="F16" s="126">
        <f>SUM(E16*156/100)</f>
        <v>250.38</v>
      </c>
      <c r="G16" s="126">
        <v>175.38</v>
      </c>
      <c r="H16" s="127">
        <f t="shared" ref="H16:H28" si="0">SUM(F16*G16/1000)</f>
        <v>43.9116444</v>
      </c>
      <c r="I16" s="14">
        <f>F16/12*G16</f>
        <v>3659.3036999999995</v>
      </c>
      <c r="J16" s="8"/>
      <c r="K16" s="8"/>
      <c r="L16" s="8"/>
      <c r="M16" s="8"/>
    </row>
    <row r="17" spans="1:13" ht="15.75" customHeight="1">
      <c r="A17" s="33">
        <v>2</v>
      </c>
      <c r="B17" s="124" t="s">
        <v>102</v>
      </c>
      <c r="C17" s="90" t="s">
        <v>117</v>
      </c>
      <c r="D17" s="124" t="s">
        <v>119</v>
      </c>
      <c r="E17" s="125">
        <v>642</v>
      </c>
      <c r="F17" s="126">
        <f>SUM(E17*104/100)</f>
        <v>667.68</v>
      </c>
      <c r="G17" s="126">
        <v>175.38</v>
      </c>
      <c r="H17" s="127">
        <f t="shared" si="0"/>
        <v>117.09771839999998</v>
      </c>
      <c r="I17" s="14">
        <f>F17/12*G17</f>
        <v>9758.1431999999986</v>
      </c>
      <c r="J17" s="26"/>
      <c r="K17" s="8"/>
      <c r="L17" s="8"/>
      <c r="M17" s="8"/>
    </row>
    <row r="18" spans="1:13" ht="15.75" customHeight="1">
      <c r="A18" s="33">
        <v>3</v>
      </c>
      <c r="B18" s="124" t="s">
        <v>103</v>
      </c>
      <c r="C18" s="90" t="s">
        <v>117</v>
      </c>
      <c r="D18" s="124" t="s">
        <v>120</v>
      </c>
      <c r="E18" s="125">
        <f>SUM(E16+E17)</f>
        <v>802.5</v>
      </c>
      <c r="F18" s="126">
        <f>SUM(E18*24/100)</f>
        <v>192.6</v>
      </c>
      <c r="G18" s="126">
        <v>504.5</v>
      </c>
      <c r="H18" s="127">
        <f t="shared" si="0"/>
        <v>97.166699999999992</v>
      </c>
      <c r="I18" s="14">
        <f>F18/12*G18</f>
        <v>8097.2250000000004</v>
      </c>
      <c r="J18" s="26"/>
      <c r="K18" s="8"/>
      <c r="L18" s="8"/>
      <c r="M18" s="8"/>
    </row>
    <row r="19" spans="1:13" ht="15.75" hidden="1" customHeight="1">
      <c r="A19" s="33">
        <v>4</v>
      </c>
      <c r="B19" s="124" t="s">
        <v>121</v>
      </c>
      <c r="C19" s="90" t="s">
        <v>122</v>
      </c>
      <c r="D19" s="124" t="s">
        <v>123</v>
      </c>
      <c r="E19" s="125">
        <v>38.4</v>
      </c>
      <c r="F19" s="126">
        <f>SUM(E19/10)</f>
        <v>3.84</v>
      </c>
      <c r="G19" s="126">
        <v>170.16</v>
      </c>
      <c r="H19" s="127">
        <f t="shared" si="0"/>
        <v>0.65341439999999995</v>
      </c>
      <c r="I19" s="14">
        <f>F19/2*G19</f>
        <v>326.7072</v>
      </c>
      <c r="J19" s="26"/>
      <c r="K19" s="8"/>
      <c r="L19" s="8"/>
      <c r="M19" s="8"/>
    </row>
    <row r="20" spans="1:13" ht="15.75" customHeight="1">
      <c r="A20" s="33">
        <v>4</v>
      </c>
      <c r="B20" s="124" t="s">
        <v>107</v>
      </c>
      <c r="C20" s="90" t="s">
        <v>117</v>
      </c>
      <c r="D20" s="124" t="s">
        <v>31</v>
      </c>
      <c r="E20" s="125">
        <v>58.4</v>
      </c>
      <c r="F20" s="126">
        <f>SUM(E20*12/100)</f>
        <v>7.0079999999999991</v>
      </c>
      <c r="G20" s="126">
        <v>217.88</v>
      </c>
      <c r="H20" s="127">
        <f t="shared" si="0"/>
        <v>1.5269030399999997</v>
      </c>
      <c r="I20" s="14">
        <f>F20/12*G20</f>
        <v>127.24191999999999</v>
      </c>
      <c r="J20" s="26"/>
      <c r="K20" s="8"/>
      <c r="L20" s="8"/>
      <c r="M20" s="8"/>
    </row>
    <row r="21" spans="1:13" ht="15.75" customHeight="1">
      <c r="A21" s="33">
        <v>5</v>
      </c>
      <c r="B21" s="124" t="s">
        <v>108</v>
      </c>
      <c r="C21" s="90" t="s">
        <v>117</v>
      </c>
      <c r="D21" s="124" t="s">
        <v>31</v>
      </c>
      <c r="E21" s="125">
        <v>9.08</v>
      </c>
      <c r="F21" s="126">
        <f>SUM(E21*12/100)</f>
        <v>1.0896000000000001</v>
      </c>
      <c r="G21" s="126">
        <v>216.12</v>
      </c>
      <c r="H21" s="127">
        <f t="shared" si="0"/>
        <v>0.23548435200000004</v>
      </c>
      <c r="I21" s="14">
        <f>F21/12*G21</f>
        <v>19.623696000000002</v>
      </c>
      <c r="J21" s="26"/>
      <c r="K21" s="8"/>
      <c r="L21" s="8"/>
      <c r="M21" s="8"/>
    </row>
    <row r="22" spans="1:13" ht="15.75" hidden="1" customHeight="1">
      <c r="A22" s="33">
        <v>7</v>
      </c>
      <c r="B22" s="124" t="s">
        <v>124</v>
      </c>
      <c r="C22" s="90" t="s">
        <v>54</v>
      </c>
      <c r="D22" s="124" t="s">
        <v>123</v>
      </c>
      <c r="E22" s="125">
        <v>822.72</v>
      </c>
      <c r="F22" s="126">
        <f>SUM(E22/100)</f>
        <v>8.2271999999999998</v>
      </c>
      <c r="G22" s="126">
        <v>269.26</v>
      </c>
      <c r="H22" s="127">
        <f t="shared" si="0"/>
        <v>2.2152558719999997</v>
      </c>
      <c r="I22" s="14">
        <f>F22*G22</f>
        <v>2215.2558719999997</v>
      </c>
      <c r="J22" s="26"/>
      <c r="K22" s="8"/>
      <c r="L22" s="8"/>
      <c r="M22" s="8"/>
    </row>
    <row r="23" spans="1:13" ht="15.75" hidden="1" customHeight="1">
      <c r="A23" s="33">
        <v>8</v>
      </c>
      <c r="B23" s="124" t="s">
        <v>125</v>
      </c>
      <c r="C23" s="90" t="s">
        <v>54</v>
      </c>
      <c r="D23" s="124" t="s">
        <v>123</v>
      </c>
      <c r="E23" s="128">
        <v>96.6</v>
      </c>
      <c r="F23" s="126">
        <f>SUM(E23/100)</f>
        <v>0.96599999999999997</v>
      </c>
      <c r="G23" s="126">
        <v>44.29</v>
      </c>
      <c r="H23" s="127">
        <f t="shared" si="0"/>
        <v>4.2784139999999998E-2</v>
      </c>
      <c r="I23" s="14">
        <f>F23*G23</f>
        <v>42.784140000000001</v>
      </c>
      <c r="J23" s="26"/>
      <c r="K23" s="8"/>
      <c r="L23" s="8"/>
      <c r="M23" s="8"/>
    </row>
    <row r="24" spans="1:13" ht="15.75" customHeight="1">
      <c r="A24" s="33">
        <v>6</v>
      </c>
      <c r="B24" s="124" t="s">
        <v>113</v>
      </c>
      <c r="C24" s="90" t="s">
        <v>54</v>
      </c>
      <c r="D24" s="124" t="s">
        <v>31</v>
      </c>
      <c r="E24" s="129">
        <v>32</v>
      </c>
      <c r="F24" s="126">
        <f>32*12/1000</f>
        <v>0.38400000000000001</v>
      </c>
      <c r="G24" s="126">
        <v>389.42</v>
      </c>
      <c r="H24" s="127">
        <f>G24*F24/100</f>
        <v>1.4953728000000002</v>
      </c>
      <c r="I24" s="14">
        <f>F24/12*G24</f>
        <v>12.461440000000001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124" t="s">
        <v>145</v>
      </c>
      <c r="C25" s="90" t="s">
        <v>54</v>
      </c>
      <c r="D25" s="124" t="s">
        <v>55</v>
      </c>
      <c r="E25" s="130">
        <v>38</v>
      </c>
      <c r="F25" s="126">
        <v>0.38</v>
      </c>
      <c r="G25" s="126">
        <v>216.12</v>
      </c>
      <c r="H25" s="127">
        <f>G25*F25/1000</f>
        <v>8.2125600000000007E-2</v>
      </c>
      <c r="I25" s="14">
        <f>F25*G25</f>
        <v>82.125600000000006</v>
      </c>
      <c r="J25" s="26"/>
      <c r="K25" s="8"/>
      <c r="L25" s="8"/>
      <c r="M25" s="8"/>
    </row>
    <row r="26" spans="1:13" ht="15.75" customHeight="1">
      <c r="A26" s="33">
        <v>7</v>
      </c>
      <c r="B26" s="124" t="s">
        <v>114</v>
      </c>
      <c r="C26" s="90" t="s">
        <v>54</v>
      </c>
      <c r="D26" s="124" t="s">
        <v>146</v>
      </c>
      <c r="E26" s="125">
        <v>17</v>
      </c>
      <c r="F26" s="126">
        <f>SUM(E26*12/100)</f>
        <v>2.04</v>
      </c>
      <c r="G26" s="126">
        <v>520.79999999999995</v>
      </c>
      <c r="H26" s="127">
        <f t="shared" si="0"/>
        <v>1.062432</v>
      </c>
      <c r="I26" s="14">
        <f>F26/12*G26</f>
        <v>88.536000000000001</v>
      </c>
      <c r="J26" s="26"/>
      <c r="K26" s="8"/>
      <c r="L26" s="8"/>
      <c r="M26" s="8"/>
    </row>
    <row r="27" spans="1:13" ht="15.75" customHeight="1">
      <c r="A27" s="33">
        <v>8</v>
      </c>
      <c r="B27" s="124" t="s">
        <v>69</v>
      </c>
      <c r="C27" s="90" t="s">
        <v>34</v>
      </c>
      <c r="D27" s="124" t="s">
        <v>179</v>
      </c>
      <c r="E27" s="125">
        <v>0.1</v>
      </c>
      <c r="F27" s="126">
        <f>SUM(E27*365)</f>
        <v>36.5</v>
      </c>
      <c r="G27" s="126">
        <v>147.03</v>
      </c>
      <c r="H27" s="127">
        <f t="shared" si="0"/>
        <v>5.3665950000000002</v>
      </c>
      <c r="I27" s="14">
        <f>F27/12*G27</f>
        <v>447.21625</v>
      </c>
      <c r="J27" s="26"/>
      <c r="K27" s="8"/>
      <c r="L27" s="8"/>
      <c r="M27" s="8"/>
    </row>
    <row r="28" spans="1:13" ht="15.75" customHeight="1">
      <c r="A28" s="33">
        <v>9</v>
      </c>
      <c r="B28" s="131" t="s">
        <v>23</v>
      </c>
      <c r="C28" s="90" t="s">
        <v>24</v>
      </c>
      <c r="D28" s="131" t="s">
        <v>179</v>
      </c>
      <c r="E28" s="125">
        <v>5926.8</v>
      </c>
      <c r="F28" s="126">
        <f>SUM(E28*12)</f>
        <v>71121.600000000006</v>
      </c>
      <c r="G28" s="126">
        <v>4.53</v>
      </c>
      <c r="H28" s="127">
        <f t="shared" si="0"/>
        <v>322.18084800000008</v>
      </c>
      <c r="I28" s="14">
        <f>F28/12*G28</f>
        <v>26848.404000000002</v>
      </c>
      <c r="J28" s="26"/>
      <c r="K28" s="8"/>
      <c r="L28" s="8"/>
      <c r="M28" s="8"/>
    </row>
    <row r="29" spans="1:13" ht="15.75" customHeight="1">
      <c r="A29" s="186" t="s">
        <v>93</v>
      </c>
      <c r="B29" s="186"/>
      <c r="C29" s="186"/>
      <c r="D29" s="186"/>
      <c r="E29" s="186"/>
      <c r="F29" s="186"/>
      <c r="G29" s="186"/>
      <c r="H29" s="186"/>
      <c r="I29" s="186"/>
      <c r="J29" s="26"/>
      <c r="K29" s="8"/>
      <c r="L29" s="8"/>
      <c r="M29" s="8"/>
    </row>
    <row r="30" spans="1:13" ht="15.75" customHeight="1">
      <c r="A30" s="52"/>
      <c r="B30" s="62" t="s">
        <v>29</v>
      </c>
      <c r="C30" s="62"/>
      <c r="D30" s="62"/>
      <c r="E30" s="62"/>
      <c r="F30" s="62"/>
      <c r="G30" s="62"/>
      <c r="H30" s="62"/>
      <c r="I30" s="21"/>
      <c r="J30" s="26"/>
      <c r="K30" s="8"/>
      <c r="L30" s="8"/>
      <c r="M30" s="8"/>
    </row>
    <row r="31" spans="1:13" ht="15.75" customHeight="1">
      <c r="A31" s="52">
        <v>10</v>
      </c>
      <c r="B31" s="124" t="s">
        <v>126</v>
      </c>
      <c r="C31" s="90" t="s">
        <v>127</v>
      </c>
      <c r="D31" s="124" t="s">
        <v>148</v>
      </c>
      <c r="E31" s="126">
        <v>2732.4</v>
      </c>
      <c r="F31" s="126">
        <f>SUM(E31*26/1000)</f>
        <v>71.042400000000015</v>
      </c>
      <c r="G31" s="126">
        <v>155.88999999999999</v>
      </c>
      <c r="H31" s="127">
        <f t="shared" ref="H31:H33" si="1">SUM(F31*G31/1000)</f>
        <v>11.074799736000001</v>
      </c>
      <c r="I31" s="14">
        <f>F31/6*G31</f>
        <v>1845.7999560000003</v>
      </c>
      <c r="J31" s="26"/>
      <c r="K31" s="8"/>
      <c r="L31" s="8"/>
      <c r="M31" s="8"/>
    </row>
    <row r="32" spans="1:13" ht="31.5" customHeight="1">
      <c r="A32" s="52">
        <v>11</v>
      </c>
      <c r="B32" s="124" t="s">
        <v>149</v>
      </c>
      <c r="C32" s="90" t="s">
        <v>127</v>
      </c>
      <c r="D32" s="124" t="s">
        <v>128</v>
      </c>
      <c r="E32" s="126">
        <v>547.85</v>
      </c>
      <c r="F32" s="126">
        <f>SUM(E32*78/1000)</f>
        <v>42.732300000000002</v>
      </c>
      <c r="G32" s="126">
        <v>258.63</v>
      </c>
      <c r="H32" s="127">
        <f t="shared" si="1"/>
        <v>11.051854749</v>
      </c>
      <c r="I32" s="14">
        <f t="shared" ref="I32:I35" si="2">F32/6*G32</f>
        <v>1841.9757915000002</v>
      </c>
      <c r="J32" s="26"/>
      <c r="K32" s="8"/>
      <c r="L32" s="8"/>
      <c r="M32" s="8"/>
    </row>
    <row r="33" spans="1:14" ht="15.75" hidden="1" customHeight="1">
      <c r="A33" s="52">
        <v>16</v>
      </c>
      <c r="B33" s="124" t="s">
        <v>28</v>
      </c>
      <c r="C33" s="90" t="s">
        <v>127</v>
      </c>
      <c r="D33" s="124" t="s">
        <v>55</v>
      </c>
      <c r="E33" s="126">
        <v>2732.4</v>
      </c>
      <c r="F33" s="126">
        <f>SUM(E33/1000)</f>
        <v>2.7324000000000002</v>
      </c>
      <c r="G33" s="126">
        <v>3020.33</v>
      </c>
      <c r="H33" s="127">
        <f t="shared" si="1"/>
        <v>8.2527496920000001</v>
      </c>
      <c r="I33" s="14">
        <f>F33*G33</f>
        <v>8252.7496919999994</v>
      </c>
      <c r="J33" s="26"/>
      <c r="K33" s="8"/>
      <c r="L33" s="8"/>
      <c r="M33" s="8"/>
    </row>
    <row r="34" spans="1:14" ht="15.75" customHeight="1">
      <c r="A34" s="52">
        <v>12</v>
      </c>
      <c r="B34" s="124" t="s">
        <v>147</v>
      </c>
      <c r="C34" s="90" t="s">
        <v>40</v>
      </c>
      <c r="D34" s="124" t="s">
        <v>68</v>
      </c>
      <c r="E34" s="126">
        <v>8</v>
      </c>
      <c r="F34" s="126">
        <v>12.4</v>
      </c>
      <c r="G34" s="126">
        <v>1302.02</v>
      </c>
      <c r="H34" s="127">
        <v>16.145</v>
      </c>
      <c r="I34" s="14">
        <f t="shared" si="2"/>
        <v>2690.8413333333338</v>
      </c>
      <c r="J34" s="26"/>
      <c r="K34" s="8"/>
      <c r="L34" s="8"/>
      <c r="M34" s="8"/>
    </row>
    <row r="35" spans="1:14" ht="15.75" customHeight="1">
      <c r="A35" s="52">
        <v>13</v>
      </c>
      <c r="B35" s="124" t="s">
        <v>180</v>
      </c>
      <c r="C35" s="90" t="s">
        <v>32</v>
      </c>
      <c r="D35" s="124" t="s">
        <v>68</v>
      </c>
      <c r="E35" s="132">
        <v>1</v>
      </c>
      <c r="F35" s="126">
        <v>155</v>
      </c>
      <c r="G35" s="126">
        <v>56.69</v>
      </c>
      <c r="H35" s="127">
        <f>SUM(G35*155/1000)</f>
        <v>8.7869499999999992</v>
      </c>
      <c r="I35" s="14">
        <f t="shared" si="2"/>
        <v>1464.4916666666666</v>
      </c>
      <c r="J35" s="26"/>
      <c r="K35" s="8"/>
      <c r="L35" s="8"/>
      <c r="M35" s="8"/>
    </row>
    <row r="36" spans="1:14" ht="15.75" hidden="1" customHeight="1">
      <c r="A36" s="52">
        <v>4</v>
      </c>
      <c r="B36" s="124" t="s">
        <v>70</v>
      </c>
      <c r="C36" s="90" t="s">
        <v>34</v>
      </c>
      <c r="D36" s="124" t="s">
        <v>72</v>
      </c>
      <c r="E36" s="125"/>
      <c r="F36" s="126">
        <v>2</v>
      </c>
      <c r="G36" s="126">
        <v>191.32</v>
      </c>
      <c r="H36" s="127">
        <f t="shared" ref="H36:H37" si="3">SUM(F36*G36/1000)</f>
        <v>0.38263999999999998</v>
      </c>
      <c r="I36" s="14">
        <v>0</v>
      </c>
      <c r="J36" s="26"/>
      <c r="K36" s="8"/>
    </row>
    <row r="37" spans="1:14" ht="15.75" hidden="1" customHeight="1">
      <c r="A37" s="33">
        <v>8</v>
      </c>
      <c r="B37" s="124" t="s">
        <v>71</v>
      </c>
      <c r="C37" s="90" t="s">
        <v>33</v>
      </c>
      <c r="D37" s="124" t="s">
        <v>72</v>
      </c>
      <c r="E37" s="125"/>
      <c r="F37" s="126">
        <v>3</v>
      </c>
      <c r="G37" s="126">
        <v>1136.32</v>
      </c>
      <c r="H37" s="127">
        <f t="shared" si="3"/>
        <v>3.40896</v>
      </c>
      <c r="I37" s="14">
        <v>0</v>
      </c>
      <c r="J37" s="27"/>
    </row>
    <row r="38" spans="1:14" ht="15.75" hidden="1" customHeight="1">
      <c r="A38" s="52"/>
      <c r="B38" s="60" t="s">
        <v>5</v>
      </c>
      <c r="C38" s="60"/>
      <c r="D38" s="60"/>
      <c r="E38" s="60"/>
      <c r="F38" s="14"/>
      <c r="G38" s="15"/>
      <c r="H38" s="15"/>
      <c r="I38" s="21"/>
      <c r="J38" s="27"/>
    </row>
    <row r="39" spans="1:14" ht="15.75" hidden="1" customHeight="1">
      <c r="A39" s="38">
        <v>10</v>
      </c>
      <c r="B39" s="124" t="s">
        <v>27</v>
      </c>
      <c r="C39" s="90" t="s">
        <v>33</v>
      </c>
      <c r="D39" s="124"/>
      <c r="E39" s="125"/>
      <c r="F39" s="126">
        <v>15</v>
      </c>
      <c r="G39" s="126">
        <v>1527.22</v>
      </c>
      <c r="H39" s="127">
        <f>SUM(F39*G39/1000)</f>
        <v>22.908300000000001</v>
      </c>
      <c r="I39" s="14">
        <f t="shared" ref="I39:I44" si="4">F39/6*G39</f>
        <v>3818.05</v>
      </c>
      <c r="J39" s="27"/>
    </row>
    <row r="40" spans="1:14" ht="15.75" hidden="1" customHeight="1">
      <c r="A40" s="38">
        <v>11</v>
      </c>
      <c r="B40" s="124" t="s">
        <v>73</v>
      </c>
      <c r="C40" s="90" t="s">
        <v>30</v>
      </c>
      <c r="D40" s="124" t="s">
        <v>130</v>
      </c>
      <c r="E40" s="126">
        <v>547.85</v>
      </c>
      <c r="F40" s="126">
        <f>SUM(E40*50/1000)</f>
        <v>27.392499999999998</v>
      </c>
      <c r="G40" s="126">
        <v>2102.71</v>
      </c>
      <c r="H40" s="127">
        <f t="shared" ref="H40:H44" si="5">SUM(F40*G40/1000)</f>
        <v>57.598483674999997</v>
      </c>
      <c r="I40" s="14">
        <f t="shared" si="4"/>
        <v>9599.747279166666</v>
      </c>
      <c r="J40" s="27"/>
    </row>
    <row r="41" spans="1:14" ht="15.75" hidden="1" customHeight="1">
      <c r="A41" s="38">
        <v>12</v>
      </c>
      <c r="B41" s="124" t="s">
        <v>74</v>
      </c>
      <c r="C41" s="90" t="s">
        <v>30</v>
      </c>
      <c r="D41" s="124" t="s">
        <v>131</v>
      </c>
      <c r="E41" s="126">
        <v>140</v>
      </c>
      <c r="F41" s="126">
        <f>SUM(E41*155/1000)</f>
        <v>21.7</v>
      </c>
      <c r="G41" s="126">
        <v>350.75</v>
      </c>
      <c r="H41" s="127">
        <f t="shared" si="5"/>
        <v>7.611275</v>
      </c>
      <c r="I41" s="14">
        <f t="shared" si="4"/>
        <v>1268.5458333333333</v>
      </c>
      <c r="J41" s="27"/>
    </row>
    <row r="42" spans="1:14" ht="31.5" hidden="1" customHeight="1">
      <c r="A42" s="38">
        <v>13</v>
      </c>
      <c r="B42" s="124" t="s">
        <v>88</v>
      </c>
      <c r="C42" s="90" t="s">
        <v>127</v>
      </c>
      <c r="D42" s="124" t="s">
        <v>150</v>
      </c>
      <c r="E42" s="126">
        <v>140</v>
      </c>
      <c r="F42" s="126">
        <f>SUM(E42*12/1000)</f>
        <v>1.68</v>
      </c>
      <c r="G42" s="126">
        <v>5803.28</v>
      </c>
      <c r="H42" s="127">
        <f t="shared" si="5"/>
        <v>9.7495103999999984</v>
      </c>
      <c r="I42" s="14">
        <f t="shared" si="4"/>
        <v>1624.9183999999998</v>
      </c>
      <c r="J42" s="27"/>
    </row>
    <row r="43" spans="1:14" ht="15.75" hidden="1" customHeight="1">
      <c r="A43" s="38">
        <v>14</v>
      </c>
      <c r="B43" s="124" t="s">
        <v>132</v>
      </c>
      <c r="C43" s="90" t="s">
        <v>127</v>
      </c>
      <c r="D43" s="124" t="s">
        <v>75</v>
      </c>
      <c r="E43" s="126">
        <v>140</v>
      </c>
      <c r="F43" s="126">
        <f>SUM(E43*45/1000)</f>
        <v>6.3</v>
      </c>
      <c r="G43" s="126">
        <v>428.7</v>
      </c>
      <c r="H43" s="127">
        <f t="shared" si="5"/>
        <v>2.7008100000000002</v>
      </c>
      <c r="I43" s="14">
        <f t="shared" si="4"/>
        <v>450.13499999999999</v>
      </c>
      <c r="J43" s="27"/>
    </row>
    <row r="44" spans="1:14" ht="15.75" hidden="1" customHeight="1">
      <c r="A44" s="38">
        <v>15</v>
      </c>
      <c r="B44" s="124" t="s">
        <v>76</v>
      </c>
      <c r="C44" s="90" t="s">
        <v>34</v>
      </c>
      <c r="D44" s="124"/>
      <c r="E44" s="125"/>
      <c r="F44" s="126">
        <v>0.9</v>
      </c>
      <c r="G44" s="126">
        <v>798</v>
      </c>
      <c r="H44" s="127">
        <f t="shared" si="5"/>
        <v>0.71820000000000006</v>
      </c>
      <c r="I44" s="14">
        <f t="shared" si="4"/>
        <v>119.69999999999999</v>
      </c>
      <c r="J44" s="27"/>
      <c r="L44" s="23"/>
      <c r="M44" s="24"/>
      <c r="N44" s="25"/>
    </row>
    <row r="45" spans="1:14" ht="15.75" hidden="1" customHeight="1">
      <c r="A45" s="197" t="s">
        <v>176</v>
      </c>
      <c r="B45" s="198"/>
      <c r="C45" s="198"/>
      <c r="D45" s="198"/>
      <c r="E45" s="198"/>
      <c r="F45" s="198"/>
      <c r="G45" s="198"/>
      <c r="H45" s="198"/>
      <c r="I45" s="199"/>
      <c r="J45" s="27"/>
      <c r="L45" s="23"/>
      <c r="M45" s="24"/>
      <c r="N45" s="25"/>
    </row>
    <row r="46" spans="1:14" ht="15.75" hidden="1" customHeight="1">
      <c r="A46" s="52">
        <v>19</v>
      </c>
      <c r="B46" s="124" t="s">
        <v>133</v>
      </c>
      <c r="C46" s="90" t="s">
        <v>127</v>
      </c>
      <c r="D46" s="124" t="s">
        <v>42</v>
      </c>
      <c r="E46" s="125">
        <v>1640.4</v>
      </c>
      <c r="F46" s="126">
        <f>SUM(E46*2/1000)</f>
        <v>3.2808000000000002</v>
      </c>
      <c r="G46" s="14">
        <v>849.49</v>
      </c>
      <c r="H46" s="127">
        <f t="shared" ref="H46:H54" si="6">SUM(F46*G46/1000)</f>
        <v>2.7870067920000001</v>
      </c>
      <c r="I46" s="14">
        <f t="shared" ref="I46:I48" si="7">F46/2*G46</f>
        <v>1393.5033960000001</v>
      </c>
      <c r="J46" s="27"/>
      <c r="L46" s="23"/>
      <c r="M46" s="24"/>
      <c r="N46" s="25"/>
    </row>
    <row r="47" spans="1:14" ht="15.75" hidden="1" customHeight="1">
      <c r="A47" s="52">
        <v>20</v>
      </c>
      <c r="B47" s="124" t="s">
        <v>35</v>
      </c>
      <c r="C47" s="90" t="s">
        <v>127</v>
      </c>
      <c r="D47" s="124" t="s">
        <v>42</v>
      </c>
      <c r="E47" s="125">
        <v>918.25</v>
      </c>
      <c r="F47" s="126">
        <f>SUM(E47*2/1000)</f>
        <v>1.8365</v>
      </c>
      <c r="G47" s="14">
        <v>579.48</v>
      </c>
      <c r="H47" s="127">
        <f t="shared" si="6"/>
        <v>1.06421502</v>
      </c>
      <c r="I47" s="14">
        <f t="shared" si="7"/>
        <v>532.10751000000005</v>
      </c>
      <c r="J47" s="27"/>
      <c r="L47" s="23"/>
      <c r="M47" s="24"/>
      <c r="N47" s="25"/>
    </row>
    <row r="48" spans="1:14" ht="15.75" hidden="1" customHeight="1">
      <c r="A48" s="52">
        <v>21</v>
      </c>
      <c r="B48" s="124" t="s">
        <v>36</v>
      </c>
      <c r="C48" s="90" t="s">
        <v>127</v>
      </c>
      <c r="D48" s="124" t="s">
        <v>42</v>
      </c>
      <c r="E48" s="125">
        <v>5592.26</v>
      </c>
      <c r="F48" s="126">
        <f>SUM(E48*2/1000)</f>
        <v>11.184520000000001</v>
      </c>
      <c r="G48" s="14">
        <v>579.48</v>
      </c>
      <c r="H48" s="127">
        <f t="shared" si="6"/>
        <v>6.4812056496000006</v>
      </c>
      <c r="I48" s="14">
        <f t="shared" si="7"/>
        <v>3240.6028248000002</v>
      </c>
      <c r="J48" s="27"/>
      <c r="L48" s="23"/>
      <c r="M48" s="24"/>
      <c r="N48" s="25"/>
    </row>
    <row r="49" spans="1:14" ht="15.75" hidden="1" customHeight="1">
      <c r="A49" s="52">
        <v>22</v>
      </c>
      <c r="B49" s="124" t="s">
        <v>37</v>
      </c>
      <c r="C49" s="90" t="s">
        <v>127</v>
      </c>
      <c r="D49" s="124" t="s">
        <v>42</v>
      </c>
      <c r="E49" s="125">
        <v>2817.65</v>
      </c>
      <c r="F49" s="126">
        <f>SUM(E49*2/1000)</f>
        <v>5.6353</v>
      </c>
      <c r="G49" s="14">
        <v>606.77</v>
      </c>
      <c r="H49" s="127">
        <f t="shared" si="6"/>
        <v>3.4193309809999999</v>
      </c>
      <c r="I49" s="14">
        <f>F49/2*G49</f>
        <v>1709.6654905</v>
      </c>
      <c r="J49" s="27"/>
      <c r="L49" s="23"/>
      <c r="M49" s="24"/>
      <c r="N49" s="25"/>
    </row>
    <row r="50" spans="1:14" ht="15.75" hidden="1" customHeight="1">
      <c r="A50" s="52">
        <v>23</v>
      </c>
      <c r="B50" s="124" t="s">
        <v>58</v>
      </c>
      <c r="C50" s="90" t="s">
        <v>127</v>
      </c>
      <c r="D50" s="124" t="s">
        <v>152</v>
      </c>
      <c r="E50" s="125">
        <v>3280.8</v>
      </c>
      <c r="F50" s="126">
        <f>SUM(E50*5/1000)</f>
        <v>16.404</v>
      </c>
      <c r="G50" s="14">
        <v>1213.55</v>
      </c>
      <c r="H50" s="127">
        <f t="shared" si="6"/>
        <v>19.9070742</v>
      </c>
      <c r="I50" s="14">
        <f>F50/5*G50</f>
        <v>3981.4148399999999</v>
      </c>
      <c r="J50" s="27"/>
      <c r="L50" s="23"/>
      <c r="M50" s="24"/>
      <c r="N50" s="25"/>
    </row>
    <row r="51" spans="1:14" ht="31.5" hidden="1" customHeight="1">
      <c r="A51" s="52">
        <v>16</v>
      </c>
      <c r="B51" s="124" t="s">
        <v>134</v>
      </c>
      <c r="C51" s="90" t="s">
        <v>127</v>
      </c>
      <c r="D51" s="124" t="s">
        <v>42</v>
      </c>
      <c r="E51" s="125">
        <v>3280.8</v>
      </c>
      <c r="F51" s="126">
        <f>SUM(E51*2/1000)</f>
        <v>6.5616000000000003</v>
      </c>
      <c r="G51" s="14">
        <v>1213.55</v>
      </c>
      <c r="H51" s="127">
        <f t="shared" si="6"/>
        <v>7.9628296799999996</v>
      </c>
      <c r="I51" s="14">
        <f>F51/2*G51</f>
        <v>3981.4148399999999</v>
      </c>
      <c r="J51" s="27"/>
      <c r="L51" s="23"/>
      <c r="M51" s="24"/>
      <c r="N51" s="25"/>
    </row>
    <row r="52" spans="1:14" ht="31.5" hidden="1" customHeight="1">
      <c r="A52" s="52">
        <v>17</v>
      </c>
      <c r="B52" s="124" t="s">
        <v>151</v>
      </c>
      <c r="C52" s="90" t="s">
        <v>38</v>
      </c>
      <c r="D52" s="124" t="s">
        <v>42</v>
      </c>
      <c r="E52" s="125">
        <v>40</v>
      </c>
      <c r="F52" s="126">
        <f>SUM(E52*2/100)</f>
        <v>0.8</v>
      </c>
      <c r="G52" s="14">
        <v>2730.49</v>
      </c>
      <c r="H52" s="127">
        <f t="shared" si="6"/>
        <v>2.1843919999999999</v>
      </c>
      <c r="I52" s="14">
        <f>F52/2*G52</f>
        <v>1092.1959999999999</v>
      </c>
      <c r="J52" s="27"/>
      <c r="L52" s="23"/>
      <c r="M52" s="24"/>
      <c r="N52" s="25"/>
    </row>
    <row r="53" spans="1:14" ht="15.75" hidden="1" customHeight="1">
      <c r="A53" s="52">
        <v>16</v>
      </c>
      <c r="B53" s="124" t="s">
        <v>39</v>
      </c>
      <c r="C53" s="90" t="s">
        <v>40</v>
      </c>
      <c r="D53" s="124" t="s">
        <v>42</v>
      </c>
      <c r="E53" s="125">
        <v>1</v>
      </c>
      <c r="F53" s="126">
        <v>0.02</v>
      </c>
      <c r="G53" s="14">
        <v>5652.13</v>
      </c>
      <c r="H53" s="127">
        <f t="shared" si="6"/>
        <v>0.11304260000000001</v>
      </c>
      <c r="I53" s="14">
        <f>F53/2*G53</f>
        <v>56.521300000000004</v>
      </c>
      <c r="J53" s="27"/>
      <c r="L53" s="23"/>
      <c r="M53" s="24"/>
      <c r="N53" s="25"/>
    </row>
    <row r="54" spans="1:14" ht="15.75" hidden="1" customHeight="1">
      <c r="A54" s="52">
        <v>14</v>
      </c>
      <c r="B54" s="124" t="s">
        <v>41</v>
      </c>
      <c r="C54" s="90" t="s">
        <v>135</v>
      </c>
      <c r="D54" s="124" t="s">
        <v>77</v>
      </c>
      <c r="E54" s="125">
        <v>238</v>
      </c>
      <c r="F54" s="126">
        <f>SUM(E54)*3</f>
        <v>714</v>
      </c>
      <c r="G54" s="14">
        <v>65.67</v>
      </c>
      <c r="H54" s="127">
        <f t="shared" si="6"/>
        <v>46.888380000000005</v>
      </c>
      <c r="I54" s="14">
        <f>E54*G54</f>
        <v>15629.460000000001</v>
      </c>
      <c r="J54" s="27"/>
      <c r="L54" s="23"/>
      <c r="M54" s="24"/>
      <c r="N54" s="25"/>
    </row>
    <row r="55" spans="1:14" ht="15.75" customHeight="1">
      <c r="A55" s="187" t="s">
        <v>236</v>
      </c>
      <c r="B55" s="188"/>
      <c r="C55" s="188"/>
      <c r="D55" s="188"/>
      <c r="E55" s="188"/>
      <c r="F55" s="188"/>
      <c r="G55" s="188"/>
      <c r="H55" s="188"/>
      <c r="I55" s="189"/>
      <c r="J55" s="27"/>
      <c r="L55" s="23"/>
      <c r="M55" s="24"/>
      <c r="N55" s="25"/>
    </row>
    <row r="56" spans="1:14" ht="15.75" hidden="1" customHeight="1">
      <c r="A56" s="65"/>
      <c r="B56" s="59" t="s">
        <v>43</v>
      </c>
      <c r="C56" s="18"/>
      <c r="D56" s="17"/>
      <c r="E56" s="17"/>
      <c r="F56" s="17"/>
      <c r="G56" s="33"/>
      <c r="H56" s="33"/>
      <c r="I56" s="21"/>
      <c r="J56" s="27"/>
      <c r="L56" s="23"/>
      <c r="M56" s="24"/>
      <c r="N56" s="25"/>
    </row>
    <row r="57" spans="1:14" ht="15.75" hidden="1" customHeight="1">
      <c r="A57" s="52">
        <v>15</v>
      </c>
      <c r="B57" s="124" t="s">
        <v>153</v>
      </c>
      <c r="C57" s="90" t="s">
        <v>117</v>
      </c>
      <c r="D57" s="124" t="s">
        <v>55</v>
      </c>
      <c r="E57" s="133">
        <v>1640.4</v>
      </c>
      <c r="F57" s="14">
        <f>E57/100</f>
        <v>16.404</v>
      </c>
      <c r="G57" s="126">
        <v>472.59</v>
      </c>
      <c r="H57" s="127">
        <f>SUM(F57*G57/1000)</f>
        <v>7.7523663599999999</v>
      </c>
      <c r="I57" s="14">
        <v>0</v>
      </c>
      <c r="J57" s="27"/>
      <c r="L57" s="23"/>
      <c r="M57" s="24"/>
      <c r="N57" s="25"/>
    </row>
    <row r="58" spans="1:14" ht="31.5" hidden="1" customHeight="1">
      <c r="A58" s="52">
        <v>18</v>
      </c>
      <c r="B58" s="124" t="s">
        <v>154</v>
      </c>
      <c r="C58" s="90" t="s">
        <v>117</v>
      </c>
      <c r="D58" s="124" t="s">
        <v>155</v>
      </c>
      <c r="E58" s="125">
        <v>164.04</v>
      </c>
      <c r="F58" s="14">
        <f>E58*6/100</f>
        <v>9.8423999999999996</v>
      </c>
      <c r="G58" s="134">
        <v>1547.28</v>
      </c>
      <c r="H58" s="127">
        <f>F58*G58/1000</f>
        <v>15.228948671999998</v>
      </c>
      <c r="I58" s="14">
        <f>F58/6*G58</f>
        <v>2538.1581119999996</v>
      </c>
      <c r="J58" s="27"/>
      <c r="L58" s="23"/>
      <c r="M58" s="24"/>
      <c r="N58" s="25"/>
    </row>
    <row r="59" spans="1:14" ht="15.75" hidden="1" customHeight="1">
      <c r="A59" s="52">
        <v>19</v>
      </c>
      <c r="B59" s="135" t="s">
        <v>104</v>
      </c>
      <c r="C59" s="136" t="s">
        <v>117</v>
      </c>
      <c r="D59" s="135" t="s">
        <v>156</v>
      </c>
      <c r="E59" s="137">
        <v>8</v>
      </c>
      <c r="F59" s="138">
        <f>E59*8/100</f>
        <v>0.64</v>
      </c>
      <c r="G59" s="134">
        <v>1547.28</v>
      </c>
      <c r="H59" s="139">
        <f>F59*G59/1000</f>
        <v>0.99025920000000001</v>
      </c>
      <c r="I59" s="14">
        <f>F59/6*G59</f>
        <v>165.04320000000001</v>
      </c>
      <c r="J59" s="27"/>
      <c r="L59" s="23"/>
      <c r="M59" s="24"/>
      <c r="N59" s="25"/>
    </row>
    <row r="60" spans="1:14" ht="15.75" hidden="1" customHeight="1">
      <c r="A60" s="52"/>
      <c r="B60" s="135" t="s">
        <v>109</v>
      </c>
      <c r="C60" s="136" t="s">
        <v>110</v>
      </c>
      <c r="D60" s="135" t="s">
        <v>42</v>
      </c>
      <c r="E60" s="137">
        <v>8</v>
      </c>
      <c r="F60" s="138">
        <v>16</v>
      </c>
      <c r="G60" s="140">
        <v>180.78</v>
      </c>
      <c r="H60" s="139">
        <f>F60*G60/1000</f>
        <v>2.8924799999999999</v>
      </c>
      <c r="I60" s="14">
        <v>0</v>
      </c>
      <c r="J60" s="27"/>
      <c r="L60" s="23"/>
      <c r="M60" s="24"/>
      <c r="N60" s="25"/>
    </row>
    <row r="61" spans="1:14" ht="15.75" customHeight="1">
      <c r="A61" s="52"/>
      <c r="B61" s="107" t="s">
        <v>44</v>
      </c>
      <c r="C61" s="107"/>
      <c r="D61" s="107"/>
      <c r="E61" s="107"/>
      <c r="F61" s="107"/>
      <c r="G61" s="107"/>
      <c r="H61" s="107"/>
      <c r="I61" s="42"/>
      <c r="J61" s="27"/>
      <c r="L61" s="23"/>
      <c r="M61" s="24"/>
      <c r="N61" s="25"/>
    </row>
    <row r="62" spans="1:14" ht="15.75" customHeight="1">
      <c r="A62" s="52">
        <v>14</v>
      </c>
      <c r="B62" s="135" t="s">
        <v>105</v>
      </c>
      <c r="C62" s="136" t="s">
        <v>26</v>
      </c>
      <c r="D62" s="135" t="s">
        <v>157</v>
      </c>
      <c r="E62" s="137">
        <v>329.4</v>
      </c>
      <c r="F62" s="138">
        <f>E62*12</f>
        <v>3952.7999999999997</v>
      </c>
      <c r="G62" s="141">
        <v>2.5960000000000001</v>
      </c>
      <c r="H62" s="139">
        <f>G62*F62</f>
        <v>10261.468799999999</v>
      </c>
      <c r="I62" s="14">
        <f>F62/12*G62</f>
        <v>855.12239999999997</v>
      </c>
      <c r="J62" s="27"/>
      <c r="L62" s="23"/>
      <c r="M62" s="24"/>
      <c r="N62" s="25"/>
    </row>
    <row r="63" spans="1:14" ht="15.75" hidden="1" customHeight="1">
      <c r="A63" s="52"/>
      <c r="B63" s="135" t="s">
        <v>45</v>
      </c>
      <c r="C63" s="136" t="s">
        <v>26</v>
      </c>
      <c r="D63" s="135" t="s">
        <v>55</v>
      </c>
      <c r="E63" s="137">
        <v>1640.4</v>
      </c>
      <c r="F63" s="138">
        <v>16.404</v>
      </c>
      <c r="G63" s="142">
        <v>739.61</v>
      </c>
      <c r="H63" s="139">
        <f>G63*F63/1000</f>
        <v>12.132562439999999</v>
      </c>
      <c r="I63" s="14">
        <v>0</v>
      </c>
      <c r="J63" s="27"/>
      <c r="L63" s="23"/>
      <c r="M63" s="24"/>
      <c r="N63" s="25"/>
    </row>
    <row r="64" spans="1:14" ht="15.75" customHeight="1">
      <c r="A64" s="52"/>
      <c r="B64" s="107" t="s">
        <v>46</v>
      </c>
      <c r="C64" s="18"/>
      <c r="D64" s="46"/>
      <c r="E64" s="46"/>
      <c r="F64" s="17"/>
      <c r="G64" s="33"/>
      <c r="H64" s="33"/>
      <c r="I64" s="21"/>
      <c r="J64" s="27"/>
      <c r="L64" s="23"/>
      <c r="M64" s="24"/>
      <c r="N64" s="25"/>
    </row>
    <row r="65" spans="1:22" ht="15.75" customHeight="1">
      <c r="A65" s="52">
        <v>15</v>
      </c>
      <c r="B65" s="16" t="s">
        <v>47</v>
      </c>
      <c r="C65" s="18" t="s">
        <v>135</v>
      </c>
      <c r="D65" s="16" t="s">
        <v>72</v>
      </c>
      <c r="E65" s="21">
        <v>40</v>
      </c>
      <c r="F65" s="126">
        <v>40</v>
      </c>
      <c r="G65" s="14">
        <v>222.4</v>
      </c>
      <c r="H65" s="109">
        <f t="shared" ref="H65:H72" si="8">SUM(F65*G65/1000)</f>
        <v>8.8960000000000008</v>
      </c>
      <c r="I65" s="14">
        <f>G65*6</f>
        <v>1334.4</v>
      </c>
      <c r="J65" s="27"/>
      <c r="L65" s="23"/>
      <c r="M65" s="24"/>
      <c r="N65" s="25"/>
    </row>
    <row r="66" spans="1:22" ht="15.75" hidden="1" customHeight="1">
      <c r="A66" s="33">
        <v>29</v>
      </c>
      <c r="B66" s="16" t="s">
        <v>48</v>
      </c>
      <c r="C66" s="18" t="s">
        <v>135</v>
      </c>
      <c r="D66" s="16" t="s">
        <v>72</v>
      </c>
      <c r="E66" s="21">
        <v>15</v>
      </c>
      <c r="F66" s="126">
        <v>15</v>
      </c>
      <c r="G66" s="14">
        <v>76.25</v>
      </c>
      <c r="H66" s="109">
        <f t="shared" si="8"/>
        <v>1.14375</v>
      </c>
      <c r="I66" s="14">
        <v>0</v>
      </c>
      <c r="J66" s="27"/>
      <c r="L66" s="23"/>
      <c r="M66" s="24"/>
      <c r="N66" s="25"/>
    </row>
    <row r="67" spans="1:22" ht="15.75" hidden="1" customHeight="1">
      <c r="A67" s="33">
        <v>26</v>
      </c>
      <c r="B67" s="16" t="s">
        <v>49</v>
      </c>
      <c r="C67" s="18" t="s">
        <v>136</v>
      </c>
      <c r="D67" s="16" t="s">
        <v>55</v>
      </c>
      <c r="E67" s="125">
        <v>24648</v>
      </c>
      <c r="F67" s="14">
        <f>SUM(E67/100)</f>
        <v>246.48</v>
      </c>
      <c r="G67" s="14">
        <v>212.15</v>
      </c>
      <c r="H67" s="109">
        <f t="shared" si="8"/>
        <v>52.290731999999998</v>
      </c>
      <c r="I67" s="14">
        <f>F67*G67</f>
        <v>52290.731999999996</v>
      </c>
      <c r="J67" s="27"/>
      <c r="L67" s="23"/>
      <c r="M67" s="24"/>
      <c r="N67" s="25"/>
    </row>
    <row r="68" spans="1:22" ht="15.75" hidden="1" customHeight="1">
      <c r="A68" s="33">
        <v>27</v>
      </c>
      <c r="B68" s="16" t="s">
        <v>50</v>
      </c>
      <c r="C68" s="18" t="s">
        <v>137</v>
      </c>
      <c r="D68" s="16"/>
      <c r="E68" s="125">
        <v>24648</v>
      </c>
      <c r="F68" s="14">
        <f>SUM(E68/1000)</f>
        <v>24.648</v>
      </c>
      <c r="G68" s="14">
        <v>165.21</v>
      </c>
      <c r="H68" s="109">
        <f t="shared" si="8"/>
        <v>4.0720960800000006</v>
      </c>
      <c r="I68" s="14">
        <f t="shared" ref="I68:I71" si="9">F68*G68</f>
        <v>4072.0960800000003</v>
      </c>
      <c r="J68" s="27"/>
      <c r="L68" s="23"/>
      <c r="M68" s="24"/>
      <c r="N68" s="25"/>
    </row>
    <row r="69" spans="1:22" ht="15.75" hidden="1" customHeight="1">
      <c r="A69" s="33">
        <v>28</v>
      </c>
      <c r="B69" s="16" t="s">
        <v>51</v>
      </c>
      <c r="C69" s="18" t="s">
        <v>81</v>
      </c>
      <c r="D69" s="16" t="s">
        <v>55</v>
      </c>
      <c r="E69" s="125">
        <v>2730</v>
      </c>
      <c r="F69" s="14">
        <f>SUM(E69/100)</f>
        <v>27.3</v>
      </c>
      <c r="G69" s="14">
        <v>2074.63</v>
      </c>
      <c r="H69" s="109">
        <f t="shared" si="8"/>
        <v>56.637399000000002</v>
      </c>
      <c r="I69" s="14">
        <f t="shared" si="9"/>
        <v>56637.399000000005</v>
      </c>
      <c r="J69" s="27"/>
      <c r="L69" s="23"/>
    </row>
    <row r="70" spans="1:22" ht="15.75" hidden="1" customHeight="1">
      <c r="A70" s="33">
        <v>29</v>
      </c>
      <c r="B70" s="145" t="s">
        <v>138</v>
      </c>
      <c r="C70" s="18" t="s">
        <v>34</v>
      </c>
      <c r="D70" s="16"/>
      <c r="E70" s="125">
        <v>20.28</v>
      </c>
      <c r="F70" s="14">
        <f>SUM(E70)</f>
        <v>20.28</v>
      </c>
      <c r="G70" s="14">
        <v>45.32</v>
      </c>
      <c r="H70" s="109">
        <f t="shared" si="8"/>
        <v>0.91908960000000006</v>
      </c>
      <c r="I70" s="14">
        <f t="shared" si="9"/>
        <v>919.08960000000002</v>
      </c>
    </row>
    <row r="71" spans="1:22" ht="15.75" hidden="1" customHeight="1">
      <c r="A71" s="33">
        <v>30</v>
      </c>
      <c r="B71" s="145" t="s">
        <v>181</v>
      </c>
      <c r="C71" s="18" t="s">
        <v>34</v>
      </c>
      <c r="D71" s="16"/>
      <c r="E71" s="125">
        <v>20.28</v>
      </c>
      <c r="F71" s="14">
        <f>SUM(E71)</f>
        <v>20.28</v>
      </c>
      <c r="G71" s="14">
        <v>42.28</v>
      </c>
      <c r="H71" s="109">
        <f t="shared" si="8"/>
        <v>0.85743840000000016</v>
      </c>
      <c r="I71" s="14">
        <f t="shared" si="9"/>
        <v>857.43840000000012</v>
      </c>
    </row>
    <row r="72" spans="1:22" ht="15.75" hidden="1" customHeight="1">
      <c r="A72" s="33">
        <v>13</v>
      </c>
      <c r="B72" s="16" t="s">
        <v>59</v>
      </c>
      <c r="C72" s="18" t="s">
        <v>60</v>
      </c>
      <c r="D72" s="16" t="s">
        <v>55</v>
      </c>
      <c r="E72" s="21">
        <v>12</v>
      </c>
      <c r="F72" s="126">
        <f>SUM(E72)</f>
        <v>12</v>
      </c>
      <c r="G72" s="14">
        <v>49.88</v>
      </c>
      <c r="H72" s="109">
        <f t="shared" si="8"/>
        <v>0.59856000000000009</v>
      </c>
      <c r="I72" s="14">
        <v>0</v>
      </c>
    </row>
    <row r="73" spans="1:22" ht="15.75" hidden="1" customHeight="1">
      <c r="A73" s="65"/>
      <c r="B73" s="107" t="s">
        <v>140</v>
      </c>
      <c r="C73" s="107"/>
      <c r="D73" s="107"/>
      <c r="E73" s="107"/>
      <c r="F73" s="107"/>
      <c r="G73" s="107"/>
      <c r="H73" s="107"/>
      <c r="I73" s="21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9"/>
    </row>
    <row r="74" spans="1:22" ht="15.75" hidden="1" customHeight="1">
      <c r="A74" s="33">
        <v>16</v>
      </c>
      <c r="B74" s="124" t="s">
        <v>141</v>
      </c>
      <c r="C74" s="18"/>
      <c r="D74" s="16"/>
      <c r="E74" s="115"/>
      <c r="F74" s="14">
        <v>1</v>
      </c>
      <c r="G74" s="14">
        <v>27356</v>
      </c>
      <c r="H74" s="109">
        <f>G74*F74/1000</f>
        <v>27.356000000000002</v>
      </c>
      <c r="I74" s="14">
        <f>G74</f>
        <v>27356</v>
      </c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33"/>
      <c r="B75" s="60" t="s">
        <v>78</v>
      </c>
      <c r="C75" s="60"/>
      <c r="D75" s="60"/>
      <c r="E75" s="60"/>
      <c r="F75" s="21"/>
      <c r="G75" s="33"/>
      <c r="H75" s="33"/>
      <c r="I75" s="21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33"/>
      <c r="B76" s="16" t="s">
        <v>97</v>
      </c>
      <c r="C76" s="18" t="s">
        <v>32</v>
      </c>
      <c r="D76" s="16"/>
      <c r="E76" s="21">
        <v>2</v>
      </c>
      <c r="F76" s="126">
        <f>SUM(E76)</f>
        <v>2</v>
      </c>
      <c r="G76" s="14">
        <v>358.51</v>
      </c>
      <c r="H76" s="109">
        <f>SUM(F76*G76/1000)</f>
        <v>0.71701999999999999</v>
      </c>
      <c r="I76" s="14">
        <v>0</v>
      </c>
      <c r="J76" s="5"/>
      <c r="K76" s="5"/>
      <c r="L76" s="5"/>
      <c r="M76" s="5"/>
      <c r="N76" s="5"/>
      <c r="O76" s="5"/>
      <c r="P76" s="5"/>
      <c r="Q76" s="5"/>
      <c r="R76" s="180"/>
      <c r="S76" s="180"/>
      <c r="T76" s="180"/>
      <c r="U76" s="180"/>
    </row>
    <row r="77" spans="1:22" ht="15.75" hidden="1" customHeight="1">
      <c r="A77" s="33"/>
      <c r="B77" s="16" t="s">
        <v>79</v>
      </c>
      <c r="C77" s="18" t="s">
        <v>32</v>
      </c>
      <c r="D77" s="16"/>
      <c r="E77" s="21">
        <v>1</v>
      </c>
      <c r="F77" s="14">
        <v>1</v>
      </c>
      <c r="G77" s="14">
        <v>852.99</v>
      </c>
      <c r="H77" s="109">
        <f>F77*G77/1000</f>
        <v>0.85299000000000003</v>
      </c>
      <c r="I77" s="14">
        <v>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2" ht="15.75" hidden="1" customHeight="1">
      <c r="A78" s="33"/>
      <c r="B78" s="61" t="s">
        <v>80</v>
      </c>
      <c r="C78" s="47"/>
      <c r="D78" s="33"/>
      <c r="E78" s="33"/>
      <c r="F78" s="21"/>
      <c r="G78" s="43" t="s">
        <v>158</v>
      </c>
      <c r="H78" s="43"/>
      <c r="I78" s="21"/>
    </row>
    <row r="79" spans="1:22" ht="15.75" hidden="1" customHeight="1">
      <c r="A79" s="33">
        <v>39</v>
      </c>
      <c r="B79" s="63" t="s">
        <v>142</v>
      </c>
      <c r="C79" s="18" t="s">
        <v>81</v>
      </c>
      <c r="D79" s="16"/>
      <c r="E79" s="21"/>
      <c r="F79" s="14">
        <v>1.35</v>
      </c>
      <c r="G79" s="14">
        <v>2759.44</v>
      </c>
      <c r="H79" s="109">
        <f>SUM(F79*G79/1000)</f>
        <v>3.725244</v>
      </c>
      <c r="I79" s="14">
        <v>0</v>
      </c>
    </row>
    <row r="80" spans="1:22" ht="15.75" customHeight="1">
      <c r="A80" s="171" t="s">
        <v>237</v>
      </c>
      <c r="B80" s="172"/>
      <c r="C80" s="172"/>
      <c r="D80" s="172"/>
      <c r="E80" s="172"/>
      <c r="F80" s="172"/>
      <c r="G80" s="172"/>
      <c r="H80" s="172"/>
      <c r="I80" s="173"/>
    </row>
    <row r="81" spans="1:9" ht="15.75" customHeight="1">
      <c r="A81" s="33">
        <v>16</v>
      </c>
      <c r="B81" s="124" t="s">
        <v>143</v>
      </c>
      <c r="C81" s="18" t="s">
        <v>56</v>
      </c>
      <c r="D81" s="147" t="s">
        <v>57</v>
      </c>
      <c r="E81" s="14">
        <v>5926.8</v>
      </c>
      <c r="F81" s="14">
        <f>SUM(E81*12)</f>
        <v>71121.600000000006</v>
      </c>
      <c r="G81" s="14">
        <v>2.1</v>
      </c>
      <c r="H81" s="109">
        <f>SUM(F81*G81/1000)</f>
        <v>149.35536000000002</v>
      </c>
      <c r="I81" s="14">
        <f>F81/12*G81</f>
        <v>12446.28</v>
      </c>
    </row>
    <row r="82" spans="1:9" ht="31.5" customHeight="1">
      <c r="A82" s="33">
        <v>17</v>
      </c>
      <c r="B82" s="16" t="s">
        <v>82</v>
      </c>
      <c r="C82" s="18"/>
      <c r="D82" s="147" t="s">
        <v>57</v>
      </c>
      <c r="E82" s="125">
        <v>5926.8</v>
      </c>
      <c r="F82" s="14">
        <f>E82*12</f>
        <v>71121.600000000006</v>
      </c>
      <c r="G82" s="14">
        <v>1.63</v>
      </c>
      <c r="H82" s="109">
        <f>F82*G82/1000</f>
        <v>115.928208</v>
      </c>
      <c r="I82" s="14">
        <f>F82/12*G82</f>
        <v>9660.6839999999993</v>
      </c>
    </row>
    <row r="83" spans="1:9" ht="15.75" customHeight="1">
      <c r="A83" s="65"/>
      <c r="B83" s="50" t="s">
        <v>85</v>
      </c>
      <c r="C83" s="52"/>
      <c r="D83" s="17"/>
      <c r="E83" s="17"/>
      <c r="F83" s="17"/>
      <c r="G83" s="21"/>
      <c r="H83" s="21"/>
      <c r="I83" s="35">
        <f>SUM(I16+I17+I18+I20+I21+I24+I26+I27+I28+I31+I32+I34+I35+I62+I65+I81+I82)</f>
        <v>81197.7503535</v>
      </c>
    </row>
    <row r="84" spans="1:9" ht="15.75" customHeight="1">
      <c r="A84" s="174" t="s">
        <v>63</v>
      </c>
      <c r="B84" s="175"/>
      <c r="C84" s="175"/>
      <c r="D84" s="175"/>
      <c r="E84" s="175"/>
      <c r="F84" s="175"/>
      <c r="G84" s="175"/>
      <c r="H84" s="175"/>
      <c r="I84" s="176"/>
    </row>
    <row r="85" spans="1:9" ht="31.5" customHeight="1">
      <c r="A85" s="33">
        <v>18</v>
      </c>
      <c r="B85" s="69" t="s">
        <v>161</v>
      </c>
      <c r="C85" s="84" t="s">
        <v>38</v>
      </c>
      <c r="D85" s="82"/>
      <c r="E85" s="43"/>
      <c r="F85" s="43">
        <v>7.0000000000000007E-2</v>
      </c>
      <c r="G85" s="43">
        <v>3581.13</v>
      </c>
      <c r="H85" s="146">
        <f t="shared" ref="H85" si="10">G85*F85/1000</f>
        <v>0.25067910000000004</v>
      </c>
      <c r="I85" s="14">
        <f>G85*0.01</f>
        <v>35.811300000000003</v>
      </c>
    </row>
    <row r="86" spans="1:9" ht="15.75" customHeight="1">
      <c r="A86" s="33">
        <v>19</v>
      </c>
      <c r="B86" s="152" t="s">
        <v>111</v>
      </c>
      <c r="C86" s="153" t="s">
        <v>135</v>
      </c>
      <c r="D86" s="63"/>
      <c r="E86" s="43"/>
      <c r="F86" s="43">
        <v>968</v>
      </c>
      <c r="G86" s="44">
        <v>53.42</v>
      </c>
      <c r="H86" s="146">
        <f>G86*F86/1000</f>
        <v>51.710560000000008</v>
      </c>
      <c r="I86" s="14">
        <f>G86*121</f>
        <v>6463.8200000000006</v>
      </c>
    </row>
    <row r="87" spans="1:9" ht="31.5" customHeight="1">
      <c r="A87" s="33">
        <v>20</v>
      </c>
      <c r="B87" s="69" t="s">
        <v>84</v>
      </c>
      <c r="C87" s="84" t="s">
        <v>135</v>
      </c>
      <c r="D87" s="63"/>
      <c r="E87" s="43"/>
      <c r="F87" s="43">
        <v>8</v>
      </c>
      <c r="G87" s="43">
        <v>83.36</v>
      </c>
      <c r="H87" s="146">
        <f>G87*F87/1000</f>
        <v>0.66688000000000003</v>
      </c>
      <c r="I87" s="14">
        <f>G87*2</f>
        <v>166.72</v>
      </c>
    </row>
    <row r="88" spans="1:9" ht="15.75" customHeight="1">
      <c r="A88" s="33">
        <v>21</v>
      </c>
      <c r="B88" s="69" t="s">
        <v>185</v>
      </c>
      <c r="C88" s="84" t="s">
        <v>89</v>
      </c>
      <c r="D88" s="82"/>
      <c r="E88" s="43"/>
      <c r="F88" s="43">
        <v>4</v>
      </c>
      <c r="G88" s="43">
        <v>195.85</v>
      </c>
      <c r="H88" s="146">
        <f>G88*F88/1000</f>
        <v>0.78339999999999999</v>
      </c>
      <c r="I88" s="14">
        <f>G88</f>
        <v>195.85</v>
      </c>
    </row>
    <row r="89" spans="1:9" ht="31.5" customHeight="1">
      <c r="A89" s="33">
        <v>22</v>
      </c>
      <c r="B89" s="69" t="s">
        <v>98</v>
      </c>
      <c r="C89" s="84" t="s">
        <v>101</v>
      </c>
      <c r="D89" s="63"/>
      <c r="E89" s="43"/>
      <c r="F89" s="43">
        <v>9</v>
      </c>
      <c r="G89" s="44">
        <v>589.84</v>
      </c>
      <c r="H89" s="146">
        <f>G89*F89/1000</f>
        <v>5.3085600000000008</v>
      </c>
      <c r="I89" s="14">
        <f>G89*2</f>
        <v>1179.68</v>
      </c>
    </row>
    <row r="90" spans="1:9" ht="31.5" customHeight="1">
      <c r="A90" s="33">
        <v>23</v>
      </c>
      <c r="B90" s="69" t="s">
        <v>223</v>
      </c>
      <c r="C90" s="84" t="s">
        <v>101</v>
      </c>
      <c r="D90" s="82"/>
      <c r="E90" s="43"/>
      <c r="F90" s="43">
        <v>3</v>
      </c>
      <c r="G90" s="43">
        <v>506.98</v>
      </c>
      <c r="H90" s="146">
        <f t="shared" ref="H90:H93" si="11">G90*F90/1000</f>
        <v>1.52094</v>
      </c>
      <c r="I90" s="14">
        <f>G90*3</f>
        <v>1520.94</v>
      </c>
    </row>
    <row r="91" spans="1:9" ht="15.75" customHeight="1">
      <c r="A91" s="33">
        <v>24</v>
      </c>
      <c r="B91" s="152" t="s">
        <v>224</v>
      </c>
      <c r="C91" s="153" t="s">
        <v>225</v>
      </c>
      <c r="D91" s="82"/>
      <c r="E91" s="43"/>
      <c r="F91" s="43">
        <f>1/10</f>
        <v>0.1</v>
      </c>
      <c r="G91" s="43">
        <v>976.72</v>
      </c>
      <c r="H91" s="146">
        <f t="shared" si="11"/>
        <v>9.7672000000000009E-2</v>
      </c>
      <c r="I91" s="14">
        <f>G91*0.1</f>
        <v>97.672000000000011</v>
      </c>
    </row>
    <row r="92" spans="1:9" ht="15.75" customHeight="1">
      <c r="A92" s="33">
        <v>25</v>
      </c>
      <c r="B92" s="149" t="s">
        <v>226</v>
      </c>
      <c r="C92" s="150" t="s">
        <v>100</v>
      </c>
      <c r="D92" s="82"/>
      <c r="E92" s="43"/>
      <c r="F92" s="43">
        <v>1</v>
      </c>
      <c r="G92" s="43">
        <v>1120.8900000000001</v>
      </c>
      <c r="H92" s="146">
        <f>G92*F92/1000</f>
        <v>1.1208900000000002</v>
      </c>
      <c r="I92" s="14">
        <f>G92</f>
        <v>1120.8900000000001</v>
      </c>
    </row>
    <row r="93" spans="1:9" ht="15.75" customHeight="1">
      <c r="A93" s="155">
        <v>26</v>
      </c>
      <c r="B93" s="69" t="s">
        <v>227</v>
      </c>
      <c r="C93" s="84" t="s">
        <v>228</v>
      </c>
      <c r="D93" s="82"/>
      <c r="E93" s="43"/>
      <c r="F93" s="43">
        <v>0.02</v>
      </c>
      <c r="G93" s="43">
        <v>7412.92</v>
      </c>
      <c r="H93" s="146">
        <f t="shared" si="11"/>
        <v>0.14825839999999998</v>
      </c>
      <c r="I93" s="14">
        <f>G93*0.01</f>
        <v>74.129199999999997</v>
      </c>
    </row>
    <row r="94" spans="1:9" ht="15.75" customHeight="1">
      <c r="A94" s="33"/>
      <c r="B94" s="57" t="s">
        <v>52</v>
      </c>
      <c r="C94" s="53"/>
      <c r="D94" s="67"/>
      <c r="E94" s="67"/>
      <c r="F94" s="53">
        <v>1</v>
      </c>
      <c r="G94" s="53"/>
      <c r="H94" s="53"/>
      <c r="I94" s="35">
        <f>SUM(I85:I93)</f>
        <v>10855.512500000001</v>
      </c>
    </row>
    <row r="95" spans="1:9" ht="15.75" customHeight="1">
      <c r="A95" s="33"/>
      <c r="B95" s="63" t="s">
        <v>83</v>
      </c>
      <c r="C95" s="17"/>
      <c r="D95" s="17"/>
      <c r="E95" s="17"/>
      <c r="F95" s="54"/>
      <c r="G95" s="55"/>
      <c r="H95" s="55"/>
      <c r="I95" s="20">
        <v>0</v>
      </c>
    </row>
    <row r="96" spans="1:9" ht="15.75" customHeight="1">
      <c r="A96" s="68"/>
      <c r="B96" s="58" t="s">
        <v>182</v>
      </c>
      <c r="C96" s="41"/>
      <c r="D96" s="41"/>
      <c r="E96" s="41"/>
      <c r="F96" s="41"/>
      <c r="G96" s="41"/>
      <c r="H96" s="41"/>
      <c r="I96" s="56">
        <f>I83+I94</f>
        <v>92053.262853499997</v>
      </c>
    </row>
    <row r="97" spans="1:9" ht="15.75" customHeight="1">
      <c r="A97" s="190" t="s">
        <v>247</v>
      </c>
      <c r="B97" s="190"/>
      <c r="C97" s="190"/>
      <c r="D97" s="190"/>
      <c r="E97" s="190"/>
      <c r="F97" s="190"/>
      <c r="G97" s="190"/>
      <c r="H97" s="190"/>
      <c r="I97" s="190"/>
    </row>
    <row r="98" spans="1:9" ht="15.75" customHeight="1">
      <c r="A98" s="108"/>
      <c r="B98" s="182" t="s">
        <v>248</v>
      </c>
      <c r="C98" s="182"/>
      <c r="D98" s="182"/>
      <c r="E98" s="182"/>
      <c r="F98" s="182"/>
      <c r="G98" s="182"/>
      <c r="H98" s="123"/>
      <c r="I98" s="3"/>
    </row>
    <row r="99" spans="1:9" ht="15.75" customHeight="1">
      <c r="A99" s="103"/>
      <c r="B99" s="178" t="s">
        <v>6</v>
      </c>
      <c r="C99" s="178"/>
      <c r="D99" s="178"/>
      <c r="E99" s="178"/>
      <c r="F99" s="178"/>
      <c r="G99" s="178"/>
      <c r="H99" s="28"/>
      <c r="I99" s="5"/>
    </row>
    <row r="100" spans="1:9" ht="15.75" customHeight="1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 customHeight="1">
      <c r="A101" s="183" t="s">
        <v>7</v>
      </c>
      <c r="B101" s="183"/>
      <c r="C101" s="183"/>
      <c r="D101" s="183"/>
      <c r="E101" s="183"/>
      <c r="F101" s="183"/>
      <c r="G101" s="183"/>
      <c r="H101" s="183"/>
      <c r="I101" s="183"/>
    </row>
    <row r="102" spans="1:9" ht="15.75" customHeight="1">
      <c r="A102" s="183" t="s">
        <v>8</v>
      </c>
      <c r="B102" s="183"/>
      <c r="C102" s="183"/>
      <c r="D102" s="183"/>
      <c r="E102" s="183"/>
      <c r="F102" s="183"/>
      <c r="G102" s="183"/>
      <c r="H102" s="183"/>
      <c r="I102" s="183"/>
    </row>
    <row r="103" spans="1:9" ht="15.75" customHeight="1">
      <c r="A103" s="184" t="s">
        <v>65</v>
      </c>
      <c r="B103" s="184"/>
      <c r="C103" s="184"/>
      <c r="D103" s="184"/>
      <c r="E103" s="184"/>
      <c r="F103" s="184"/>
      <c r="G103" s="184"/>
      <c r="H103" s="184"/>
      <c r="I103" s="184"/>
    </row>
    <row r="104" spans="1:9" ht="15.75" customHeight="1">
      <c r="A104" s="11"/>
    </row>
    <row r="105" spans="1:9" ht="15.75" customHeight="1">
      <c r="A105" s="185" t="s">
        <v>9</v>
      </c>
      <c r="B105" s="185"/>
      <c r="C105" s="185"/>
      <c r="D105" s="185"/>
      <c r="E105" s="185"/>
      <c r="F105" s="185"/>
      <c r="G105" s="185"/>
      <c r="H105" s="185"/>
      <c r="I105" s="185"/>
    </row>
    <row r="106" spans="1:9" ht="15.75" customHeight="1">
      <c r="A106" s="4"/>
    </row>
    <row r="107" spans="1:9" ht="15.75" customHeight="1">
      <c r="B107" s="102" t="s">
        <v>10</v>
      </c>
      <c r="C107" s="177" t="s">
        <v>99</v>
      </c>
      <c r="D107" s="177"/>
      <c r="E107" s="177"/>
      <c r="F107" s="177"/>
      <c r="I107" s="105"/>
    </row>
    <row r="108" spans="1:9" ht="15.75" customHeight="1">
      <c r="A108" s="103"/>
      <c r="C108" s="178" t="s">
        <v>11</v>
      </c>
      <c r="D108" s="178"/>
      <c r="E108" s="178"/>
      <c r="F108" s="178"/>
      <c r="I108" s="104" t="s">
        <v>12</v>
      </c>
    </row>
    <row r="109" spans="1:9" ht="15.75" customHeight="1">
      <c r="A109" s="29"/>
      <c r="C109" s="12"/>
      <c r="D109" s="12"/>
      <c r="E109" s="12"/>
      <c r="G109" s="12"/>
      <c r="H109" s="12"/>
    </row>
    <row r="110" spans="1:9" ht="15.75" customHeight="1">
      <c r="B110" s="102" t="s">
        <v>13</v>
      </c>
      <c r="C110" s="179"/>
      <c r="D110" s="179"/>
      <c r="E110" s="179"/>
      <c r="F110" s="179"/>
      <c r="I110" s="105"/>
    </row>
    <row r="111" spans="1:9" ht="15.75" customHeight="1">
      <c r="A111" s="103"/>
      <c r="C111" s="180" t="s">
        <v>11</v>
      </c>
      <c r="D111" s="180"/>
      <c r="E111" s="180"/>
      <c r="F111" s="180"/>
      <c r="I111" s="104" t="s">
        <v>12</v>
      </c>
    </row>
    <row r="112" spans="1:9" ht="15.75" customHeight="1">
      <c r="A112" s="4" t="s">
        <v>14</v>
      </c>
    </row>
    <row r="113" spans="1:9">
      <c r="A113" s="181" t="s">
        <v>15</v>
      </c>
      <c r="B113" s="181"/>
      <c r="C113" s="181"/>
      <c r="D113" s="181"/>
      <c r="E113" s="181"/>
      <c r="F113" s="181"/>
      <c r="G113" s="181"/>
      <c r="H113" s="181"/>
      <c r="I113" s="181"/>
    </row>
    <row r="114" spans="1:9" ht="45" customHeight="1">
      <c r="A114" s="170" t="s">
        <v>16</v>
      </c>
      <c r="B114" s="170"/>
      <c r="C114" s="170"/>
      <c r="D114" s="170"/>
      <c r="E114" s="170"/>
      <c r="F114" s="170"/>
      <c r="G114" s="170"/>
      <c r="H114" s="170"/>
      <c r="I114" s="170"/>
    </row>
    <row r="115" spans="1:9" ht="30" customHeight="1">
      <c r="A115" s="170" t="s">
        <v>17</v>
      </c>
      <c r="B115" s="170"/>
      <c r="C115" s="170"/>
      <c r="D115" s="170"/>
      <c r="E115" s="170"/>
      <c r="F115" s="170"/>
      <c r="G115" s="170"/>
      <c r="H115" s="170"/>
      <c r="I115" s="170"/>
    </row>
    <row r="116" spans="1:9" ht="30" customHeight="1">
      <c r="A116" s="170" t="s">
        <v>21</v>
      </c>
      <c r="B116" s="170"/>
      <c r="C116" s="170"/>
      <c r="D116" s="170"/>
      <c r="E116" s="170"/>
      <c r="F116" s="170"/>
      <c r="G116" s="170"/>
      <c r="H116" s="170"/>
      <c r="I116" s="170"/>
    </row>
    <row r="117" spans="1:9" ht="15" customHeight="1">
      <c r="A117" s="170" t="s">
        <v>20</v>
      </c>
      <c r="B117" s="170"/>
      <c r="C117" s="170"/>
      <c r="D117" s="170"/>
      <c r="E117" s="170"/>
      <c r="F117" s="170"/>
      <c r="G117" s="170"/>
      <c r="H117" s="170"/>
      <c r="I117" s="170"/>
    </row>
  </sheetData>
  <autoFilter ref="I12:I71"/>
  <mergeCells count="29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6:U76"/>
    <mergeCell ref="C111:F111"/>
    <mergeCell ref="A84:I84"/>
    <mergeCell ref="A97:I97"/>
    <mergeCell ref="B98:G98"/>
    <mergeCell ref="B99:G99"/>
    <mergeCell ref="A101:I101"/>
    <mergeCell ref="A102:I102"/>
    <mergeCell ref="A103:I103"/>
    <mergeCell ref="A105:I105"/>
    <mergeCell ref="C107:F107"/>
    <mergeCell ref="C108:F108"/>
    <mergeCell ref="C110:F110"/>
    <mergeCell ref="A80:I80"/>
    <mergeCell ref="A113:I113"/>
    <mergeCell ref="A114:I114"/>
    <mergeCell ref="A115:I115"/>
    <mergeCell ref="A116:I116"/>
    <mergeCell ref="A117:I11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94</v>
      </c>
      <c r="I1" s="30"/>
      <c r="J1" s="1"/>
      <c r="K1" s="1"/>
      <c r="L1" s="1"/>
      <c r="M1" s="1"/>
    </row>
    <row r="2" spans="1:13" ht="15.75" customHeight="1">
      <c r="A2" s="32" t="s">
        <v>67</v>
      </c>
      <c r="J2" s="2"/>
      <c r="K2" s="2"/>
      <c r="L2" s="2"/>
      <c r="M2" s="2"/>
    </row>
    <row r="3" spans="1:13" ht="15.75" customHeight="1">
      <c r="A3" s="191" t="s">
        <v>229</v>
      </c>
      <c r="B3" s="191"/>
      <c r="C3" s="191"/>
      <c r="D3" s="191"/>
      <c r="E3" s="191"/>
      <c r="F3" s="191"/>
      <c r="G3" s="191"/>
      <c r="H3" s="191"/>
      <c r="I3" s="191"/>
      <c r="J3" s="3"/>
      <c r="K3" s="3"/>
      <c r="L3" s="3"/>
    </row>
    <row r="4" spans="1:13" ht="31.5" customHeight="1">
      <c r="A4" s="192" t="s">
        <v>144</v>
      </c>
      <c r="B4" s="192"/>
      <c r="C4" s="192"/>
      <c r="D4" s="192"/>
      <c r="E4" s="192"/>
      <c r="F4" s="192"/>
      <c r="G4" s="192"/>
      <c r="H4" s="192"/>
      <c r="I4" s="192"/>
    </row>
    <row r="5" spans="1:13" ht="15.75" customHeight="1">
      <c r="A5" s="191" t="s">
        <v>230</v>
      </c>
      <c r="B5" s="193"/>
      <c r="C5" s="193"/>
      <c r="D5" s="193"/>
      <c r="E5" s="193"/>
      <c r="F5" s="193"/>
      <c r="G5" s="193"/>
      <c r="H5" s="193"/>
      <c r="I5" s="193"/>
      <c r="J5" s="2"/>
      <c r="K5" s="2"/>
      <c r="L5" s="2"/>
      <c r="M5" s="2"/>
    </row>
    <row r="6" spans="1:13" ht="15.75" customHeight="1">
      <c r="A6" s="2"/>
      <c r="B6" s="106"/>
      <c r="C6" s="106"/>
      <c r="D6" s="106"/>
      <c r="E6" s="106"/>
      <c r="F6" s="106"/>
      <c r="G6" s="106"/>
      <c r="H6" s="106"/>
      <c r="I6" s="34">
        <v>42978</v>
      </c>
      <c r="J6" s="2"/>
      <c r="K6" s="2"/>
      <c r="L6" s="2"/>
      <c r="M6" s="2"/>
    </row>
    <row r="7" spans="1:13" ht="15.75" customHeight="1">
      <c r="B7" s="102"/>
      <c r="C7" s="102"/>
      <c r="D7" s="102"/>
      <c r="E7" s="102"/>
      <c r="F7" s="3"/>
      <c r="G7" s="3"/>
      <c r="H7" s="3"/>
      <c r="J7" s="3"/>
      <c r="K7" s="3"/>
      <c r="L7" s="3"/>
      <c r="M7" s="3"/>
    </row>
    <row r="8" spans="1:13" ht="78.75" customHeight="1">
      <c r="A8" s="194" t="s">
        <v>168</v>
      </c>
      <c r="B8" s="194"/>
      <c r="C8" s="194"/>
      <c r="D8" s="194"/>
      <c r="E8" s="194"/>
      <c r="F8" s="194"/>
      <c r="G8" s="194"/>
      <c r="H8" s="194"/>
      <c r="I8" s="194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195" t="s">
        <v>261</v>
      </c>
      <c r="B10" s="195"/>
      <c r="C10" s="195"/>
      <c r="D10" s="195"/>
      <c r="E10" s="195"/>
      <c r="F10" s="195"/>
      <c r="G10" s="195"/>
      <c r="H10" s="195"/>
      <c r="I10" s="19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6" t="s">
        <v>61</v>
      </c>
      <c r="B14" s="196"/>
      <c r="C14" s="196"/>
      <c r="D14" s="196"/>
      <c r="E14" s="196"/>
      <c r="F14" s="196"/>
      <c r="G14" s="196"/>
      <c r="H14" s="196"/>
      <c r="I14" s="196"/>
      <c r="J14" s="8"/>
      <c r="K14" s="8"/>
      <c r="L14" s="8"/>
      <c r="M14" s="8"/>
    </row>
    <row r="15" spans="1:13" ht="15.75" customHeight="1">
      <c r="A15" s="186" t="s">
        <v>4</v>
      </c>
      <c r="B15" s="186"/>
      <c r="C15" s="186"/>
      <c r="D15" s="186"/>
      <c r="E15" s="186"/>
      <c r="F15" s="186"/>
      <c r="G15" s="186"/>
      <c r="H15" s="186"/>
      <c r="I15" s="186"/>
      <c r="J15" s="8"/>
      <c r="K15" s="8"/>
      <c r="L15" s="8"/>
      <c r="M15" s="8"/>
    </row>
    <row r="16" spans="1:13" ht="15.75" customHeight="1">
      <c r="A16" s="33">
        <v>1</v>
      </c>
      <c r="B16" s="124" t="s">
        <v>95</v>
      </c>
      <c r="C16" s="90" t="s">
        <v>117</v>
      </c>
      <c r="D16" s="124" t="s">
        <v>118</v>
      </c>
      <c r="E16" s="125">
        <v>160.5</v>
      </c>
      <c r="F16" s="126">
        <f>SUM(E16*156/100)</f>
        <v>250.38</v>
      </c>
      <c r="G16" s="126">
        <v>175.38</v>
      </c>
      <c r="H16" s="127">
        <f t="shared" ref="H16:H28" si="0">SUM(F16*G16/1000)</f>
        <v>43.9116444</v>
      </c>
      <c r="I16" s="14">
        <f>F16/12*G16</f>
        <v>3659.3036999999995</v>
      </c>
      <c r="J16" s="8"/>
      <c r="K16" s="8"/>
      <c r="L16" s="8"/>
      <c r="M16" s="8"/>
    </row>
    <row r="17" spans="1:13" ht="15.75" customHeight="1">
      <c r="A17" s="33">
        <v>2</v>
      </c>
      <c r="B17" s="124" t="s">
        <v>102</v>
      </c>
      <c r="C17" s="90" t="s">
        <v>117</v>
      </c>
      <c r="D17" s="124" t="s">
        <v>119</v>
      </c>
      <c r="E17" s="125">
        <v>642</v>
      </c>
      <c r="F17" s="126">
        <f>SUM(E17*104/100)</f>
        <v>667.68</v>
      </c>
      <c r="G17" s="126">
        <v>175.38</v>
      </c>
      <c r="H17" s="127">
        <f t="shared" si="0"/>
        <v>117.09771839999998</v>
      </c>
      <c r="I17" s="14">
        <f>F17/12*G17</f>
        <v>9758.1431999999986</v>
      </c>
      <c r="J17" s="26"/>
      <c r="K17" s="8"/>
      <c r="L17" s="8"/>
      <c r="M17" s="8"/>
    </row>
    <row r="18" spans="1:13" ht="15.75" customHeight="1">
      <c r="A18" s="33">
        <v>3</v>
      </c>
      <c r="B18" s="124" t="s">
        <v>103</v>
      </c>
      <c r="C18" s="90" t="s">
        <v>117</v>
      </c>
      <c r="D18" s="124" t="s">
        <v>120</v>
      </c>
      <c r="E18" s="125">
        <f>SUM(E16+E17)</f>
        <v>802.5</v>
      </c>
      <c r="F18" s="126">
        <f>SUM(E18*24/100)</f>
        <v>192.6</v>
      </c>
      <c r="G18" s="126">
        <v>504.5</v>
      </c>
      <c r="H18" s="127">
        <f t="shared" si="0"/>
        <v>97.166699999999992</v>
      </c>
      <c r="I18" s="14">
        <f>F18/12*G18</f>
        <v>8097.2250000000004</v>
      </c>
      <c r="J18" s="26"/>
      <c r="K18" s="8"/>
      <c r="L18" s="8"/>
      <c r="M18" s="8"/>
    </row>
    <row r="19" spans="1:13" ht="15.75" hidden="1" customHeight="1">
      <c r="A19" s="33">
        <v>4</v>
      </c>
      <c r="B19" s="124" t="s">
        <v>121</v>
      </c>
      <c r="C19" s="90" t="s">
        <v>122</v>
      </c>
      <c r="D19" s="124" t="s">
        <v>123</v>
      </c>
      <c r="E19" s="125">
        <v>38.4</v>
      </c>
      <c r="F19" s="126">
        <f>SUM(E19/10)</f>
        <v>3.84</v>
      </c>
      <c r="G19" s="126">
        <v>170.16</v>
      </c>
      <c r="H19" s="127">
        <f t="shared" si="0"/>
        <v>0.65341439999999995</v>
      </c>
      <c r="I19" s="14">
        <f>F19/2*G19</f>
        <v>326.7072</v>
      </c>
      <c r="J19" s="26"/>
      <c r="K19" s="8"/>
      <c r="L19" s="8"/>
      <c r="M19" s="8"/>
    </row>
    <row r="20" spans="1:13" ht="15.75" customHeight="1">
      <c r="A20" s="33">
        <v>4</v>
      </c>
      <c r="B20" s="124" t="s">
        <v>107</v>
      </c>
      <c r="C20" s="90" t="s">
        <v>117</v>
      </c>
      <c r="D20" s="124" t="s">
        <v>31</v>
      </c>
      <c r="E20" s="125">
        <v>58.4</v>
      </c>
      <c r="F20" s="126">
        <f>SUM(E20*12/100)</f>
        <v>7.0079999999999991</v>
      </c>
      <c r="G20" s="126">
        <v>217.88</v>
      </c>
      <c r="H20" s="127">
        <f t="shared" si="0"/>
        <v>1.5269030399999997</v>
      </c>
      <c r="I20" s="14">
        <f>F20/12*G20</f>
        <v>127.24191999999999</v>
      </c>
      <c r="J20" s="26"/>
      <c r="K20" s="8"/>
      <c r="L20" s="8"/>
      <c r="M20" s="8"/>
    </row>
    <row r="21" spans="1:13" ht="15.75" customHeight="1">
      <c r="A21" s="33">
        <v>5</v>
      </c>
      <c r="B21" s="124" t="s">
        <v>108</v>
      </c>
      <c r="C21" s="90" t="s">
        <v>117</v>
      </c>
      <c r="D21" s="124" t="s">
        <v>31</v>
      </c>
      <c r="E21" s="125">
        <v>9.08</v>
      </c>
      <c r="F21" s="126">
        <f>SUM(E21*12/100)</f>
        <v>1.0896000000000001</v>
      </c>
      <c r="G21" s="126">
        <v>216.12</v>
      </c>
      <c r="H21" s="127">
        <f t="shared" si="0"/>
        <v>0.23548435200000004</v>
      </c>
      <c r="I21" s="14">
        <f>F21/12*G21</f>
        <v>19.623696000000002</v>
      </c>
      <c r="J21" s="26"/>
      <c r="K21" s="8"/>
      <c r="L21" s="8"/>
      <c r="M21" s="8"/>
    </row>
    <row r="22" spans="1:13" ht="15.75" hidden="1" customHeight="1">
      <c r="A22" s="33">
        <v>7</v>
      </c>
      <c r="B22" s="124" t="s">
        <v>124</v>
      </c>
      <c r="C22" s="90" t="s">
        <v>54</v>
      </c>
      <c r="D22" s="124" t="s">
        <v>123</v>
      </c>
      <c r="E22" s="125">
        <v>822.72</v>
      </c>
      <c r="F22" s="126">
        <f>SUM(E22/100)</f>
        <v>8.2271999999999998</v>
      </c>
      <c r="G22" s="126">
        <v>269.26</v>
      </c>
      <c r="H22" s="127">
        <f t="shared" si="0"/>
        <v>2.2152558719999997</v>
      </c>
      <c r="I22" s="14">
        <f>F22*G22</f>
        <v>2215.2558719999997</v>
      </c>
      <c r="J22" s="26"/>
      <c r="K22" s="8"/>
      <c r="L22" s="8"/>
      <c r="M22" s="8"/>
    </row>
    <row r="23" spans="1:13" ht="15.75" hidden="1" customHeight="1">
      <c r="A23" s="33">
        <v>8</v>
      </c>
      <c r="B23" s="124" t="s">
        <v>125</v>
      </c>
      <c r="C23" s="90" t="s">
        <v>54</v>
      </c>
      <c r="D23" s="124" t="s">
        <v>123</v>
      </c>
      <c r="E23" s="128">
        <v>96.6</v>
      </c>
      <c r="F23" s="126">
        <f>SUM(E23/100)</f>
        <v>0.96599999999999997</v>
      </c>
      <c r="G23" s="126">
        <v>44.29</v>
      </c>
      <c r="H23" s="127">
        <f t="shared" si="0"/>
        <v>4.2784139999999998E-2</v>
      </c>
      <c r="I23" s="14">
        <f>F23*G23</f>
        <v>42.784140000000001</v>
      </c>
      <c r="J23" s="26"/>
      <c r="K23" s="8"/>
      <c r="L23" s="8"/>
      <c r="M23" s="8"/>
    </row>
    <row r="24" spans="1:13" ht="15.75" customHeight="1">
      <c r="A24" s="33">
        <v>6</v>
      </c>
      <c r="B24" s="124" t="s">
        <v>113</v>
      </c>
      <c r="C24" s="90" t="s">
        <v>54</v>
      </c>
      <c r="D24" s="124" t="s">
        <v>31</v>
      </c>
      <c r="E24" s="129">
        <v>32</v>
      </c>
      <c r="F24" s="126">
        <f>32*12/1000</f>
        <v>0.38400000000000001</v>
      </c>
      <c r="G24" s="126">
        <v>389.42</v>
      </c>
      <c r="H24" s="127">
        <f>G24*F24/100</f>
        <v>1.4953728000000002</v>
      </c>
      <c r="I24" s="14">
        <f>F24/12*G24</f>
        <v>12.461440000000001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124" t="s">
        <v>145</v>
      </c>
      <c r="C25" s="90" t="s">
        <v>54</v>
      </c>
      <c r="D25" s="124" t="s">
        <v>55</v>
      </c>
      <c r="E25" s="130">
        <v>38</v>
      </c>
      <c r="F25" s="126">
        <v>0.38</v>
      </c>
      <c r="G25" s="126">
        <v>216.12</v>
      </c>
      <c r="H25" s="127">
        <f>G25*F25/1000</f>
        <v>8.2125600000000007E-2</v>
      </c>
      <c r="I25" s="14">
        <f>F25*G25</f>
        <v>82.125600000000006</v>
      </c>
      <c r="J25" s="26"/>
      <c r="K25" s="8"/>
      <c r="L25" s="8"/>
      <c r="M25" s="8"/>
    </row>
    <row r="26" spans="1:13" ht="15.75" customHeight="1">
      <c r="A26" s="33">
        <v>7</v>
      </c>
      <c r="B26" s="124" t="s">
        <v>114</v>
      </c>
      <c r="C26" s="90" t="s">
        <v>54</v>
      </c>
      <c r="D26" s="124" t="s">
        <v>146</v>
      </c>
      <c r="E26" s="125">
        <v>17</v>
      </c>
      <c r="F26" s="126">
        <f>SUM(E26*12/100)</f>
        <v>2.04</v>
      </c>
      <c r="G26" s="126">
        <v>520.79999999999995</v>
      </c>
      <c r="H26" s="127">
        <f t="shared" si="0"/>
        <v>1.062432</v>
      </c>
      <c r="I26" s="14">
        <f>F26/12*G26</f>
        <v>88.536000000000001</v>
      </c>
      <c r="J26" s="26"/>
      <c r="K26" s="8"/>
      <c r="L26" s="8"/>
      <c r="M26" s="8"/>
    </row>
    <row r="27" spans="1:13" ht="15.75" customHeight="1">
      <c r="A27" s="33">
        <v>8</v>
      </c>
      <c r="B27" s="124" t="s">
        <v>69</v>
      </c>
      <c r="C27" s="90" t="s">
        <v>34</v>
      </c>
      <c r="D27" s="124" t="s">
        <v>179</v>
      </c>
      <c r="E27" s="125">
        <v>0.1</v>
      </c>
      <c r="F27" s="126">
        <f>SUM(E27*365)</f>
        <v>36.5</v>
      </c>
      <c r="G27" s="126">
        <v>147.03</v>
      </c>
      <c r="H27" s="127">
        <f t="shared" si="0"/>
        <v>5.3665950000000002</v>
      </c>
      <c r="I27" s="14">
        <f>F27/12*G27</f>
        <v>447.21625</v>
      </c>
      <c r="J27" s="26"/>
      <c r="K27" s="8"/>
      <c r="L27" s="8"/>
      <c r="M27" s="8"/>
    </row>
    <row r="28" spans="1:13" ht="15.75" customHeight="1">
      <c r="A28" s="33">
        <v>9</v>
      </c>
      <c r="B28" s="131" t="s">
        <v>23</v>
      </c>
      <c r="C28" s="90" t="s">
        <v>24</v>
      </c>
      <c r="D28" s="131" t="s">
        <v>179</v>
      </c>
      <c r="E28" s="125">
        <v>5926.8</v>
      </c>
      <c r="F28" s="126">
        <f>SUM(E28*12)</f>
        <v>71121.600000000006</v>
      </c>
      <c r="G28" s="126">
        <v>4.53</v>
      </c>
      <c r="H28" s="127">
        <f t="shared" si="0"/>
        <v>322.18084800000008</v>
      </c>
      <c r="I28" s="14">
        <f>F28/12*G28</f>
        <v>26848.404000000002</v>
      </c>
      <c r="J28" s="26"/>
      <c r="K28" s="8"/>
      <c r="L28" s="8"/>
      <c r="M28" s="8"/>
    </row>
    <row r="29" spans="1:13" ht="15.75" customHeight="1">
      <c r="A29" s="186" t="s">
        <v>93</v>
      </c>
      <c r="B29" s="186"/>
      <c r="C29" s="186"/>
      <c r="D29" s="186"/>
      <c r="E29" s="186"/>
      <c r="F29" s="186"/>
      <c r="G29" s="186"/>
      <c r="H29" s="186"/>
      <c r="I29" s="186"/>
      <c r="J29" s="26"/>
      <c r="K29" s="8"/>
      <c r="L29" s="8"/>
      <c r="M29" s="8"/>
    </row>
    <row r="30" spans="1:13" ht="15.75" customHeight="1">
      <c r="A30" s="52"/>
      <c r="B30" s="62" t="s">
        <v>29</v>
      </c>
      <c r="C30" s="62"/>
      <c r="D30" s="62"/>
      <c r="E30" s="62"/>
      <c r="F30" s="62"/>
      <c r="G30" s="62"/>
      <c r="H30" s="62"/>
      <c r="I30" s="21"/>
      <c r="J30" s="26"/>
      <c r="K30" s="8"/>
      <c r="L30" s="8"/>
      <c r="M30" s="8"/>
    </row>
    <row r="31" spans="1:13" ht="15.75" customHeight="1">
      <c r="A31" s="52">
        <v>10</v>
      </c>
      <c r="B31" s="124" t="s">
        <v>126</v>
      </c>
      <c r="C31" s="90" t="s">
        <v>127</v>
      </c>
      <c r="D31" s="124" t="s">
        <v>148</v>
      </c>
      <c r="E31" s="126">
        <v>2732.4</v>
      </c>
      <c r="F31" s="126">
        <f>SUM(E31*26/1000)</f>
        <v>71.042400000000015</v>
      </c>
      <c r="G31" s="126">
        <v>155.88999999999999</v>
      </c>
      <c r="H31" s="127">
        <f t="shared" ref="H31:H33" si="1">SUM(F31*G31/1000)</f>
        <v>11.074799736000001</v>
      </c>
      <c r="I31" s="14">
        <f>F31/6*G31</f>
        <v>1845.7999560000003</v>
      </c>
      <c r="J31" s="26"/>
      <c r="K31" s="8"/>
      <c r="L31" s="8"/>
      <c r="M31" s="8"/>
    </row>
    <row r="32" spans="1:13" ht="31.5" customHeight="1">
      <c r="A32" s="52">
        <v>11</v>
      </c>
      <c r="B32" s="124" t="s">
        <v>149</v>
      </c>
      <c r="C32" s="90" t="s">
        <v>127</v>
      </c>
      <c r="D32" s="124" t="s">
        <v>128</v>
      </c>
      <c r="E32" s="126">
        <v>547.85</v>
      </c>
      <c r="F32" s="126">
        <f>SUM(E32*78/1000)</f>
        <v>42.732300000000002</v>
      </c>
      <c r="G32" s="126">
        <v>258.63</v>
      </c>
      <c r="H32" s="127">
        <f t="shared" si="1"/>
        <v>11.051854749</v>
      </c>
      <c r="I32" s="14">
        <f t="shared" ref="I32:I35" si="2">F32/6*G32</f>
        <v>1841.9757915000002</v>
      </c>
      <c r="J32" s="26"/>
      <c r="K32" s="8"/>
      <c r="L32" s="8"/>
      <c r="M32" s="8"/>
    </row>
    <row r="33" spans="1:14" ht="15.75" hidden="1" customHeight="1">
      <c r="A33" s="52">
        <v>16</v>
      </c>
      <c r="B33" s="124" t="s">
        <v>28</v>
      </c>
      <c r="C33" s="90" t="s">
        <v>127</v>
      </c>
      <c r="D33" s="124" t="s">
        <v>55</v>
      </c>
      <c r="E33" s="126">
        <v>2732.4</v>
      </c>
      <c r="F33" s="126">
        <f>SUM(E33/1000)</f>
        <v>2.7324000000000002</v>
      </c>
      <c r="G33" s="126">
        <v>3020.33</v>
      </c>
      <c r="H33" s="127">
        <f t="shared" si="1"/>
        <v>8.2527496920000001</v>
      </c>
      <c r="I33" s="14">
        <f>F33*G33</f>
        <v>8252.7496919999994</v>
      </c>
      <c r="J33" s="26"/>
      <c r="K33" s="8"/>
      <c r="L33" s="8"/>
      <c r="M33" s="8"/>
    </row>
    <row r="34" spans="1:14" ht="15.75" customHeight="1">
      <c r="A34" s="52">
        <v>12</v>
      </c>
      <c r="B34" s="124" t="s">
        <v>147</v>
      </c>
      <c r="C34" s="90" t="s">
        <v>40</v>
      </c>
      <c r="D34" s="124" t="s">
        <v>68</v>
      </c>
      <c r="E34" s="126">
        <v>8</v>
      </c>
      <c r="F34" s="126">
        <v>12.4</v>
      </c>
      <c r="G34" s="126">
        <v>1302.02</v>
      </c>
      <c r="H34" s="127">
        <v>16.145</v>
      </c>
      <c r="I34" s="14">
        <f t="shared" si="2"/>
        <v>2690.8413333333338</v>
      </c>
      <c r="J34" s="26"/>
      <c r="K34" s="8"/>
      <c r="L34" s="8"/>
      <c r="M34" s="8"/>
    </row>
    <row r="35" spans="1:14" ht="15.75" customHeight="1">
      <c r="A35" s="52">
        <v>13</v>
      </c>
      <c r="B35" s="124" t="s">
        <v>180</v>
      </c>
      <c r="C35" s="90" t="s">
        <v>32</v>
      </c>
      <c r="D35" s="124" t="s">
        <v>68</v>
      </c>
      <c r="E35" s="132">
        <v>1</v>
      </c>
      <c r="F35" s="126">
        <v>155</v>
      </c>
      <c r="G35" s="126">
        <v>56.69</v>
      </c>
      <c r="H35" s="127">
        <f>SUM(G35*155/1000)</f>
        <v>8.7869499999999992</v>
      </c>
      <c r="I35" s="14">
        <f t="shared" si="2"/>
        <v>1464.4916666666666</v>
      </c>
      <c r="J35" s="26"/>
      <c r="K35" s="8"/>
      <c r="L35" s="8"/>
      <c r="M35" s="8"/>
    </row>
    <row r="36" spans="1:14" ht="15.75" hidden="1" customHeight="1">
      <c r="A36" s="52">
        <v>4</v>
      </c>
      <c r="B36" s="124" t="s">
        <v>70</v>
      </c>
      <c r="C36" s="90" t="s">
        <v>34</v>
      </c>
      <c r="D36" s="124" t="s">
        <v>72</v>
      </c>
      <c r="E36" s="125"/>
      <c r="F36" s="126">
        <v>2</v>
      </c>
      <c r="G36" s="126">
        <v>191.32</v>
      </c>
      <c r="H36" s="127">
        <f t="shared" ref="H36:H37" si="3">SUM(F36*G36/1000)</f>
        <v>0.38263999999999998</v>
      </c>
      <c r="I36" s="14">
        <v>0</v>
      </c>
      <c r="J36" s="26"/>
      <c r="K36" s="8"/>
    </row>
    <row r="37" spans="1:14" ht="15.75" hidden="1" customHeight="1">
      <c r="A37" s="33">
        <v>8</v>
      </c>
      <c r="B37" s="124" t="s">
        <v>71</v>
      </c>
      <c r="C37" s="90" t="s">
        <v>33</v>
      </c>
      <c r="D37" s="124" t="s">
        <v>72</v>
      </c>
      <c r="E37" s="125"/>
      <c r="F37" s="126">
        <v>3</v>
      </c>
      <c r="G37" s="126">
        <v>1136.32</v>
      </c>
      <c r="H37" s="127">
        <f t="shared" si="3"/>
        <v>3.40896</v>
      </c>
      <c r="I37" s="14">
        <v>0</v>
      </c>
      <c r="J37" s="27"/>
    </row>
    <row r="38" spans="1:14" ht="15.75" hidden="1" customHeight="1">
      <c r="A38" s="52"/>
      <c r="B38" s="60" t="s">
        <v>5</v>
      </c>
      <c r="C38" s="60"/>
      <c r="D38" s="60"/>
      <c r="E38" s="60"/>
      <c r="F38" s="14"/>
      <c r="G38" s="15"/>
      <c r="H38" s="15"/>
      <c r="I38" s="21"/>
      <c r="J38" s="27"/>
    </row>
    <row r="39" spans="1:14" ht="15.75" hidden="1" customHeight="1">
      <c r="A39" s="38">
        <v>10</v>
      </c>
      <c r="B39" s="124" t="s">
        <v>27</v>
      </c>
      <c r="C39" s="90" t="s">
        <v>33</v>
      </c>
      <c r="D39" s="124"/>
      <c r="E39" s="125"/>
      <c r="F39" s="126">
        <v>15</v>
      </c>
      <c r="G39" s="126">
        <v>1527.22</v>
      </c>
      <c r="H39" s="127">
        <f>SUM(F39*G39/1000)</f>
        <v>22.908300000000001</v>
      </c>
      <c r="I39" s="14">
        <f t="shared" ref="I39:I44" si="4">F39/6*G39</f>
        <v>3818.05</v>
      </c>
      <c r="J39" s="27"/>
    </row>
    <row r="40" spans="1:14" ht="15.75" hidden="1" customHeight="1">
      <c r="A40" s="38">
        <v>11</v>
      </c>
      <c r="B40" s="124" t="s">
        <v>73</v>
      </c>
      <c r="C40" s="90" t="s">
        <v>30</v>
      </c>
      <c r="D40" s="124" t="s">
        <v>130</v>
      </c>
      <c r="E40" s="126">
        <v>547.85</v>
      </c>
      <c r="F40" s="126">
        <f>SUM(E40*50/1000)</f>
        <v>27.392499999999998</v>
      </c>
      <c r="G40" s="126">
        <v>2102.71</v>
      </c>
      <c r="H40" s="127">
        <f t="shared" ref="H40:H44" si="5">SUM(F40*G40/1000)</f>
        <v>57.598483674999997</v>
      </c>
      <c r="I40" s="14">
        <f t="shared" si="4"/>
        <v>9599.747279166666</v>
      </c>
      <c r="J40" s="27"/>
    </row>
    <row r="41" spans="1:14" ht="15.75" hidden="1" customHeight="1">
      <c r="A41" s="38">
        <v>12</v>
      </c>
      <c r="B41" s="124" t="s">
        <v>74</v>
      </c>
      <c r="C41" s="90" t="s">
        <v>30</v>
      </c>
      <c r="D41" s="124" t="s">
        <v>131</v>
      </c>
      <c r="E41" s="126">
        <v>140</v>
      </c>
      <c r="F41" s="126">
        <f>SUM(E41*155/1000)</f>
        <v>21.7</v>
      </c>
      <c r="G41" s="126">
        <v>350.75</v>
      </c>
      <c r="H41" s="127">
        <f t="shared" si="5"/>
        <v>7.611275</v>
      </c>
      <c r="I41" s="14">
        <f t="shared" si="4"/>
        <v>1268.5458333333333</v>
      </c>
      <c r="J41" s="27"/>
    </row>
    <row r="42" spans="1:14" ht="31.5" hidden="1" customHeight="1">
      <c r="A42" s="38">
        <v>13</v>
      </c>
      <c r="B42" s="124" t="s">
        <v>88</v>
      </c>
      <c r="C42" s="90" t="s">
        <v>127</v>
      </c>
      <c r="D42" s="124" t="s">
        <v>150</v>
      </c>
      <c r="E42" s="126">
        <v>140</v>
      </c>
      <c r="F42" s="126">
        <f>SUM(E42*12/1000)</f>
        <v>1.68</v>
      </c>
      <c r="G42" s="126">
        <v>5803.28</v>
      </c>
      <c r="H42" s="127">
        <f t="shared" si="5"/>
        <v>9.7495103999999984</v>
      </c>
      <c r="I42" s="14">
        <f t="shared" si="4"/>
        <v>1624.9183999999998</v>
      </c>
      <c r="J42" s="27"/>
    </row>
    <row r="43" spans="1:14" ht="15.75" hidden="1" customHeight="1">
      <c r="A43" s="38">
        <v>14</v>
      </c>
      <c r="B43" s="124" t="s">
        <v>132</v>
      </c>
      <c r="C43" s="90" t="s">
        <v>127</v>
      </c>
      <c r="D43" s="124" t="s">
        <v>75</v>
      </c>
      <c r="E43" s="126">
        <v>140</v>
      </c>
      <c r="F43" s="126">
        <f>SUM(E43*45/1000)</f>
        <v>6.3</v>
      </c>
      <c r="G43" s="126">
        <v>428.7</v>
      </c>
      <c r="H43" s="127">
        <f t="shared" si="5"/>
        <v>2.7008100000000002</v>
      </c>
      <c r="I43" s="14">
        <f t="shared" si="4"/>
        <v>450.13499999999999</v>
      </c>
      <c r="J43" s="27"/>
    </row>
    <row r="44" spans="1:14" ht="15.75" hidden="1" customHeight="1">
      <c r="A44" s="38">
        <v>15</v>
      </c>
      <c r="B44" s="124" t="s">
        <v>76</v>
      </c>
      <c r="C44" s="90" t="s">
        <v>34</v>
      </c>
      <c r="D44" s="124"/>
      <c r="E44" s="125"/>
      <c r="F44" s="126">
        <v>0.9</v>
      </c>
      <c r="G44" s="126">
        <v>798</v>
      </c>
      <c r="H44" s="127">
        <f t="shared" si="5"/>
        <v>0.71820000000000006</v>
      </c>
      <c r="I44" s="14">
        <f t="shared" si="4"/>
        <v>119.69999999999999</v>
      </c>
      <c r="J44" s="27"/>
      <c r="L44" s="23"/>
      <c r="M44" s="24"/>
      <c r="N44" s="25"/>
    </row>
    <row r="45" spans="1:14" ht="15.75" hidden="1" customHeight="1">
      <c r="A45" s="197" t="s">
        <v>176</v>
      </c>
      <c r="B45" s="198"/>
      <c r="C45" s="198"/>
      <c r="D45" s="198"/>
      <c r="E45" s="198"/>
      <c r="F45" s="198"/>
      <c r="G45" s="198"/>
      <c r="H45" s="198"/>
      <c r="I45" s="199"/>
      <c r="J45" s="27"/>
      <c r="L45" s="23"/>
      <c r="M45" s="24"/>
      <c r="N45" s="25"/>
    </row>
    <row r="46" spans="1:14" ht="15.75" hidden="1" customHeight="1">
      <c r="A46" s="52">
        <v>19</v>
      </c>
      <c r="B46" s="124" t="s">
        <v>133</v>
      </c>
      <c r="C46" s="90" t="s">
        <v>127</v>
      </c>
      <c r="D46" s="124" t="s">
        <v>42</v>
      </c>
      <c r="E46" s="125">
        <v>1640.4</v>
      </c>
      <c r="F46" s="126">
        <f>SUM(E46*2/1000)</f>
        <v>3.2808000000000002</v>
      </c>
      <c r="G46" s="14">
        <v>849.49</v>
      </c>
      <c r="H46" s="127">
        <f t="shared" ref="H46:H54" si="6">SUM(F46*G46/1000)</f>
        <v>2.7870067920000001</v>
      </c>
      <c r="I46" s="14">
        <f t="shared" ref="I46:I48" si="7">F46/2*G46</f>
        <v>1393.5033960000001</v>
      </c>
      <c r="J46" s="27"/>
      <c r="L46" s="23"/>
      <c r="M46" s="24"/>
      <c r="N46" s="25"/>
    </row>
    <row r="47" spans="1:14" ht="15.75" hidden="1" customHeight="1">
      <c r="A47" s="52">
        <v>20</v>
      </c>
      <c r="B47" s="124" t="s">
        <v>35</v>
      </c>
      <c r="C47" s="90" t="s">
        <v>127</v>
      </c>
      <c r="D47" s="124" t="s">
        <v>42</v>
      </c>
      <c r="E47" s="125">
        <v>918.25</v>
      </c>
      <c r="F47" s="126">
        <f>SUM(E47*2/1000)</f>
        <v>1.8365</v>
      </c>
      <c r="G47" s="14">
        <v>579.48</v>
      </c>
      <c r="H47" s="127">
        <f t="shared" si="6"/>
        <v>1.06421502</v>
      </c>
      <c r="I47" s="14">
        <f t="shared" si="7"/>
        <v>532.10751000000005</v>
      </c>
      <c r="J47" s="27"/>
      <c r="L47" s="23"/>
      <c r="M47" s="24"/>
      <c r="N47" s="25"/>
    </row>
    <row r="48" spans="1:14" ht="15.75" hidden="1" customHeight="1">
      <c r="A48" s="52">
        <v>21</v>
      </c>
      <c r="B48" s="124" t="s">
        <v>36</v>
      </c>
      <c r="C48" s="90" t="s">
        <v>127</v>
      </c>
      <c r="D48" s="124" t="s">
        <v>42</v>
      </c>
      <c r="E48" s="125">
        <v>5592.26</v>
      </c>
      <c r="F48" s="126">
        <f>SUM(E48*2/1000)</f>
        <v>11.184520000000001</v>
      </c>
      <c r="G48" s="14">
        <v>579.48</v>
      </c>
      <c r="H48" s="127">
        <f t="shared" si="6"/>
        <v>6.4812056496000006</v>
      </c>
      <c r="I48" s="14">
        <f t="shared" si="7"/>
        <v>3240.6028248000002</v>
      </c>
      <c r="J48" s="27"/>
      <c r="L48" s="23"/>
      <c r="M48" s="24"/>
      <c r="N48" s="25"/>
    </row>
    <row r="49" spans="1:14" ht="15.75" hidden="1" customHeight="1">
      <c r="A49" s="52">
        <v>22</v>
      </c>
      <c r="B49" s="124" t="s">
        <v>37</v>
      </c>
      <c r="C49" s="90" t="s">
        <v>127</v>
      </c>
      <c r="D49" s="124" t="s">
        <v>42</v>
      </c>
      <c r="E49" s="125">
        <v>2817.65</v>
      </c>
      <c r="F49" s="126">
        <f>SUM(E49*2/1000)</f>
        <v>5.6353</v>
      </c>
      <c r="G49" s="14">
        <v>606.77</v>
      </c>
      <c r="H49" s="127">
        <f t="shared" si="6"/>
        <v>3.4193309809999999</v>
      </c>
      <c r="I49" s="14">
        <f>F49/2*G49</f>
        <v>1709.6654905</v>
      </c>
      <c r="J49" s="27"/>
      <c r="L49" s="23"/>
      <c r="M49" s="24"/>
      <c r="N49" s="25"/>
    </row>
    <row r="50" spans="1:14" ht="15.75" hidden="1" customHeight="1">
      <c r="A50" s="52">
        <v>23</v>
      </c>
      <c r="B50" s="124" t="s">
        <v>58</v>
      </c>
      <c r="C50" s="90" t="s">
        <v>127</v>
      </c>
      <c r="D50" s="124" t="s">
        <v>152</v>
      </c>
      <c r="E50" s="125">
        <v>3280.8</v>
      </c>
      <c r="F50" s="126">
        <f>SUM(E50*5/1000)</f>
        <v>16.404</v>
      </c>
      <c r="G50" s="14">
        <v>1213.55</v>
      </c>
      <c r="H50" s="127">
        <f t="shared" si="6"/>
        <v>19.9070742</v>
      </c>
      <c r="I50" s="14">
        <f>F50/5*G50</f>
        <v>3981.4148399999999</v>
      </c>
      <c r="J50" s="27"/>
      <c r="L50" s="23"/>
      <c r="M50" s="24"/>
      <c r="N50" s="25"/>
    </row>
    <row r="51" spans="1:14" ht="31.5" hidden="1" customHeight="1">
      <c r="A51" s="52">
        <v>16</v>
      </c>
      <c r="B51" s="124" t="s">
        <v>134</v>
      </c>
      <c r="C51" s="90" t="s">
        <v>127</v>
      </c>
      <c r="D51" s="124" t="s">
        <v>42</v>
      </c>
      <c r="E51" s="125">
        <v>3280.8</v>
      </c>
      <c r="F51" s="126">
        <f>SUM(E51*2/1000)</f>
        <v>6.5616000000000003</v>
      </c>
      <c r="G51" s="14">
        <v>1213.55</v>
      </c>
      <c r="H51" s="127">
        <f t="shared" si="6"/>
        <v>7.9628296799999996</v>
      </c>
      <c r="I51" s="14">
        <f>F51/2*G51</f>
        <v>3981.4148399999999</v>
      </c>
      <c r="J51" s="27"/>
      <c r="L51" s="23"/>
      <c r="M51" s="24"/>
      <c r="N51" s="25"/>
    </row>
    <row r="52" spans="1:14" ht="31.5" hidden="1" customHeight="1">
      <c r="A52" s="52">
        <v>17</v>
      </c>
      <c r="B52" s="124" t="s">
        <v>151</v>
      </c>
      <c r="C52" s="90" t="s">
        <v>38</v>
      </c>
      <c r="D52" s="124" t="s">
        <v>42</v>
      </c>
      <c r="E52" s="125">
        <v>40</v>
      </c>
      <c r="F52" s="126">
        <f>SUM(E52*2/100)</f>
        <v>0.8</v>
      </c>
      <c r="G52" s="14">
        <v>2730.49</v>
      </c>
      <c r="H52" s="127">
        <f t="shared" si="6"/>
        <v>2.1843919999999999</v>
      </c>
      <c r="I52" s="14">
        <f>F52/2*G52</f>
        <v>1092.1959999999999</v>
      </c>
      <c r="J52" s="27"/>
      <c r="L52" s="23"/>
      <c r="M52" s="24"/>
      <c r="N52" s="25"/>
    </row>
    <row r="53" spans="1:14" ht="15.75" hidden="1" customHeight="1">
      <c r="A53" s="52">
        <v>16</v>
      </c>
      <c r="B53" s="124" t="s">
        <v>39</v>
      </c>
      <c r="C53" s="90" t="s">
        <v>40</v>
      </c>
      <c r="D53" s="124" t="s">
        <v>42</v>
      </c>
      <c r="E53" s="125">
        <v>1</v>
      </c>
      <c r="F53" s="126">
        <v>0.02</v>
      </c>
      <c r="G53" s="14">
        <v>5652.13</v>
      </c>
      <c r="H53" s="127">
        <f t="shared" si="6"/>
        <v>0.11304260000000001</v>
      </c>
      <c r="I53" s="14">
        <f>F53/2*G53</f>
        <v>56.521300000000004</v>
      </c>
      <c r="J53" s="27"/>
      <c r="L53" s="23"/>
      <c r="M53" s="24"/>
      <c r="N53" s="25"/>
    </row>
    <row r="54" spans="1:14" ht="15.75" hidden="1" customHeight="1">
      <c r="A54" s="52">
        <v>14</v>
      </c>
      <c r="B54" s="124" t="s">
        <v>41</v>
      </c>
      <c r="C54" s="90" t="s">
        <v>135</v>
      </c>
      <c r="D54" s="124" t="s">
        <v>77</v>
      </c>
      <c r="E54" s="125">
        <v>238</v>
      </c>
      <c r="F54" s="126">
        <f>SUM(E54)*3</f>
        <v>714</v>
      </c>
      <c r="G54" s="14">
        <v>65.67</v>
      </c>
      <c r="H54" s="127">
        <f t="shared" si="6"/>
        <v>46.888380000000005</v>
      </c>
      <c r="I54" s="14">
        <f>E54*G54</f>
        <v>15629.460000000001</v>
      </c>
      <c r="J54" s="27"/>
      <c r="L54" s="23"/>
      <c r="M54" s="24"/>
      <c r="N54" s="25"/>
    </row>
    <row r="55" spans="1:14" ht="15.75" customHeight="1">
      <c r="A55" s="187" t="s">
        <v>236</v>
      </c>
      <c r="B55" s="188"/>
      <c r="C55" s="188"/>
      <c r="D55" s="188"/>
      <c r="E55" s="188"/>
      <c r="F55" s="188"/>
      <c r="G55" s="188"/>
      <c r="H55" s="188"/>
      <c r="I55" s="189"/>
      <c r="J55" s="27"/>
      <c r="L55" s="23"/>
      <c r="M55" s="24"/>
      <c r="N55" s="25"/>
    </row>
    <row r="56" spans="1:14" ht="15.75" hidden="1" customHeight="1">
      <c r="A56" s="65"/>
      <c r="B56" s="59" t="s">
        <v>43</v>
      </c>
      <c r="C56" s="18"/>
      <c r="D56" s="17"/>
      <c r="E56" s="17"/>
      <c r="F56" s="17"/>
      <c r="G56" s="33"/>
      <c r="H56" s="33"/>
      <c r="I56" s="21"/>
      <c r="J56" s="27"/>
      <c r="L56" s="23"/>
      <c r="M56" s="24"/>
      <c r="N56" s="25"/>
    </row>
    <row r="57" spans="1:14" ht="15.75" hidden="1" customHeight="1">
      <c r="A57" s="52">
        <v>15</v>
      </c>
      <c r="B57" s="124" t="s">
        <v>153</v>
      </c>
      <c r="C57" s="90" t="s">
        <v>117</v>
      </c>
      <c r="D57" s="124" t="s">
        <v>55</v>
      </c>
      <c r="E57" s="133">
        <v>1640.4</v>
      </c>
      <c r="F57" s="14">
        <f>E57/100</f>
        <v>16.404</v>
      </c>
      <c r="G57" s="126">
        <v>472.59</v>
      </c>
      <c r="H57" s="127">
        <f>SUM(F57*G57/1000)</f>
        <v>7.7523663599999999</v>
      </c>
      <c r="I57" s="14">
        <v>0</v>
      </c>
      <c r="J57" s="27"/>
      <c r="L57" s="23"/>
      <c r="M57" s="24"/>
      <c r="N57" s="25"/>
    </row>
    <row r="58" spans="1:14" ht="31.5" hidden="1" customHeight="1">
      <c r="A58" s="52">
        <v>18</v>
      </c>
      <c r="B58" s="124" t="s">
        <v>154</v>
      </c>
      <c r="C58" s="90" t="s">
        <v>117</v>
      </c>
      <c r="D58" s="124" t="s">
        <v>155</v>
      </c>
      <c r="E58" s="125">
        <v>164.04</v>
      </c>
      <c r="F58" s="14">
        <f>E58*6/100</f>
        <v>9.8423999999999996</v>
      </c>
      <c r="G58" s="134">
        <v>1547.28</v>
      </c>
      <c r="H58" s="127">
        <f>F58*G58/1000</f>
        <v>15.228948671999998</v>
      </c>
      <c r="I58" s="14">
        <f>F58/6*G58</f>
        <v>2538.1581119999996</v>
      </c>
      <c r="J58" s="27"/>
      <c r="L58" s="23"/>
      <c r="M58" s="24"/>
      <c r="N58" s="25"/>
    </row>
    <row r="59" spans="1:14" ht="15.75" hidden="1" customHeight="1">
      <c r="A59" s="52">
        <v>19</v>
      </c>
      <c r="B59" s="135" t="s">
        <v>104</v>
      </c>
      <c r="C59" s="136" t="s">
        <v>117</v>
      </c>
      <c r="D59" s="135" t="s">
        <v>156</v>
      </c>
      <c r="E59" s="137">
        <v>8</v>
      </c>
      <c r="F59" s="138">
        <f>E59*8/100</f>
        <v>0.64</v>
      </c>
      <c r="G59" s="134">
        <v>1547.28</v>
      </c>
      <c r="H59" s="139">
        <f>F59*G59/1000</f>
        <v>0.99025920000000001</v>
      </c>
      <c r="I59" s="14">
        <f>F59/6*G59</f>
        <v>165.04320000000001</v>
      </c>
      <c r="J59" s="27"/>
      <c r="L59" s="23"/>
      <c r="M59" s="24"/>
      <c r="N59" s="25"/>
    </row>
    <row r="60" spans="1:14" ht="15.75" hidden="1" customHeight="1">
      <c r="A60" s="52"/>
      <c r="B60" s="135" t="s">
        <v>109</v>
      </c>
      <c r="C60" s="136" t="s">
        <v>110</v>
      </c>
      <c r="D60" s="135" t="s">
        <v>42</v>
      </c>
      <c r="E60" s="137">
        <v>8</v>
      </c>
      <c r="F60" s="138">
        <v>16</v>
      </c>
      <c r="G60" s="140">
        <v>180.78</v>
      </c>
      <c r="H60" s="139">
        <f>F60*G60/1000</f>
        <v>2.8924799999999999</v>
      </c>
      <c r="I60" s="14">
        <v>0</v>
      </c>
      <c r="J60" s="27"/>
      <c r="L60" s="23"/>
      <c r="M60" s="24"/>
      <c r="N60" s="25"/>
    </row>
    <row r="61" spans="1:14" ht="15.75" customHeight="1">
      <c r="A61" s="52"/>
      <c r="B61" s="107" t="s">
        <v>44</v>
      </c>
      <c r="C61" s="107"/>
      <c r="D61" s="107"/>
      <c r="E61" s="107"/>
      <c r="F61" s="107"/>
      <c r="G61" s="107"/>
      <c r="H61" s="107"/>
      <c r="I61" s="42"/>
      <c r="J61" s="27"/>
      <c r="L61" s="23"/>
      <c r="M61" s="24"/>
      <c r="N61" s="25"/>
    </row>
    <row r="62" spans="1:14" ht="15.75" customHeight="1">
      <c r="A62" s="52">
        <v>14</v>
      </c>
      <c r="B62" s="135" t="s">
        <v>105</v>
      </c>
      <c r="C62" s="136" t="s">
        <v>26</v>
      </c>
      <c r="D62" s="135" t="s">
        <v>157</v>
      </c>
      <c r="E62" s="137">
        <v>329.4</v>
      </c>
      <c r="F62" s="138">
        <f>E62*12</f>
        <v>3952.7999999999997</v>
      </c>
      <c r="G62" s="141">
        <v>2.5960000000000001</v>
      </c>
      <c r="H62" s="139">
        <f>G62*F62</f>
        <v>10261.468799999999</v>
      </c>
      <c r="I62" s="14">
        <f>F62/12*G62</f>
        <v>855.12239999999997</v>
      </c>
      <c r="J62" s="27"/>
      <c r="L62" s="23"/>
      <c r="M62" s="24"/>
      <c r="N62" s="25"/>
    </row>
    <row r="63" spans="1:14" ht="15.75" hidden="1" customHeight="1">
      <c r="A63" s="52"/>
      <c r="B63" s="135" t="s">
        <v>45</v>
      </c>
      <c r="C63" s="136" t="s">
        <v>26</v>
      </c>
      <c r="D63" s="135" t="s">
        <v>55</v>
      </c>
      <c r="E63" s="137">
        <v>1640.4</v>
      </c>
      <c r="F63" s="138">
        <v>16.404</v>
      </c>
      <c r="G63" s="142">
        <v>739.61</v>
      </c>
      <c r="H63" s="139">
        <f>G63*F63/1000</f>
        <v>12.132562439999999</v>
      </c>
      <c r="I63" s="14">
        <v>0</v>
      </c>
      <c r="J63" s="27"/>
      <c r="L63" s="23"/>
      <c r="M63" s="24"/>
      <c r="N63" s="25"/>
    </row>
    <row r="64" spans="1:14" ht="15.75" hidden="1" customHeight="1">
      <c r="A64" s="52"/>
      <c r="B64" s="107" t="s">
        <v>46</v>
      </c>
      <c r="C64" s="18"/>
      <c r="D64" s="46"/>
      <c r="E64" s="46"/>
      <c r="F64" s="17"/>
      <c r="G64" s="33"/>
      <c r="H64" s="33"/>
      <c r="I64" s="21"/>
      <c r="J64" s="27"/>
      <c r="L64" s="23"/>
      <c r="M64" s="24"/>
      <c r="N64" s="25"/>
    </row>
    <row r="65" spans="1:22" ht="15.75" hidden="1" customHeight="1">
      <c r="A65" s="52">
        <v>15</v>
      </c>
      <c r="B65" s="16" t="s">
        <v>47</v>
      </c>
      <c r="C65" s="18" t="s">
        <v>135</v>
      </c>
      <c r="D65" s="16" t="s">
        <v>72</v>
      </c>
      <c r="E65" s="21">
        <v>40</v>
      </c>
      <c r="F65" s="126">
        <v>40</v>
      </c>
      <c r="G65" s="14">
        <v>222.4</v>
      </c>
      <c r="H65" s="109">
        <f t="shared" ref="H65:H72" si="8">SUM(F65*G65/1000)</f>
        <v>8.8960000000000008</v>
      </c>
      <c r="I65" s="14">
        <f>G65*6</f>
        <v>1334.4</v>
      </c>
      <c r="J65" s="27"/>
      <c r="L65" s="23"/>
      <c r="M65" s="24"/>
      <c r="N65" s="25"/>
    </row>
    <row r="66" spans="1:22" ht="15.75" hidden="1" customHeight="1">
      <c r="A66" s="33">
        <v>29</v>
      </c>
      <c r="B66" s="16" t="s">
        <v>48</v>
      </c>
      <c r="C66" s="18" t="s">
        <v>135</v>
      </c>
      <c r="D66" s="16" t="s">
        <v>72</v>
      </c>
      <c r="E66" s="21">
        <v>15</v>
      </c>
      <c r="F66" s="126">
        <v>15</v>
      </c>
      <c r="G66" s="14">
        <v>76.25</v>
      </c>
      <c r="H66" s="109">
        <f t="shared" si="8"/>
        <v>1.14375</v>
      </c>
      <c r="I66" s="14">
        <v>0</v>
      </c>
      <c r="J66" s="27"/>
      <c r="L66" s="23"/>
      <c r="M66" s="24"/>
      <c r="N66" s="25"/>
    </row>
    <row r="67" spans="1:22" ht="15.75" hidden="1" customHeight="1">
      <c r="A67" s="33">
        <v>26</v>
      </c>
      <c r="B67" s="16" t="s">
        <v>49</v>
      </c>
      <c r="C67" s="18" t="s">
        <v>136</v>
      </c>
      <c r="D67" s="16" t="s">
        <v>55</v>
      </c>
      <c r="E67" s="125">
        <v>24648</v>
      </c>
      <c r="F67" s="14">
        <f>SUM(E67/100)</f>
        <v>246.48</v>
      </c>
      <c r="G67" s="14">
        <v>212.15</v>
      </c>
      <c r="H67" s="109">
        <f t="shared" si="8"/>
        <v>52.290731999999998</v>
      </c>
      <c r="I67" s="14">
        <f>F67*G67</f>
        <v>52290.731999999996</v>
      </c>
      <c r="J67" s="27"/>
      <c r="L67" s="23"/>
      <c r="M67" s="24"/>
      <c r="N67" s="25"/>
    </row>
    <row r="68" spans="1:22" ht="15.75" hidden="1" customHeight="1">
      <c r="A68" s="33">
        <v>27</v>
      </c>
      <c r="B68" s="16" t="s">
        <v>50</v>
      </c>
      <c r="C68" s="18" t="s">
        <v>137</v>
      </c>
      <c r="D68" s="16"/>
      <c r="E68" s="125">
        <v>24648</v>
      </c>
      <c r="F68" s="14">
        <f>SUM(E68/1000)</f>
        <v>24.648</v>
      </c>
      <c r="G68" s="14">
        <v>165.21</v>
      </c>
      <c r="H68" s="109">
        <f t="shared" si="8"/>
        <v>4.0720960800000006</v>
      </c>
      <c r="I68" s="14">
        <f t="shared" ref="I68:I71" si="9">F68*G68</f>
        <v>4072.0960800000003</v>
      </c>
      <c r="J68" s="27"/>
      <c r="L68" s="23"/>
      <c r="M68" s="24"/>
      <c r="N68" s="25"/>
    </row>
    <row r="69" spans="1:22" ht="15.75" hidden="1" customHeight="1">
      <c r="A69" s="33">
        <v>28</v>
      </c>
      <c r="B69" s="16" t="s">
        <v>51</v>
      </c>
      <c r="C69" s="18" t="s">
        <v>81</v>
      </c>
      <c r="D69" s="16" t="s">
        <v>55</v>
      </c>
      <c r="E69" s="125">
        <v>2730</v>
      </c>
      <c r="F69" s="14">
        <f>SUM(E69/100)</f>
        <v>27.3</v>
      </c>
      <c r="G69" s="14">
        <v>2074.63</v>
      </c>
      <c r="H69" s="109">
        <f t="shared" si="8"/>
        <v>56.637399000000002</v>
      </c>
      <c r="I69" s="14">
        <f t="shared" si="9"/>
        <v>56637.399000000005</v>
      </c>
      <c r="J69" s="27"/>
      <c r="L69" s="23"/>
    </row>
    <row r="70" spans="1:22" ht="15.75" hidden="1" customHeight="1">
      <c r="A70" s="33">
        <v>29</v>
      </c>
      <c r="B70" s="145" t="s">
        <v>138</v>
      </c>
      <c r="C70" s="18" t="s">
        <v>34</v>
      </c>
      <c r="D70" s="16"/>
      <c r="E70" s="125">
        <v>20.28</v>
      </c>
      <c r="F70" s="14">
        <f>SUM(E70)</f>
        <v>20.28</v>
      </c>
      <c r="G70" s="14">
        <v>45.32</v>
      </c>
      <c r="H70" s="109">
        <f t="shared" si="8"/>
        <v>0.91908960000000006</v>
      </c>
      <c r="I70" s="14">
        <f t="shared" si="9"/>
        <v>919.08960000000002</v>
      </c>
    </row>
    <row r="71" spans="1:22" ht="15.75" hidden="1" customHeight="1">
      <c r="A71" s="33">
        <v>30</v>
      </c>
      <c r="B71" s="145" t="s">
        <v>181</v>
      </c>
      <c r="C71" s="18" t="s">
        <v>34</v>
      </c>
      <c r="D71" s="16"/>
      <c r="E71" s="125">
        <v>20.28</v>
      </c>
      <c r="F71" s="14">
        <f>SUM(E71)</f>
        <v>20.28</v>
      </c>
      <c r="G71" s="14">
        <v>42.28</v>
      </c>
      <c r="H71" s="109">
        <f t="shared" si="8"/>
        <v>0.85743840000000016</v>
      </c>
      <c r="I71" s="14">
        <f t="shared" si="9"/>
        <v>857.43840000000012</v>
      </c>
    </row>
    <row r="72" spans="1:22" ht="15.75" hidden="1" customHeight="1">
      <c r="A72" s="33">
        <v>13</v>
      </c>
      <c r="B72" s="16" t="s">
        <v>59</v>
      </c>
      <c r="C72" s="18" t="s">
        <v>60</v>
      </c>
      <c r="D72" s="16" t="s">
        <v>55</v>
      </c>
      <c r="E72" s="21">
        <v>12</v>
      </c>
      <c r="F72" s="126">
        <f>SUM(E72)</f>
        <v>12</v>
      </c>
      <c r="G72" s="14">
        <v>49.88</v>
      </c>
      <c r="H72" s="109">
        <f t="shared" si="8"/>
        <v>0.59856000000000009</v>
      </c>
      <c r="I72" s="14">
        <v>0</v>
      </c>
    </row>
    <row r="73" spans="1:22" ht="15.75" hidden="1" customHeight="1">
      <c r="A73" s="65"/>
      <c r="B73" s="107" t="s">
        <v>140</v>
      </c>
      <c r="C73" s="107"/>
      <c r="D73" s="107"/>
      <c r="E73" s="107"/>
      <c r="F73" s="107"/>
      <c r="G73" s="107"/>
      <c r="H73" s="107"/>
      <c r="I73" s="21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9"/>
    </row>
    <row r="74" spans="1:22" ht="15.75" hidden="1" customHeight="1">
      <c r="A74" s="33">
        <v>16</v>
      </c>
      <c r="B74" s="124" t="s">
        <v>141</v>
      </c>
      <c r="C74" s="18"/>
      <c r="D74" s="16"/>
      <c r="E74" s="115"/>
      <c r="F74" s="14">
        <v>1</v>
      </c>
      <c r="G74" s="14">
        <v>27356</v>
      </c>
      <c r="H74" s="109">
        <f>G74*F74/1000</f>
        <v>27.356000000000002</v>
      </c>
      <c r="I74" s="14">
        <f>G74</f>
        <v>27356</v>
      </c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33"/>
      <c r="B75" s="60" t="s">
        <v>78</v>
      </c>
      <c r="C75" s="60"/>
      <c r="D75" s="60"/>
      <c r="E75" s="60"/>
      <c r="F75" s="21"/>
      <c r="G75" s="33"/>
      <c r="H75" s="33"/>
      <c r="I75" s="21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33"/>
      <c r="B76" s="16" t="s">
        <v>97</v>
      </c>
      <c r="C76" s="18" t="s">
        <v>32</v>
      </c>
      <c r="D76" s="16"/>
      <c r="E76" s="21">
        <v>2</v>
      </c>
      <c r="F76" s="126">
        <f>SUM(E76)</f>
        <v>2</v>
      </c>
      <c r="G76" s="14">
        <v>358.51</v>
      </c>
      <c r="H76" s="109">
        <f>SUM(F76*G76/1000)</f>
        <v>0.71701999999999999</v>
      </c>
      <c r="I76" s="14">
        <v>0</v>
      </c>
      <c r="J76" s="5"/>
      <c r="K76" s="5"/>
      <c r="L76" s="5"/>
      <c r="M76" s="5"/>
      <c r="N76" s="5"/>
      <c r="O76" s="5"/>
      <c r="P76" s="5"/>
      <c r="Q76" s="5"/>
      <c r="R76" s="180"/>
      <c r="S76" s="180"/>
      <c r="T76" s="180"/>
      <c r="U76" s="180"/>
    </row>
    <row r="77" spans="1:22" ht="15.75" hidden="1" customHeight="1">
      <c r="A77" s="33"/>
      <c r="B77" s="16" t="s">
        <v>79</v>
      </c>
      <c r="C77" s="18" t="s">
        <v>32</v>
      </c>
      <c r="D77" s="16"/>
      <c r="E77" s="21">
        <v>1</v>
      </c>
      <c r="F77" s="14">
        <v>1</v>
      </c>
      <c r="G77" s="14">
        <v>852.99</v>
      </c>
      <c r="H77" s="109">
        <f>F77*G77/1000</f>
        <v>0.85299000000000003</v>
      </c>
      <c r="I77" s="14">
        <v>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2" ht="15.75" hidden="1" customHeight="1">
      <c r="A78" s="33"/>
      <c r="B78" s="61" t="s">
        <v>80</v>
      </c>
      <c r="C78" s="47"/>
      <c r="D78" s="33"/>
      <c r="E78" s="33"/>
      <c r="F78" s="21"/>
      <c r="G78" s="43" t="s">
        <v>158</v>
      </c>
      <c r="H78" s="43"/>
      <c r="I78" s="21"/>
    </row>
    <row r="79" spans="1:22" ht="15.75" hidden="1" customHeight="1">
      <c r="A79" s="33">
        <v>39</v>
      </c>
      <c r="B79" s="63" t="s">
        <v>142</v>
      </c>
      <c r="C79" s="18" t="s">
        <v>81</v>
      </c>
      <c r="D79" s="16"/>
      <c r="E79" s="21"/>
      <c r="F79" s="14">
        <v>1.35</v>
      </c>
      <c r="G79" s="14">
        <v>2759.44</v>
      </c>
      <c r="H79" s="109">
        <f>SUM(F79*G79/1000)</f>
        <v>3.725244</v>
      </c>
      <c r="I79" s="14">
        <v>0</v>
      </c>
    </row>
    <row r="80" spans="1:22" ht="15.75" customHeight="1">
      <c r="A80" s="171" t="s">
        <v>237</v>
      </c>
      <c r="B80" s="172"/>
      <c r="C80" s="172"/>
      <c r="D80" s="172"/>
      <c r="E80" s="172"/>
      <c r="F80" s="172"/>
      <c r="G80" s="172"/>
      <c r="H80" s="172"/>
      <c r="I80" s="173"/>
    </row>
    <row r="81" spans="1:9" ht="15.75" customHeight="1">
      <c r="A81" s="33">
        <v>15</v>
      </c>
      <c r="B81" s="124" t="s">
        <v>143</v>
      </c>
      <c r="C81" s="18" t="s">
        <v>56</v>
      </c>
      <c r="D81" s="147" t="s">
        <v>57</v>
      </c>
      <c r="E81" s="14">
        <v>5926.8</v>
      </c>
      <c r="F81" s="14">
        <f>SUM(E81*12)</f>
        <v>71121.600000000006</v>
      </c>
      <c r="G81" s="14">
        <v>2.1</v>
      </c>
      <c r="H81" s="109">
        <f>SUM(F81*G81/1000)</f>
        <v>149.35536000000002</v>
      </c>
      <c r="I81" s="14">
        <f>F81/12*G81</f>
        <v>12446.28</v>
      </c>
    </row>
    <row r="82" spans="1:9" ht="31.5" customHeight="1">
      <c r="A82" s="33">
        <v>16</v>
      </c>
      <c r="B82" s="16" t="s">
        <v>82</v>
      </c>
      <c r="C82" s="18"/>
      <c r="D82" s="147" t="s">
        <v>57</v>
      </c>
      <c r="E82" s="125">
        <v>5926.8</v>
      </c>
      <c r="F82" s="14">
        <f>E82*12</f>
        <v>71121.600000000006</v>
      </c>
      <c r="G82" s="14">
        <v>1.63</v>
      </c>
      <c r="H82" s="109">
        <f>F82*G82/1000</f>
        <v>115.928208</v>
      </c>
      <c r="I82" s="14">
        <f>F82/12*G82</f>
        <v>9660.6839999999993</v>
      </c>
    </row>
    <row r="83" spans="1:9" ht="15.75" customHeight="1">
      <c r="A83" s="65"/>
      <c r="B83" s="50" t="s">
        <v>85</v>
      </c>
      <c r="C83" s="52"/>
      <c r="D83" s="17"/>
      <c r="E83" s="17"/>
      <c r="F83" s="17"/>
      <c r="G83" s="21"/>
      <c r="H83" s="21"/>
      <c r="I83" s="35">
        <f>SUM(I16+I17+I18+I20+I21+I24+I26+I27+I28+I31+I32+I34+I35+I62+I81+I82)</f>
        <v>79863.350353500005</v>
      </c>
    </row>
    <row r="84" spans="1:9" ht="15.75" customHeight="1">
      <c r="A84" s="174" t="s">
        <v>63</v>
      </c>
      <c r="B84" s="175"/>
      <c r="C84" s="175"/>
      <c r="D84" s="175"/>
      <c r="E84" s="175"/>
      <c r="F84" s="175"/>
      <c r="G84" s="175"/>
      <c r="H84" s="175"/>
      <c r="I84" s="176"/>
    </row>
    <row r="85" spans="1:9" ht="15.75" customHeight="1">
      <c r="A85" s="33">
        <v>17</v>
      </c>
      <c r="B85" s="152" t="s">
        <v>111</v>
      </c>
      <c r="C85" s="153" t="s">
        <v>135</v>
      </c>
      <c r="D85" s="63"/>
      <c r="E85" s="43"/>
      <c r="F85" s="43">
        <v>968</v>
      </c>
      <c r="G85" s="44">
        <v>53.42</v>
      </c>
      <c r="H85" s="146">
        <f>G85*F85/1000</f>
        <v>51.710560000000008</v>
      </c>
      <c r="I85" s="14">
        <f>G85*121</f>
        <v>6463.8200000000006</v>
      </c>
    </row>
    <row r="86" spans="1:9" ht="31.5" customHeight="1">
      <c r="A86" s="33">
        <v>18</v>
      </c>
      <c r="B86" s="69" t="s">
        <v>163</v>
      </c>
      <c r="C86" s="84" t="s">
        <v>86</v>
      </c>
      <c r="D86" s="63"/>
      <c r="E86" s="43"/>
      <c r="F86" s="43">
        <v>27.5</v>
      </c>
      <c r="G86" s="43">
        <v>1187</v>
      </c>
      <c r="H86" s="146">
        <f>G86*F86/1000</f>
        <v>32.642499999999998</v>
      </c>
      <c r="I86" s="156">
        <f>G86*2.5</f>
        <v>2967.5</v>
      </c>
    </row>
    <row r="87" spans="1:9" ht="15.75" customHeight="1">
      <c r="A87" s="33">
        <v>19</v>
      </c>
      <c r="B87" s="69" t="s">
        <v>185</v>
      </c>
      <c r="C87" s="84" t="s">
        <v>89</v>
      </c>
      <c r="D87" s="82"/>
      <c r="E87" s="43"/>
      <c r="F87" s="43">
        <v>4</v>
      </c>
      <c r="G87" s="43">
        <v>195.85</v>
      </c>
      <c r="H87" s="146">
        <f>G87*F87/1000</f>
        <v>0.78339999999999999</v>
      </c>
      <c r="I87" s="14">
        <f>G87</f>
        <v>195.85</v>
      </c>
    </row>
    <row r="88" spans="1:9" ht="15.75" customHeight="1">
      <c r="A88" s="33">
        <v>20</v>
      </c>
      <c r="B88" s="69" t="s">
        <v>208</v>
      </c>
      <c r="C88" s="89" t="s">
        <v>209</v>
      </c>
      <c r="D88" s="82"/>
      <c r="E88" s="43"/>
      <c r="F88" s="43">
        <v>8</v>
      </c>
      <c r="G88" s="43">
        <v>294.45</v>
      </c>
      <c r="H88" s="146">
        <f>G88*F88/1000</f>
        <v>2.3555999999999999</v>
      </c>
      <c r="I88" s="14">
        <f>G88</f>
        <v>294.45</v>
      </c>
    </row>
    <row r="89" spans="1:9" ht="31.5" customHeight="1">
      <c r="A89" s="33">
        <v>21</v>
      </c>
      <c r="B89" s="148" t="s">
        <v>231</v>
      </c>
      <c r="C89" s="33" t="s">
        <v>187</v>
      </c>
      <c r="D89" s="63"/>
      <c r="E89" s="43"/>
      <c r="F89" s="43">
        <v>1</v>
      </c>
      <c r="G89" s="44">
        <v>403.69</v>
      </c>
      <c r="H89" s="146">
        <f t="shared" ref="H89:H91" si="10">G89*F89/1000</f>
        <v>0.40368999999999999</v>
      </c>
      <c r="I89" s="14">
        <f>G89</f>
        <v>403.69</v>
      </c>
    </row>
    <row r="90" spans="1:9" ht="31.5" customHeight="1">
      <c r="A90" s="33">
        <v>22</v>
      </c>
      <c r="B90" s="69" t="s">
        <v>232</v>
      </c>
      <c r="C90" s="84" t="s">
        <v>106</v>
      </c>
      <c r="D90" s="82"/>
      <c r="E90" s="43"/>
      <c r="F90" s="43">
        <f>32/10</f>
        <v>3.2</v>
      </c>
      <c r="G90" s="43">
        <v>2064.25</v>
      </c>
      <c r="H90" s="109">
        <f t="shared" si="10"/>
        <v>6.6056000000000008</v>
      </c>
      <c r="I90" s="14">
        <f>G90*3.2</f>
        <v>6605.6</v>
      </c>
    </row>
    <row r="91" spans="1:9" ht="15.75" customHeight="1">
      <c r="A91" s="33">
        <v>23</v>
      </c>
      <c r="B91" s="69" t="s">
        <v>233</v>
      </c>
      <c r="C91" s="84" t="s">
        <v>135</v>
      </c>
      <c r="D91" s="82"/>
      <c r="E91" s="43"/>
      <c r="F91" s="43">
        <v>1</v>
      </c>
      <c r="G91" s="43">
        <v>4767.2</v>
      </c>
      <c r="H91" s="109">
        <f t="shared" si="10"/>
        <v>4.7671999999999999</v>
      </c>
      <c r="I91" s="14">
        <f>G91</f>
        <v>4767.2</v>
      </c>
    </row>
    <row r="92" spans="1:9" ht="15.75" customHeight="1">
      <c r="A92" s="33"/>
      <c r="B92" s="57" t="s">
        <v>52</v>
      </c>
      <c r="C92" s="53"/>
      <c r="D92" s="67"/>
      <c r="E92" s="67"/>
      <c r="F92" s="53">
        <v>1</v>
      </c>
      <c r="G92" s="53"/>
      <c r="H92" s="53"/>
      <c r="I92" s="35">
        <f>SUM(I85:I91)</f>
        <v>21698.110000000004</v>
      </c>
    </row>
    <row r="93" spans="1:9" ht="15.75" customHeight="1">
      <c r="A93" s="33"/>
      <c r="B93" s="63" t="s">
        <v>83</v>
      </c>
      <c r="C93" s="17"/>
      <c r="D93" s="17"/>
      <c r="E93" s="17"/>
      <c r="F93" s="54"/>
      <c r="G93" s="55"/>
      <c r="H93" s="55"/>
      <c r="I93" s="20">
        <v>0</v>
      </c>
    </row>
    <row r="94" spans="1:9" ht="15.75" customHeight="1">
      <c r="A94" s="68"/>
      <c r="B94" s="58" t="s">
        <v>182</v>
      </c>
      <c r="C94" s="41"/>
      <c r="D94" s="41"/>
      <c r="E94" s="41"/>
      <c r="F94" s="41"/>
      <c r="G94" s="41"/>
      <c r="H94" s="41"/>
      <c r="I94" s="56">
        <f>I83+I92</f>
        <v>101561.46035350001</v>
      </c>
    </row>
    <row r="95" spans="1:9" ht="15.75" customHeight="1">
      <c r="A95" s="190" t="s">
        <v>234</v>
      </c>
      <c r="B95" s="190"/>
      <c r="C95" s="190"/>
      <c r="D95" s="190"/>
      <c r="E95" s="190"/>
      <c r="F95" s="190"/>
      <c r="G95" s="190"/>
      <c r="H95" s="190"/>
      <c r="I95" s="190"/>
    </row>
    <row r="96" spans="1:9" ht="15.75" customHeight="1">
      <c r="A96" s="108"/>
      <c r="B96" s="182" t="s">
        <v>235</v>
      </c>
      <c r="C96" s="182"/>
      <c r="D96" s="182"/>
      <c r="E96" s="182"/>
      <c r="F96" s="182"/>
      <c r="G96" s="182"/>
      <c r="H96" s="123"/>
      <c r="I96" s="3"/>
    </row>
    <row r="97" spans="1:9" ht="15.75" customHeight="1">
      <c r="A97" s="103"/>
      <c r="B97" s="178" t="s">
        <v>6</v>
      </c>
      <c r="C97" s="178"/>
      <c r="D97" s="178"/>
      <c r="E97" s="178"/>
      <c r="F97" s="178"/>
      <c r="G97" s="178"/>
      <c r="H97" s="28"/>
      <c r="I97" s="5"/>
    </row>
    <row r="98" spans="1:9" ht="15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 customHeight="1">
      <c r="A99" s="183" t="s">
        <v>7</v>
      </c>
      <c r="B99" s="183"/>
      <c r="C99" s="183"/>
      <c r="D99" s="183"/>
      <c r="E99" s="183"/>
      <c r="F99" s="183"/>
      <c r="G99" s="183"/>
      <c r="H99" s="183"/>
      <c r="I99" s="183"/>
    </row>
    <row r="100" spans="1:9" ht="15.75" customHeight="1">
      <c r="A100" s="183" t="s">
        <v>8</v>
      </c>
      <c r="B100" s="183"/>
      <c r="C100" s="183"/>
      <c r="D100" s="183"/>
      <c r="E100" s="183"/>
      <c r="F100" s="183"/>
      <c r="G100" s="183"/>
      <c r="H100" s="183"/>
      <c r="I100" s="183"/>
    </row>
    <row r="101" spans="1:9" ht="15.75" customHeight="1">
      <c r="A101" s="184" t="s">
        <v>65</v>
      </c>
      <c r="B101" s="184"/>
      <c r="C101" s="184"/>
      <c r="D101" s="184"/>
      <c r="E101" s="184"/>
      <c r="F101" s="184"/>
      <c r="G101" s="184"/>
      <c r="H101" s="184"/>
      <c r="I101" s="184"/>
    </row>
    <row r="102" spans="1:9" ht="15.75" customHeight="1">
      <c r="A102" s="11"/>
    </row>
    <row r="103" spans="1:9" ht="15.75" customHeight="1">
      <c r="A103" s="185" t="s">
        <v>9</v>
      </c>
      <c r="B103" s="185"/>
      <c r="C103" s="185"/>
      <c r="D103" s="185"/>
      <c r="E103" s="185"/>
      <c r="F103" s="185"/>
      <c r="G103" s="185"/>
      <c r="H103" s="185"/>
      <c r="I103" s="185"/>
    </row>
    <row r="104" spans="1:9" ht="15.75" customHeight="1">
      <c r="A104" s="4"/>
    </row>
    <row r="105" spans="1:9" ht="15.75" customHeight="1">
      <c r="B105" s="102" t="s">
        <v>10</v>
      </c>
      <c r="C105" s="177" t="s">
        <v>99</v>
      </c>
      <c r="D105" s="177"/>
      <c r="E105" s="177"/>
      <c r="F105" s="177"/>
      <c r="I105" s="105"/>
    </row>
    <row r="106" spans="1:9" ht="15.75" customHeight="1">
      <c r="A106" s="103"/>
      <c r="C106" s="178" t="s">
        <v>11</v>
      </c>
      <c r="D106" s="178"/>
      <c r="E106" s="178"/>
      <c r="F106" s="178"/>
      <c r="I106" s="104" t="s">
        <v>12</v>
      </c>
    </row>
    <row r="107" spans="1:9" ht="15.75" customHeight="1">
      <c r="A107" s="29"/>
      <c r="C107" s="12"/>
      <c r="D107" s="12"/>
      <c r="E107" s="12"/>
      <c r="G107" s="12"/>
      <c r="H107" s="12"/>
    </row>
    <row r="108" spans="1:9" ht="15.75" customHeight="1">
      <c r="B108" s="102" t="s">
        <v>13</v>
      </c>
      <c r="C108" s="179"/>
      <c r="D108" s="179"/>
      <c r="E108" s="179"/>
      <c r="F108" s="179"/>
      <c r="I108" s="105"/>
    </row>
    <row r="109" spans="1:9" ht="15.75" customHeight="1">
      <c r="A109" s="103"/>
      <c r="C109" s="180" t="s">
        <v>11</v>
      </c>
      <c r="D109" s="180"/>
      <c r="E109" s="180"/>
      <c r="F109" s="180"/>
      <c r="I109" s="104" t="s">
        <v>12</v>
      </c>
    </row>
    <row r="110" spans="1:9" ht="15.75" customHeight="1">
      <c r="A110" s="4" t="s">
        <v>14</v>
      </c>
    </row>
    <row r="111" spans="1:9">
      <c r="A111" s="181" t="s">
        <v>15</v>
      </c>
      <c r="B111" s="181"/>
      <c r="C111" s="181"/>
      <c r="D111" s="181"/>
      <c r="E111" s="181"/>
      <c r="F111" s="181"/>
      <c r="G111" s="181"/>
      <c r="H111" s="181"/>
      <c r="I111" s="181"/>
    </row>
    <row r="112" spans="1:9" ht="45" customHeight="1">
      <c r="A112" s="170" t="s">
        <v>16</v>
      </c>
      <c r="B112" s="170"/>
      <c r="C112" s="170"/>
      <c r="D112" s="170"/>
      <c r="E112" s="170"/>
      <c r="F112" s="170"/>
      <c r="G112" s="170"/>
      <c r="H112" s="170"/>
      <c r="I112" s="170"/>
    </row>
    <row r="113" spans="1:9" ht="30" customHeight="1">
      <c r="A113" s="170" t="s">
        <v>17</v>
      </c>
      <c r="B113" s="170"/>
      <c r="C113" s="170"/>
      <c r="D113" s="170"/>
      <c r="E113" s="170"/>
      <c r="F113" s="170"/>
      <c r="G113" s="170"/>
      <c r="H113" s="170"/>
      <c r="I113" s="170"/>
    </row>
    <row r="114" spans="1:9" ht="30" customHeight="1">
      <c r="A114" s="170" t="s">
        <v>21</v>
      </c>
      <c r="B114" s="170"/>
      <c r="C114" s="170"/>
      <c r="D114" s="170"/>
      <c r="E114" s="170"/>
      <c r="F114" s="170"/>
      <c r="G114" s="170"/>
      <c r="H114" s="170"/>
      <c r="I114" s="170"/>
    </row>
    <row r="115" spans="1:9" ht="15" customHeight="1">
      <c r="A115" s="170" t="s">
        <v>20</v>
      </c>
      <c r="B115" s="170"/>
      <c r="C115" s="170"/>
      <c r="D115" s="170"/>
      <c r="E115" s="170"/>
      <c r="F115" s="170"/>
      <c r="G115" s="170"/>
      <c r="H115" s="170"/>
      <c r="I115" s="170"/>
    </row>
  </sheetData>
  <autoFilter ref="I12:I71"/>
  <mergeCells count="29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6:U76"/>
    <mergeCell ref="C109:F109"/>
    <mergeCell ref="A84:I84"/>
    <mergeCell ref="A95:I95"/>
    <mergeCell ref="B96:G96"/>
    <mergeCell ref="B97:G97"/>
    <mergeCell ref="A99:I99"/>
    <mergeCell ref="A100:I100"/>
    <mergeCell ref="A101:I101"/>
    <mergeCell ref="A103:I103"/>
    <mergeCell ref="C105:F105"/>
    <mergeCell ref="C106:F106"/>
    <mergeCell ref="C108:F108"/>
    <mergeCell ref="A80:I80"/>
    <mergeCell ref="A111:I111"/>
    <mergeCell ref="A112:I112"/>
    <mergeCell ref="A113:I113"/>
    <mergeCell ref="A114:I114"/>
    <mergeCell ref="A115:I11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2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28515625" customWidth="1"/>
    <col min="3" max="3" width="18.42578125" customWidth="1"/>
    <col min="4" max="4" width="18.140625" customWidth="1"/>
    <col min="5" max="5" width="18.140625" hidden="1" customWidth="1"/>
    <col min="6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31" t="s">
        <v>94</v>
      </c>
      <c r="I1" s="30"/>
      <c r="J1" s="1"/>
      <c r="K1" s="1"/>
      <c r="L1" s="1"/>
      <c r="M1" s="1"/>
    </row>
    <row r="2" spans="1:13" ht="15.75" customHeight="1">
      <c r="A2" s="32" t="s">
        <v>67</v>
      </c>
      <c r="J2" s="2"/>
      <c r="K2" s="2"/>
      <c r="L2" s="2"/>
      <c r="M2" s="2"/>
    </row>
    <row r="3" spans="1:13" ht="15.75" customHeight="1">
      <c r="A3" s="191" t="s">
        <v>238</v>
      </c>
      <c r="B3" s="191"/>
      <c r="C3" s="191"/>
      <c r="D3" s="191"/>
      <c r="E3" s="191"/>
      <c r="F3" s="191"/>
      <c r="G3" s="191"/>
      <c r="H3" s="191"/>
      <c r="I3" s="191"/>
      <c r="J3" s="3"/>
      <c r="K3" s="3"/>
      <c r="L3" s="3"/>
    </row>
    <row r="4" spans="1:13" ht="31.5" customHeight="1">
      <c r="A4" s="192" t="s">
        <v>144</v>
      </c>
      <c r="B4" s="192"/>
      <c r="C4" s="192"/>
      <c r="D4" s="192"/>
      <c r="E4" s="192"/>
      <c r="F4" s="192"/>
      <c r="G4" s="192"/>
      <c r="H4" s="192"/>
      <c r="I4" s="192"/>
    </row>
    <row r="5" spans="1:13" ht="15.75" customHeight="1">
      <c r="A5" s="191" t="s">
        <v>239</v>
      </c>
      <c r="B5" s="193"/>
      <c r="C5" s="193"/>
      <c r="D5" s="193"/>
      <c r="E5" s="193"/>
      <c r="F5" s="193"/>
      <c r="G5" s="193"/>
      <c r="H5" s="193"/>
      <c r="I5" s="193"/>
      <c r="J5" s="2"/>
      <c r="K5" s="2"/>
      <c r="L5" s="2"/>
      <c r="M5" s="2"/>
    </row>
    <row r="6" spans="1:13" ht="15.75" customHeight="1">
      <c r="A6" s="2"/>
      <c r="B6" s="106"/>
      <c r="C6" s="106"/>
      <c r="D6" s="106"/>
      <c r="E6" s="106"/>
      <c r="F6" s="106"/>
      <c r="G6" s="106"/>
      <c r="H6" s="106"/>
      <c r="I6" s="34">
        <v>43008</v>
      </c>
      <c r="J6" s="2"/>
      <c r="K6" s="2"/>
      <c r="L6" s="2"/>
      <c r="M6" s="2"/>
    </row>
    <row r="7" spans="1:13" ht="15.75" customHeight="1">
      <c r="B7" s="102"/>
      <c r="C7" s="102"/>
      <c r="D7" s="102"/>
      <c r="E7" s="102"/>
      <c r="F7" s="3"/>
      <c r="G7" s="3"/>
      <c r="H7" s="3"/>
      <c r="J7" s="3"/>
      <c r="K7" s="3"/>
      <c r="L7" s="3"/>
      <c r="M7" s="3"/>
    </row>
    <row r="8" spans="1:13" ht="78.75" customHeight="1">
      <c r="A8" s="194" t="s">
        <v>168</v>
      </c>
      <c r="B8" s="194"/>
      <c r="C8" s="194"/>
      <c r="D8" s="194"/>
      <c r="E8" s="194"/>
      <c r="F8" s="194"/>
      <c r="G8" s="194"/>
      <c r="H8" s="194"/>
      <c r="I8" s="194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195" t="s">
        <v>261</v>
      </c>
      <c r="B10" s="195"/>
      <c r="C10" s="195"/>
      <c r="D10" s="195"/>
      <c r="E10" s="195"/>
      <c r="F10" s="195"/>
      <c r="G10" s="195"/>
      <c r="H10" s="195"/>
      <c r="I10" s="195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/>
      <c r="F12" s="6" t="s">
        <v>19</v>
      </c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/>
      <c r="F13" s="7">
        <v>5</v>
      </c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196" t="s">
        <v>61</v>
      </c>
      <c r="B14" s="196"/>
      <c r="C14" s="196"/>
      <c r="D14" s="196"/>
      <c r="E14" s="196"/>
      <c r="F14" s="196"/>
      <c r="G14" s="196"/>
      <c r="H14" s="196"/>
      <c r="I14" s="196"/>
      <c r="J14" s="8"/>
      <c r="K14" s="8"/>
      <c r="L14" s="8"/>
      <c r="M14" s="8"/>
    </row>
    <row r="15" spans="1:13" ht="15.75" customHeight="1">
      <c r="A15" s="186" t="s">
        <v>4</v>
      </c>
      <c r="B15" s="186"/>
      <c r="C15" s="186"/>
      <c r="D15" s="186"/>
      <c r="E15" s="186"/>
      <c r="F15" s="186"/>
      <c r="G15" s="186"/>
      <c r="H15" s="186"/>
      <c r="I15" s="186"/>
      <c r="J15" s="8"/>
      <c r="K15" s="8"/>
      <c r="L15" s="8"/>
      <c r="M15" s="8"/>
    </row>
    <row r="16" spans="1:13" ht="15.75" customHeight="1">
      <c r="A16" s="33">
        <v>1</v>
      </c>
      <c r="B16" s="124" t="s">
        <v>95</v>
      </c>
      <c r="C16" s="90" t="s">
        <v>117</v>
      </c>
      <c r="D16" s="124" t="s">
        <v>118</v>
      </c>
      <c r="E16" s="125">
        <v>160.5</v>
      </c>
      <c r="F16" s="126">
        <f>SUM(E16*156/100)</f>
        <v>250.38</v>
      </c>
      <c r="G16" s="126">
        <v>175.38</v>
      </c>
      <c r="H16" s="127">
        <f t="shared" ref="H16:H28" si="0">SUM(F16*G16/1000)</f>
        <v>43.9116444</v>
      </c>
      <c r="I16" s="14">
        <f>F16/12*G16</f>
        <v>3659.3036999999995</v>
      </c>
      <c r="J16" s="8"/>
      <c r="K16" s="8"/>
      <c r="L16" s="8"/>
      <c r="M16" s="8"/>
    </row>
    <row r="17" spans="1:13" ht="15.75" customHeight="1">
      <c r="A17" s="33">
        <v>2</v>
      </c>
      <c r="B17" s="124" t="s">
        <v>102</v>
      </c>
      <c r="C17" s="90" t="s">
        <v>117</v>
      </c>
      <c r="D17" s="124" t="s">
        <v>119</v>
      </c>
      <c r="E17" s="125">
        <v>642</v>
      </c>
      <c r="F17" s="126">
        <f>SUM(E17*104/100)</f>
        <v>667.68</v>
      </c>
      <c r="G17" s="126">
        <v>175.38</v>
      </c>
      <c r="H17" s="127">
        <f t="shared" si="0"/>
        <v>117.09771839999998</v>
      </c>
      <c r="I17" s="14">
        <f>F17/12*G17</f>
        <v>9758.1431999999986</v>
      </c>
      <c r="J17" s="26"/>
      <c r="K17" s="8"/>
      <c r="L17" s="8"/>
      <c r="M17" s="8"/>
    </row>
    <row r="18" spans="1:13" ht="15.75" customHeight="1">
      <c r="A18" s="33">
        <v>3</v>
      </c>
      <c r="B18" s="124" t="s">
        <v>103</v>
      </c>
      <c r="C18" s="90" t="s">
        <v>117</v>
      </c>
      <c r="D18" s="124" t="s">
        <v>120</v>
      </c>
      <c r="E18" s="125">
        <f>SUM(E16+E17)</f>
        <v>802.5</v>
      </c>
      <c r="F18" s="126">
        <f>SUM(E18*24/100)</f>
        <v>192.6</v>
      </c>
      <c r="G18" s="126">
        <v>504.5</v>
      </c>
      <c r="H18" s="127">
        <f t="shared" si="0"/>
        <v>97.166699999999992</v>
      </c>
      <c r="I18" s="14">
        <f>F18/12*G18</f>
        <v>8097.2250000000004</v>
      </c>
      <c r="J18" s="26"/>
      <c r="K18" s="8"/>
      <c r="L18" s="8"/>
      <c r="M18" s="8"/>
    </row>
    <row r="19" spans="1:13" ht="15.75" hidden="1" customHeight="1">
      <c r="A19" s="33">
        <v>4</v>
      </c>
      <c r="B19" s="124" t="s">
        <v>121</v>
      </c>
      <c r="C19" s="90" t="s">
        <v>122</v>
      </c>
      <c r="D19" s="124" t="s">
        <v>123</v>
      </c>
      <c r="E19" s="125">
        <v>38.4</v>
      </c>
      <c r="F19" s="126">
        <f>SUM(E19/10)</f>
        <v>3.84</v>
      </c>
      <c r="G19" s="126">
        <v>170.16</v>
      </c>
      <c r="H19" s="127">
        <f t="shared" si="0"/>
        <v>0.65341439999999995</v>
      </c>
      <c r="I19" s="14">
        <f>F19/2*G19</f>
        <v>326.7072</v>
      </c>
      <c r="J19" s="26"/>
      <c r="K19" s="8"/>
      <c r="L19" s="8"/>
      <c r="M19" s="8"/>
    </row>
    <row r="20" spans="1:13" ht="15.75" customHeight="1">
      <c r="A20" s="33">
        <v>4</v>
      </c>
      <c r="B20" s="124" t="s">
        <v>107</v>
      </c>
      <c r="C20" s="90" t="s">
        <v>117</v>
      </c>
      <c r="D20" s="124" t="s">
        <v>31</v>
      </c>
      <c r="E20" s="125">
        <v>58.4</v>
      </c>
      <c r="F20" s="126">
        <f>SUM(E20*12/100)</f>
        <v>7.0079999999999991</v>
      </c>
      <c r="G20" s="126">
        <v>217.88</v>
      </c>
      <c r="H20" s="127">
        <f t="shared" si="0"/>
        <v>1.5269030399999997</v>
      </c>
      <c r="I20" s="14">
        <f>F20/12*G20</f>
        <v>127.24191999999999</v>
      </c>
      <c r="J20" s="26"/>
      <c r="K20" s="8"/>
      <c r="L20" s="8"/>
      <c r="M20" s="8"/>
    </row>
    <row r="21" spans="1:13" ht="15.75" customHeight="1">
      <c r="A21" s="33">
        <v>5</v>
      </c>
      <c r="B21" s="124" t="s">
        <v>108</v>
      </c>
      <c r="C21" s="90" t="s">
        <v>117</v>
      </c>
      <c r="D21" s="124" t="s">
        <v>31</v>
      </c>
      <c r="E21" s="125">
        <v>9.08</v>
      </c>
      <c r="F21" s="126">
        <f>SUM(E21*12/100)</f>
        <v>1.0896000000000001</v>
      </c>
      <c r="G21" s="126">
        <v>216.12</v>
      </c>
      <c r="H21" s="127">
        <f t="shared" si="0"/>
        <v>0.23548435200000004</v>
      </c>
      <c r="I21" s="14">
        <f>F21/12*G21</f>
        <v>19.623696000000002</v>
      </c>
      <c r="J21" s="26"/>
      <c r="K21" s="8"/>
      <c r="L21" s="8"/>
      <c r="M21" s="8"/>
    </row>
    <row r="22" spans="1:13" ht="15.75" hidden="1" customHeight="1">
      <c r="A22" s="33">
        <v>7</v>
      </c>
      <c r="B22" s="124" t="s">
        <v>124</v>
      </c>
      <c r="C22" s="90" t="s">
        <v>54</v>
      </c>
      <c r="D22" s="124" t="s">
        <v>123</v>
      </c>
      <c r="E22" s="125">
        <v>822.72</v>
      </c>
      <c r="F22" s="126">
        <f>SUM(E22/100)</f>
        <v>8.2271999999999998</v>
      </c>
      <c r="G22" s="126">
        <v>269.26</v>
      </c>
      <c r="H22" s="127">
        <f t="shared" si="0"/>
        <v>2.2152558719999997</v>
      </c>
      <c r="I22" s="14">
        <f>F22*G22</f>
        <v>2215.2558719999997</v>
      </c>
      <c r="J22" s="26"/>
      <c r="K22" s="8"/>
      <c r="L22" s="8"/>
      <c r="M22" s="8"/>
    </row>
    <row r="23" spans="1:13" ht="15.75" hidden="1" customHeight="1">
      <c r="A23" s="33">
        <v>8</v>
      </c>
      <c r="B23" s="124" t="s">
        <v>125</v>
      </c>
      <c r="C23" s="90" t="s">
        <v>54</v>
      </c>
      <c r="D23" s="124" t="s">
        <v>123</v>
      </c>
      <c r="E23" s="128">
        <v>96.6</v>
      </c>
      <c r="F23" s="126">
        <f>SUM(E23/100)</f>
        <v>0.96599999999999997</v>
      </c>
      <c r="G23" s="126">
        <v>44.29</v>
      </c>
      <c r="H23" s="127">
        <f t="shared" si="0"/>
        <v>4.2784139999999998E-2</v>
      </c>
      <c r="I23" s="14">
        <f>F23*G23</f>
        <v>42.784140000000001</v>
      </c>
      <c r="J23" s="26"/>
      <c r="K23" s="8"/>
      <c r="L23" s="8"/>
      <c r="M23" s="8"/>
    </row>
    <row r="24" spans="1:13" ht="15.75" customHeight="1">
      <c r="A24" s="33">
        <v>6</v>
      </c>
      <c r="B24" s="124" t="s">
        <v>113</v>
      </c>
      <c r="C24" s="90" t="s">
        <v>54</v>
      </c>
      <c r="D24" s="124" t="s">
        <v>31</v>
      </c>
      <c r="E24" s="129">
        <v>32</v>
      </c>
      <c r="F24" s="126">
        <f>32*12/1000</f>
        <v>0.38400000000000001</v>
      </c>
      <c r="G24" s="126">
        <v>389.42</v>
      </c>
      <c r="H24" s="127">
        <f>G24*F24/100</f>
        <v>1.4953728000000002</v>
      </c>
      <c r="I24" s="14">
        <f>F24/12*G24</f>
        <v>12.461440000000001</v>
      </c>
      <c r="J24" s="26"/>
      <c r="K24" s="8"/>
      <c r="L24" s="8"/>
      <c r="M24" s="8"/>
    </row>
    <row r="25" spans="1:13" ht="15.75" hidden="1" customHeight="1">
      <c r="A25" s="33">
        <v>10</v>
      </c>
      <c r="B25" s="124" t="s">
        <v>145</v>
      </c>
      <c r="C25" s="90" t="s">
        <v>54</v>
      </c>
      <c r="D25" s="124" t="s">
        <v>55</v>
      </c>
      <c r="E25" s="130">
        <v>38</v>
      </c>
      <c r="F25" s="126">
        <v>0.38</v>
      </c>
      <c r="G25" s="126">
        <v>216.12</v>
      </c>
      <c r="H25" s="127">
        <f>G25*F25/1000</f>
        <v>8.2125600000000007E-2</v>
      </c>
      <c r="I25" s="14">
        <f>F25*G25</f>
        <v>82.125600000000006</v>
      </c>
      <c r="J25" s="26"/>
      <c r="K25" s="8"/>
      <c r="L25" s="8"/>
      <c r="M25" s="8"/>
    </row>
    <row r="26" spans="1:13" ht="15.75" customHeight="1">
      <c r="A26" s="33">
        <v>7</v>
      </c>
      <c r="B26" s="124" t="s">
        <v>114</v>
      </c>
      <c r="C26" s="90" t="s">
        <v>54</v>
      </c>
      <c r="D26" s="124" t="s">
        <v>146</v>
      </c>
      <c r="E26" s="125">
        <v>17</v>
      </c>
      <c r="F26" s="126">
        <f>SUM(E26*12/100)</f>
        <v>2.04</v>
      </c>
      <c r="G26" s="126">
        <v>520.79999999999995</v>
      </c>
      <c r="H26" s="127">
        <f t="shared" si="0"/>
        <v>1.062432</v>
      </c>
      <c r="I26" s="14">
        <f>F26/12*G26</f>
        <v>88.536000000000001</v>
      </c>
      <c r="J26" s="26"/>
      <c r="K26" s="8"/>
      <c r="L26" s="8"/>
      <c r="M26" s="8"/>
    </row>
    <row r="27" spans="1:13" ht="15.75" customHeight="1">
      <c r="A27" s="33">
        <v>8</v>
      </c>
      <c r="B27" s="124" t="s">
        <v>69</v>
      </c>
      <c r="C27" s="90" t="s">
        <v>34</v>
      </c>
      <c r="D27" s="124" t="s">
        <v>179</v>
      </c>
      <c r="E27" s="125">
        <v>0.1</v>
      </c>
      <c r="F27" s="126">
        <f>SUM(E27*365)</f>
        <v>36.5</v>
      </c>
      <c r="G27" s="126">
        <v>147.03</v>
      </c>
      <c r="H27" s="127">
        <f t="shared" si="0"/>
        <v>5.3665950000000002</v>
      </c>
      <c r="I27" s="14">
        <f>F27/12*G27</f>
        <v>447.21625</v>
      </c>
      <c r="J27" s="26"/>
      <c r="K27" s="8"/>
      <c r="L27" s="8"/>
      <c r="M27" s="8"/>
    </row>
    <row r="28" spans="1:13" ht="15.75" customHeight="1">
      <c r="A28" s="33">
        <v>9</v>
      </c>
      <c r="B28" s="131" t="s">
        <v>23</v>
      </c>
      <c r="C28" s="90" t="s">
        <v>24</v>
      </c>
      <c r="D28" s="131" t="s">
        <v>179</v>
      </c>
      <c r="E28" s="125">
        <v>5926.8</v>
      </c>
      <c r="F28" s="126">
        <f>SUM(E28*12)</f>
        <v>71121.600000000006</v>
      </c>
      <c r="G28" s="126">
        <v>4.53</v>
      </c>
      <c r="H28" s="127">
        <f t="shared" si="0"/>
        <v>322.18084800000008</v>
      </c>
      <c r="I28" s="14">
        <f>F28/12*G28</f>
        <v>26848.404000000002</v>
      </c>
      <c r="J28" s="26"/>
      <c r="K28" s="8"/>
      <c r="L28" s="8"/>
      <c r="M28" s="8"/>
    </row>
    <row r="29" spans="1:13" ht="15.75" customHeight="1">
      <c r="A29" s="186" t="s">
        <v>93</v>
      </c>
      <c r="B29" s="186"/>
      <c r="C29" s="186"/>
      <c r="D29" s="186"/>
      <c r="E29" s="186"/>
      <c r="F29" s="186"/>
      <c r="G29" s="186"/>
      <c r="H29" s="186"/>
      <c r="I29" s="186"/>
      <c r="J29" s="26"/>
      <c r="K29" s="8"/>
      <c r="L29" s="8"/>
      <c r="M29" s="8"/>
    </row>
    <row r="30" spans="1:13" ht="15.75" customHeight="1">
      <c r="A30" s="52"/>
      <c r="B30" s="62" t="s">
        <v>29</v>
      </c>
      <c r="C30" s="62"/>
      <c r="D30" s="62"/>
      <c r="E30" s="62"/>
      <c r="F30" s="62"/>
      <c r="G30" s="62"/>
      <c r="H30" s="62"/>
      <c r="I30" s="21"/>
      <c r="J30" s="26"/>
      <c r="K30" s="8"/>
      <c r="L30" s="8"/>
      <c r="M30" s="8"/>
    </row>
    <row r="31" spans="1:13" ht="15.75" customHeight="1">
      <c r="A31" s="52">
        <v>10</v>
      </c>
      <c r="B31" s="124" t="s">
        <v>126</v>
      </c>
      <c r="C31" s="90" t="s">
        <v>127</v>
      </c>
      <c r="D31" s="124" t="s">
        <v>148</v>
      </c>
      <c r="E31" s="126">
        <v>2732.4</v>
      </c>
      <c r="F31" s="126">
        <f>SUM(E31*26/1000)</f>
        <v>71.042400000000015</v>
      </c>
      <c r="G31" s="126">
        <v>155.88999999999999</v>
      </c>
      <c r="H31" s="127">
        <f t="shared" ref="H31:H33" si="1">SUM(F31*G31/1000)</f>
        <v>11.074799736000001</v>
      </c>
      <c r="I31" s="14">
        <f>F31/6*G31</f>
        <v>1845.7999560000003</v>
      </c>
      <c r="J31" s="26"/>
      <c r="K31" s="8"/>
      <c r="L31" s="8"/>
      <c r="M31" s="8"/>
    </row>
    <row r="32" spans="1:13" ht="31.5" customHeight="1">
      <c r="A32" s="52">
        <v>11</v>
      </c>
      <c r="B32" s="124" t="s">
        <v>149</v>
      </c>
      <c r="C32" s="90" t="s">
        <v>127</v>
      </c>
      <c r="D32" s="124" t="s">
        <v>128</v>
      </c>
      <c r="E32" s="126">
        <v>547.85</v>
      </c>
      <c r="F32" s="126">
        <f>SUM(E32*78/1000)</f>
        <v>42.732300000000002</v>
      </c>
      <c r="G32" s="126">
        <v>258.63</v>
      </c>
      <c r="H32" s="127">
        <f t="shared" si="1"/>
        <v>11.051854749</v>
      </c>
      <c r="I32" s="14">
        <f t="shared" ref="I32:I35" si="2">F32/6*G32</f>
        <v>1841.9757915000002</v>
      </c>
      <c r="J32" s="26"/>
      <c r="K32" s="8"/>
      <c r="L32" s="8"/>
      <c r="M32" s="8"/>
    </row>
    <row r="33" spans="1:14" ht="15.75" hidden="1" customHeight="1">
      <c r="A33" s="52">
        <v>16</v>
      </c>
      <c r="B33" s="124" t="s">
        <v>28</v>
      </c>
      <c r="C33" s="90" t="s">
        <v>127</v>
      </c>
      <c r="D33" s="124" t="s">
        <v>55</v>
      </c>
      <c r="E33" s="126">
        <v>2732.4</v>
      </c>
      <c r="F33" s="126">
        <f>SUM(E33/1000)</f>
        <v>2.7324000000000002</v>
      </c>
      <c r="G33" s="126">
        <v>3020.33</v>
      </c>
      <c r="H33" s="127">
        <f t="shared" si="1"/>
        <v>8.2527496920000001</v>
      </c>
      <c r="I33" s="14">
        <f>F33*G33</f>
        <v>8252.7496919999994</v>
      </c>
      <c r="J33" s="26"/>
      <c r="K33" s="8"/>
      <c r="L33" s="8"/>
      <c r="M33" s="8"/>
    </row>
    <row r="34" spans="1:14" ht="15.75" customHeight="1">
      <c r="A34" s="52">
        <v>12</v>
      </c>
      <c r="B34" s="124" t="s">
        <v>147</v>
      </c>
      <c r="C34" s="90" t="s">
        <v>40</v>
      </c>
      <c r="D34" s="124" t="s">
        <v>68</v>
      </c>
      <c r="E34" s="126">
        <v>8</v>
      </c>
      <c r="F34" s="126">
        <v>12.4</v>
      </c>
      <c r="G34" s="126">
        <v>1302.02</v>
      </c>
      <c r="H34" s="127">
        <v>16.145</v>
      </c>
      <c r="I34" s="14">
        <f t="shared" si="2"/>
        <v>2690.8413333333338</v>
      </c>
      <c r="J34" s="26"/>
      <c r="K34" s="8"/>
      <c r="L34" s="8"/>
      <c r="M34" s="8"/>
    </row>
    <row r="35" spans="1:14" ht="15.75" customHeight="1">
      <c r="A35" s="52">
        <v>13</v>
      </c>
      <c r="B35" s="124" t="s">
        <v>180</v>
      </c>
      <c r="C35" s="90" t="s">
        <v>32</v>
      </c>
      <c r="D35" s="124" t="s">
        <v>68</v>
      </c>
      <c r="E35" s="132">
        <v>1</v>
      </c>
      <c r="F35" s="126">
        <v>155</v>
      </c>
      <c r="G35" s="126">
        <v>56.69</v>
      </c>
      <c r="H35" s="127">
        <f>SUM(G35*155/1000)</f>
        <v>8.7869499999999992</v>
      </c>
      <c r="I35" s="14">
        <f t="shared" si="2"/>
        <v>1464.4916666666666</v>
      </c>
      <c r="J35" s="26"/>
      <c r="K35" s="8"/>
      <c r="L35" s="8"/>
      <c r="M35" s="8"/>
    </row>
    <row r="36" spans="1:14" ht="15.75" hidden="1" customHeight="1">
      <c r="A36" s="52">
        <v>4</v>
      </c>
      <c r="B36" s="124" t="s">
        <v>70</v>
      </c>
      <c r="C36" s="90" t="s">
        <v>34</v>
      </c>
      <c r="D36" s="124" t="s">
        <v>72</v>
      </c>
      <c r="E36" s="125"/>
      <c r="F36" s="126">
        <v>2</v>
      </c>
      <c r="G36" s="126">
        <v>191.32</v>
      </c>
      <c r="H36" s="127">
        <f t="shared" ref="H36:H37" si="3">SUM(F36*G36/1000)</f>
        <v>0.38263999999999998</v>
      </c>
      <c r="I36" s="14">
        <v>0</v>
      </c>
      <c r="J36" s="26"/>
      <c r="K36" s="8"/>
    </row>
    <row r="37" spans="1:14" ht="15.75" hidden="1" customHeight="1">
      <c r="A37" s="33">
        <v>8</v>
      </c>
      <c r="B37" s="124" t="s">
        <v>71</v>
      </c>
      <c r="C37" s="90" t="s">
        <v>33</v>
      </c>
      <c r="D37" s="124" t="s">
        <v>72</v>
      </c>
      <c r="E37" s="125"/>
      <c r="F37" s="126">
        <v>3</v>
      </c>
      <c r="G37" s="126">
        <v>1136.32</v>
      </c>
      <c r="H37" s="127">
        <f t="shared" si="3"/>
        <v>3.40896</v>
      </c>
      <c r="I37" s="14">
        <v>0</v>
      </c>
      <c r="J37" s="27"/>
    </row>
    <row r="38" spans="1:14" ht="15.75" hidden="1" customHeight="1">
      <c r="A38" s="52"/>
      <c r="B38" s="60" t="s">
        <v>5</v>
      </c>
      <c r="C38" s="60"/>
      <c r="D38" s="60"/>
      <c r="E38" s="60"/>
      <c r="F38" s="14"/>
      <c r="G38" s="15"/>
      <c r="H38" s="15"/>
      <c r="I38" s="21"/>
      <c r="J38" s="27"/>
    </row>
    <row r="39" spans="1:14" ht="15.75" hidden="1" customHeight="1">
      <c r="A39" s="38">
        <v>10</v>
      </c>
      <c r="B39" s="124" t="s">
        <v>27</v>
      </c>
      <c r="C39" s="90" t="s">
        <v>33</v>
      </c>
      <c r="D39" s="124"/>
      <c r="E39" s="125"/>
      <c r="F39" s="126">
        <v>15</v>
      </c>
      <c r="G39" s="126">
        <v>1527.22</v>
      </c>
      <c r="H39" s="127">
        <f>SUM(F39*G39/1000)</f>
        <v>22.908300000000001</v>
      </c>
      <c r="I39" s="14">
        <f t="shared" ref="I39:I44" si="4">F39/6*G39</f>
        <v>3818.05</v>
      </c>
      <c r="J39" s="27"/>
    </row>
    <row r="40" spans="1:14" ht="15.75" hidden="1" customHeight="1">
      <c r="A40" s="38">
        <v>11</v>
      </c>
      <c r="B40" s="124" t="s">
        <v>73</v>
      </c>
      <c r="C40" s="90" t="s">
        <v>30</v>
      </c>
      <c r="D40" s="124" t="s">
        <v>130</v>
      </c>
      <c r="E40" s="126">
        <v>547.85</v>
      </c>
      <c r="F40" s="126">
        <f>SUM(E40*50/1000)</f>
        <v>27.392499999999998</v>
      </c>
      <c r="G40" s="126">
        <v>2102.71</v>
      </c>
      <c r="H40" s="127">
        <f t="shared" ref="H40:H44" si="5">SUM(F40*G40/1000)</f>
        <v>57.598483674999997</v>
      </c>
      <c r="I40" s="14">
        <f t="shared" si="4"/>
        <v>9599.747279166666</v>
      </c>
      <c r="J40" s="27"/>
    </row>
    <row r="41" spans="1:14" ht="15.75" hidden="1" customHeight="1">
      <c r="A41" s="38">
        <v>12</v>
      </c>
      <c r="B41" s="124" t="s">
        <v>74</v>
      </c>
      <c r="C41" s="90" t="s">
        <v>30</v>
      </c>
      <c r="D41" s="124" t="s">
        <v>131</v>
      </c>
      <c r="E41" s="126">
        <v>140</v>
      </c>
      <c r="F41" s="126">
        <f>SUM(E41*155/1000)</f>
        <v>21.7</v>
      </c>
      <c r="G41" s="126">
        <v>350.75</v>
      </c>
      <c r="H41" s="127">
        <f t="shared" si="5"/>
        <v>7.611275</v>
      </c>
      <c r="I41" s="14">
        <f t="shared" si="4"/>
        <v>1268.5458333333333</v>
      </c>
      <c r="J41" s="27"/>
    </row>
    <row r="42" spans="1:14" ht="31.5" hidden="1" customHeight="1">
      <c r="A42" s="38">
        <v>13</v>
      </c>
      <c r="B42" s="124" t="s">
        <v>88</v>
      </c>
      <c r="C42" s="90" t="s">
        <v>127</v>
      </c>
      <c r="D42" s="124" t="s">
        <v>150</v>
      </c>
      <c r="E42" s="126">
        <v>140</v>
      </c>
      <c r="F42" s="126">
        <f>SUM(E42*12/1000)</f>
        <v>1.68</v>
      </c>
      <c r="G42" s="126">
        <v>5803.28</v>
      </c>
      <c r="H42" s="127">
        <f t="shared" si="5"/>
        <v>9.7495103999999984</v>
      </c>
      <c r="I42" s="14">
        <f t="shared" si="4"/>
        <v>1624.9183999999998</v>
      </c>
      <c r="J42" s="27"/>
    </row>
    <row r="43" spans="1:14" ht="15.75" hidden="1" customHeight="1">
      <c r="A43" s="38">
        <v>14</v>
      </c>
      <c r="B43" s="124" t="s">
        <v>132</v>
      </c>
      <c r="C43" s="90" t="s">
        <v>127</v>
      </c>
      <c r="D43" s="124" t="s">
        <v>75</v>
      </c>
      <c r="E43" s="126">
        <v>140</v>
      </c>
      <c r="F43" s="126">
        <f>SUM(E43*45/1000)</f>
        <v>6.3</v>
      </c>
      <c r="G43" s="126">
        <v>428.7</v>
      </c>
      <c r="H43" s="127">
        <f t="shared" si="5"/>
        <v>2.7008100000000002</v>
      </c>
      <c r="I43" s="14">
        <f t="shared" si="4"/>
        <v>450.13499999999999</v>
      </c>
      <c r="J43" s="27"/>
    </row>
    <row r="44" spans="1:14" ht="15.75" hidden="1" customHeight="1">
      <c r="A44" s="38">
        <v>15</v>
      </c>
      <c r="B44" s="124" t="s">
        <v>76</v>
      </c>
      <c r="C44" s="90" t="s">
        <v>34</v>
      </c>
      <c r="D44" s="124"/>
      <c r="E44" s="125"/>
      <c r="F44" s="126">
        <v>0.9</v>
      </c>
      <c r="G44" s="126">
        <v>798</v>
      </c>
      <c r="H44" s="127">
        <f t="shared" si="5"/>
        <v>0.71820000000000006</v>
      </c>
      <c r="I44" s="14">
        <f t="shared" si="4"/>
        <v>119.69999999999999</v>
      </c>
      <c r="J44" s="27"/>
      <c r="L44" s="23"/>
      <c r="M44" s="24"/>
      <c r="N44" s="25"/>
    </row>
    <row r="45" spans="1:14" ht="15.75" customHeight="1">
      <c r="A45" s="187" t="s">
        <v>176</v>
      </c>
      <c r="B45" s="188"/>
      <c r="C45" s="188"/>
      <c r="D45" s="188"/>
      <c r="E45" s="188"/>
      <c r="F45" s="188"/>
      <c r="G45" s="188"/>
      <c r="H45" s="188"/>
      <c r="I45" s="189"/>
      <c r="J45" s="27"/>
      <c r="L45" s="23"/>
      <c r="M45" s="24"/>
      <c r="N45" s="25"/>
    </row>
    <row r="46" spans="1:14" ht="15.75" customHeight="1">
      <c r="A46" s="52">
        <v>14</v>
      </c>
      <c r="B46" s="124" t="s">
        <v>133</v>
      </c>
      <c r="C46" s="90" t="s">
        <v>127</v>
      </c>
      <c r="D46" s="124" t="s">
        <v>42</v>
      </c>
      <c r="E46" s="125">
        <v>1640.4</v>
      </c>
      <c r="F46" s="126">
        <f>SUM(E46*2/1000)</f>
        <v>3.2808000000000002</v>
      </c>
      <c r="G46" s="14">
        <v>849.49</v>
      </c>
      <c r="H46" s="127">
        <f t="shared" ref="H46:H54" si="6">SUM(F46*G46/1000)</f>
        <v>2.7870067920000001</v>
      </c>
      <c r="I46" s="14">
        <f t="shared" ref="I46:I48" si="7">F46/2*G46</f>
        <v>1393.5033960000001</v>
      </c>
      <c r="J46" s="27"/>
      <c r="L46" s="23"/>
      <c r="M46" s="24"/>
      <c r="N46" s="25"/>
    </row>
    <row r="47" spans="1:14" ht="15.75" customHeight="1">
      <c r="A47" s="52">
        <v>15</v>
      </c>
      <c r="B47" s="124" t="s">
        <v>35</v>
      </c>
      <c r="C47" s="90" t="s">
        <v>127</v>
      </c>
      <c r="D47" s="124" t="s">
        <v>42</v>
      </c>
      <c r="E47" s="125">
        <v>918.25</v>
      </c>
      <c r="F47" s="126">
        <f>SUM(E47*2/1000)</f>
        <v>1.8365</v>
      </c>
      <c r="G47" s="14">
        <v>579.48</v>
      </c>
      <c r="H47" s="127">
        <f t="shared" si="6"/>
        <v>1.06421502</v>
      </c>
      <c r="I47" s="14">
        <f t="shared" si="7"/>
        <v>532.10751000000005</v>
      </c>
      <c r="J47" s="27"/>
      <c r="L47" s="23"/>
      <c r="M47" s="24"/>
      <c r="N47" s="25"/>
    </row>
    <row r="48" spans="1:14" ht="15.75" customHeight="1">
      <c r="A48" s="52">
        <v>16</v>
      </c>
      <c r="B48" s="124" t="s">
        <v>36</v>
      </c>
      <c r="C48" s="90" t="s">
        <v>127</v>
      </c>
      <c r="D48" s="124" t="s">
        <v>42</v>
      </c>
      <c r="E48" s="125">
        <v>5592.26</v>
      </c>
      <c r="F48" s="126">
        <f>SUM(E48*2/1000)</f>
        <v>11.184520000000001</v>
      </c>
      <c r="G48" s="14">
        <v>579.48</v>
      </c>
      <c r="H48" s="127">
        <f t="shared" si="6"/>
        <v>6.4812056496000006</v>
      </c>
      <c r="I48" s="14">
        <f t="shared" si="7"/>
        <v>3240.6028248000002</v>
      </c>
      <c r="J48" s="27"/>
      <c r="L48" s="23"/>
      <c r="M48" s="24"/>
      <c r="N48" s="25"/>
    </row>
    <row r="49" spans="1:14" ht="15.75" customHeight="1">
      <c r="A49" s="52">
        <v>17</v>
      </c>
      <c r="B49" s="124" t="s">
        <v>37</v>
      </c>
      <c r="C49" s="90" t="s">
        <v>127</v>
      </c>
      <c r="D49" s="124" t="s">
        <v>42</v>
      </c>
      <c r="E49" s="125">
        <v>2817.65</v>
      </c>
      <c r="F49" s="126">
        <f>SUM(E49*2/1000)</f>
        <v>5.6353</v>
      </c>
      <c r="G49" s="14">
        <v>606.77</v>
      </c>
      <c r="H49" s="127">
        <f t="shared" si="6"/>
        <v>3.4193309809999999</v>
      </c>
      <c r="I49" s="14">
        <f>F49/2*G49</f>
        <v>1709.6654905</v>
      </c>
      <c r="J49" s="27"/>
      <c r="L49" s="23"/>
      <c r="M49" s="24"/>
      <c r="N49" s="25"/>
    </row>
    <row r="50" spans="1:14" ht="15.75" customHeight="1">
      <c r="A50" s="52">
        <v>18</v>
      </c>
      <c r="B50" s="124" t="s">
        <v>58</v>
      </c>
      <c r="C50" s="90" t="s">
        <v>127</v>
      </c>
      <c r="D50" s="124" t="s">
        <v>152</v>
      </c>
      <c r="E50" s="125">
        <v>3280.8</v>
      </c>
      <c r="F50" s="126">
        <f>SUM(E50*5/1000)</f>
        <v>16.404</v>
      </c>
      <c r="G50" s="14">
        <v>1213.55</v>
      </c>
      <c r="H50" s="127">
        <f t="shared" si="6"/>
        <v>19.9070742</v>
      </c>
      <c r="I50" s="14">
        <f>F50/5*G50</f>
        <v>3981.4148399999999</v>
      </c>
      <c r="J50" s="27"/>
      <c r="L50" s="23"/>
      <c r="M50" s="24"/>
      <c r="N50" s="25"/>
    </row>
    <row r="51" spans="1:14" ht="31.5" hidden="1" customHeight="1">
      <c r="A51" s="52">
        <v>16</v>
      </c>
      <c r="B51" s="124" t="s">
        <v>134</v>
      </c>
      <c r="C51" s="90" t="s">
        <v>127</v>
      </c>
      <c r="D51" s="124" t="s">
        <v>42</v>
      </c>
      <c r="E51" s="125">
        <v>3280.8</v>
      </c>
      <c r="F51" s="126">
        <f>SUM(E51*2/1000)</f>
        <v>6.5616000000000003</v>
      </c>
      <c r="G51" s="14">
        <v>1213.55</v>
      </c>
      <c r="H51" s="127">
        <f t="shared" si="6"/>
        <v>7.9628296799999996</v>
      </c>
      <c r="I51" s="14">
        <f>F51/2*G51</f>
        <v>3981.4148399999999</v>
      </c>
      <c r="J51" s="27"/>
      <c r="L51" s="23"/>
      <c r="M51" s="24"/>
      <c r="N51" s="25"/>
    </row>
    <row r="52" spans="1:14" ht="31.5" hidden="1" customHeight="1">
      <c r="A52" s="52">
        <v>17</v>
      </c>
      <c r="B52" s="124" t="s">
        <v>151</v>
      </c>
      <c r="C52" s="90" t="s">
        <v>38</v>
      </c>
      <c r="D52" s="124" t="s">
        <v>42</v>
      </c>
      <c r="E52" s="125">
        <v>40</v>
      </c>
      <c r="F52" s="126">
        <f>SUM(E52*2/100)</f>
        <v>0.8</v>
      </c>
      <c r="G52" s="14">
        <v>2730.49</v>
      </c>
      <c r="H52" s="127">
        <f t="shared" si="6"/>
        <v>2.1843919999999999</v>
      </c>
      <c r="I52" s="14">
        <f>F52/2*G52</f>
        <v>1092.1959999999999</v>
      </c>
      <c r="J52" s="27"/>
      <c r="L52" s="23"/>
      <c r="M52" s="24"/>
      <c r="N52" s="25"/>
    </row>
    <row r="53" spans="1:14" ht="15.75" hidden="1" customHeight="1">
      <c r="A53" s="52">
        <v>16</v>
      </c>
      <c r="B53" s="124" t="s">
        <v>39</v>
      </c>
      <c r="C53" s="90" t="s">
        <v>40</v>
      </c>
      <c r="D53" s="124" t="s">
        <v>42</v>
      </c>
      <c r="E53" s="125">
        <v>1</v>
      </c>
      <c r="F53" s="126">
        <v>0.02</v>
      </c>
      <c r="G53" s="14">
        <v>5652.13</v>
      </c>
      <c r="H53" s="127">
        <f t="shared" si="6"/>
        <v>0.11304260000000001</v>
      </c>
      <c r="I53" s="14">
        <f>F53/2*G53</f>
        <v>56.521300000000004</v>
      </c>
      <c r="J53" s="27"/>
      <c r="L53" s="23"/>
      <c r="M53" s="24"/>
      <c r="N53" s="25"/>
    </row>
    <row r="54" spans="1:14" ht="15.75" hidden="1" customHeight="1">
      <c r="A54" s="52">
        <v>14</v>
      </c>
      <c r="B54" s="124" t="s">
        <v>41</v>
      </c>
      <c r="C54" s="90" t="s">
        <v>135</v>
      </c>
      <c r="D54" s="124" t="s">
        <v>77</v>
      </c>
      <c r="E54" s="125">
        <v>238</v>
      </c>
      <c r="F54" s="126">
        <f>SUM(E54)*3</f>
        <v>714</v>
      </c>
      <c r="G54" s="14">
        <v>65.67</v>
      </c>
      <c r="H54" s="127">
        <f t="shared" si="6"/>
        <v>46.888380000000005</v>
      </c>
      <c r="I54" s="14">
        <f>E54*G54</f>
        <v>15629.460000000001</v>
      </c>
      <c r="J54" s="27"/>
      <c r="L54" s="23"/>
      <c r="M54" s="24"/>
      <c r="N54" s="25"/>
    </row>
    <row r="55" spans="1:14" ht="15.75" customHeight="1">
      <c r="A55" s="187" t="s">
        <v>177</v>
      </c>
      <c r="B55" s="188"/>
      <c r="C55" s="188"/>
      <c r="D55" s="188"/>
      <c r="E55" s="188"/>
      <c r="F55" s="188"/>
      <c r="G55" s="188"/>
      <c r="H55" s="188"/>
      <c r="I55" s="189"/>
      <c r="J55" s="27"/>
      <c r="L55" s="23"/>
      <c r="M55" s="24"/>
      <c r="N55" s="25"/>
    </row>
    <row r="56" spans="1:14" ht="15.75" hidden="1" customHeight="1">
      <c r="A56" s="65"/>
      <c r="B56" s="59" t="s">
        <v>43</v>
      </c>
      <c r="C56" s="18"/>
      <c r="D56" s="17"/>
      <c r="E56" s="17"/>
      <c r="F56" s="17"/>
      <c r="G56" s="33"/>
      <c r="H56" s="33"/>
      <c r="I56" s="21"/>
      <c r="J56" s="27"/>
      <c r="L56" s="23"/>
      <c r="M56" s="24"/>
      <c r="N56" s="25"/>
    </row>
    <row r="57" spans="1:14" ht="15.75" hidden="1" customHeight="1">
      <c r="A57" s="52">
        <v>15</v>
      </c>
      <c r="B57" s="124" t="s">
        <v>153</v>
      </c>
      <c r="C57" s="90" t="s">
        <v>117</v>
      </c>
      <c r="D57" s="124" t="s">
        <v>55</v>
      </c>
      <c r="E57" s="133">
        <v>1640.4</v>
      </c>
      <c r="F57" s="14">
        <f>E57/100</f>
        <v>16.404</v>
      </c>
      <c r="G57" s="126">
        <v>472.59</v>
      </c>
      <c r="H57" s="127">
        <f>SUM(F57*G57/1000)</f>
        <v>7.7523663599999999</v>
      </c>
      <c r="I57" s="14">
        <v>0</v>
      </c>
      <c r="J57" s="27"/>
      <c r="L57" s="23"/>
      <c r="M57" s="24"/>
      <c r="N57" s="25"/>
    </row>
    <row r="58" spans="1:14" ht="31.5" hidden="1" customHeight="1">
      <c r="A58" s="52">
        <v>18</v>
      </c>
      <c r="B58" s="124" t="s">
        <v>154</v>
      </c>
      <c r="C58" s="90" t="s">
        <v>117</v>
      </c>
      <c r="D58" s="124" t="s">
        <v>155</v>
      </c>
      <c r="E58" s="125">
        <v>164.04</v>
      </c>
      <c r="F58" s="14">
        <f>E58*6/100</f>
        <v>9.8423999999999996</v>
      </c>
      <c r="G58" s="134">
        <v>1547.28</v>
      </c>
      <c r="H58" s="127">
        <f>F58*G58/1000</f>
        <v>15.228948671999998</v>
      </c>
      <c r="I58" s="14">
        <f>F58/6*G58</f>
        <v>2538.1581119999996</v>
      </c>
      <c r="J58" s="27"/>
      <c r="L58" s="23"/>
      <c r="M58" s="24"/>
      <c r="N58" s="25"/>
    </row>
    <row r="59" spans="1:14" ht="15.75" hidden="1" customHeight="1">
      <c r="A59" s="52">
        <v>19</v>
      </c>
      <c r="B59" s="135" t="s">
        <v>104</v>
      </c>
      <c r="C59" s="136" t="s">
        <v>117</v>
      </c>
      <c r="D59" s="135" t="s">
        <v>156</v>
      </c>
      <c r="E59" s="137">
        <v>8</v>
      </c>
      <c r="F59" s="138">
        <f>E59*8/100</f>
        <v>0.64</v>
      </c>
      <c r="G59" s="134">
        <v>1547.28</v>
      </c>
      <c r="H59" s="139">
        <f>F59*G59/1000</f>
        <v>0.99025920000000001</v>
      </c>
      <c r="I59" s="14">
        <f>F59/6*G59</f>
        <v>165.04320000000001</v>
      </c>
      <c r="J59" s="27"/>
      <c r="L59" s="23"/>
      <c r="M59" s="24"/>
      <c r="N59" s="25"/>
    </row>
    <row r="60" spans="1:14" ht="15.75" hidden="1" customHeight="1">
      <c r="A60" s="52"/>
      <c r="B60" s="135" t="s">
        <v>109</v>
      </c>
      <c r="C60" s="136" t="s">
        <v>110</v>
      </c>
      <c r="D60" s="135" t="s">
        <v>42</v>
      </c>
      <c r="E60" s="137">
        <v>8</v>
      </c>
      <c r="F60" s="138">
        <v>16</v>
      </c>
      <c r="G60" s="140">
        <v>180.78</v>
      </c>
      <c r="H60" s="139">
        <f>F60*G60/1000</f>
        <v>2.8924799999999999</v>
      </c>
      <c r="I60" s="14">
        <v>0</v>
      </c>
      <c r="J60" s="27"/>
      <c r="L60" s="23"/>
      <c r="M60" s="24"/>
      <c r="N60" s="25"/>
    </row>
    <row r="61" spans="1:14" ht="15.75" customHeight="1">
      <c r="A61" s="52"/>
      <c r="B61" s="107" t="s">
        <v>44</v>
      </c>
      <c r="C61" s="107"/>
      <c r="D61" s="107"/>
      <c r="E61" s="107"/>
      <c r="F61" s="107"/>
      <c r="G61" s="107"/>
      <c r="H61" s="107"/>
      <c r="I61" s="42"/>
      <c r="J61" s="27"/>
      <c r="L61" s="23"/>
      <c r="M61" s="24"/>
      <c r="N61" s="25"/>
    </row>
    <row r="62" spans="1:14" ht="15.75" customHeight="1">
      <c r="A62" s="52">
        <v>19</v>
      </c>
      <c r="B62" s="135" t="s">
        <v>105</v>
      </c>
      <c r="C62" s="136" t="s">
        <v>26</v>
      </c>
      <c r="D62" s="135" t="s">
        <v>157</v>
      </c>
      <c r="E62" s="137">
        <v>329.4</v>
      </c>
      <c r="F62" s="138">
        <f>E62*12</f>
        <v>3952.7999999999997</v>
      </c>
      <c r="G62" s="141">
        <v>2.5960000000000001</v>
      </c>
      <c r="H62" s="139">
        <f>G62*F62</f>
        <v>10261.468799999999</v>
      </c>
      <c r="I62" s="14">
        <f>F62/12*G62</f>
        <v>855.12239999999997</v>
      </c>
      <c r="J62" s="27"/>
      <c r="L62" s="23"/>
      <c r="M62" s="24"/>
      <c r="N62" s="25"/>
    </row>
    <row r="63" spans="1:14" ht="15.75" hidden="1" customHeight="1">
      <c r="A63" s="52"/>
      <c r="B63" s="135" t="s">
        <v>45</v>
      </c>
      <c r="C63" s="136" t="s">
        <v>26</v>
      </c>
      <c r="D63" s="135" t="s">
        <v>55</v>
      </c>
      <c r="E63" s="137">
        <v>1640.4</v>
      </c>
      <c r="F63" s="138">
        <v>16.404</v>
      </c>
      <c r="G63" s="142">
        <v>739.61</v>
      </c>
      <c r="H63" s="139">
        <f>G63*F63/1000</f>
        <v>12.132562439999999</v>
      </c>
      <c r="I63" s="14">
        <v>0</v>
      </c>
      <c r="J63" s="27"/>
      <c r="L63" s="23"/>
      <c r="M63" s="24"/>
      <c r="N63" s="25"/>
    </row>
    <row r="64" spans="1:14" ht="15.75" customHeight="1">
      <c r="A64" s="52"/>
      <c r="B64" s="107" t="s">
        <v>46</v>
      </c>
      <c r="C64" s="18"/>
      <c r="D64" s="46"/>
      <c r="E64" s="46"/>
      <c r="F64" s="17"/>
      <c r="G64" s="33"/>
      <c r="H64" s="33"/>
      <c r="I64" s="21"/>
      <c r="J64" s="27"/>
      <c r="L64" s="23"/>
      <c r="M64" s="24"/>
      <c r="N64" s="25"/>
    </row>
    <row r="65" spans="1:22" ht="15.75" customHeight="1">
      <c r="A65" s="52">
        <v>20</v>
      </c>
      <c r="B65" s="16" t="s">
        <v>47</v>
      </c>
      <c r="C65" s="18" t="s">
        <v>135</v>
      </c>
      <c r="D65" s="16" t="s">
        <v>72</v>
      </c>
      <c r="E65" s="21">
        <v>40</v>
      </c>
      <c r="F65" s="126">
        <v>40</v>
      </c>
      <c r="G65" s="14">
        <v>222.4</v>
      </c>
      <c r="H65" s="109">
        <f t="shared" ref="H65:H72" si="8">SUM(F65*G65/1000)</f>
        <v>8.8960000000000008</v>
      </c>
      <c r="I65" s="14">
        <f>G65*21</f>
        <v>4670.4000000000005</v>
      </c>
      <c r="J65" s="27"/>
      <c r="L65" s="23"/>
      <c r="M65" s="24"/>
      <c r="N65" s="25"/>
    </row>
    <row r="66" spans="1:22" ht="15.75" hidden="1" customHeight="1">
      <c r="A66" s="33">
        <v>29</v>
      </c>
      <c r="B66" s="16" t="s">
        <v>48</v>
      </c>
      <c r="C66" s="18" t="s">
        <v>135</v>
      </c>
      <c r="D66" s="16" t="s">
        <v>72</v>
      </c>
      <c r="E66" s="21">
        <v>15</v>
      </c>
      <c r="F66" s="126">
        <v>15</v>
      </c>
      <c r="G66" s="14">
        <v>76.25</v>
      </c>
      <c r="H66" s="109">
        <f t="shared" si="8"/>
        <v>1.14375</v>
      </c>
      <c r="I66" s="14">
        <v>0</v>
      </c>
      <c r="J66" s="27"/>
      <c r="L66" s="23"/>
      <c r="M66" s="24"/>
      <c r="N66" s="25"/>
    </row>
    <row r="67" spans="1:22" ht="15.75" hidden="1" customHeight="1">
      <c r="A67" s="33">
        <v>26</v>
      </c>
      <c r="B67" s="16" t="s">
        <v>49</v>
      </c>
      <c r="C67" s="18" t="s">
        <v>136</v>
      </c>
      <c r="D67" s="16" t="s">
        <v>55</v>
      </c>
      <c r="E67" s="125">
        <v>24648</v>
      </c>
      <c r="F67" s="14">
        <f>SUM(E67/100)</f>
        <v>246.48</v>
      </c>
      <c r="G67" s="14">
        <v>212.15</v>
      </c>
      <c r="H67" s="109">
        <f t="shared" si="8"/>
        <v>52.290731999999998</v>
      </c>
      <c r="I67" s="14">
        <f>F67*G67</f>
        <v>52290.731999999996</v>
      </c>
      <c r="J67" s="27"/>
      <c r="L67" s="23"/>
      <c r="M67" s="24"/>
      <c r="N67" s="25"/>
    </row>
    <row r="68" spans="1:22" ht="15.75" hidden="1" customHeight="1">
      <c r="A68" s="33">
        <v>27</v>
      </c>
      <c r="B68" s="16" t="s">
        <v>50</v>
      </c>
      <c r="C68" s="18" t="s">
        <v>137</v>
      </c>
      <c r="D68" s="16"/>
      <c r="E68" s="125">
        <v>24648</v>
      </c>
      <c r="F68" s="14">
        <f>SUM(E68/1000)</f>
        <v>24.648</v>
      </c>
      <c r="G68" s="14">
        <v>165.21</v>
      </c>
      <c r="H68" s="109">
        <f t="shared" si="8"/>
        <v>4.0720960800000006</v>
      </c>
      <c r="I68" s="14">
        <f t="shared" ref="I68:I71" si="9">F68*G68</f>
        <v>4072.0960800000003</v>
      </c>
      <c r="J68" s="27"/>
      <c r="L68" s="23"/>
      <c r="M68" s="24"/>
      <c r="N68" s="25"/>
    </row>
    <row r="69" spans="1:22" ht="15.75" hidden="1" customHeight="1">
      <c r="A69" s="33">
        <v>28</v>
      </c>
      <c r="B69" s="16" t="s">
        <v>51</v>
      </c>
      <c r="C69" s="18" t="s">
        <v>81</v>
      </c>
      <c r="D69" s="16" t="s">
        <v>55</v>
      </c>
      <c r="E69" s="125">
        <v>2730</v>
      </c>
      <c r="F69" s="14">
        <f>SUM(E69/100)</f>
        <v>27.3</v>
      </c>
      <c r="G69" s="14">
        <v>2074.63</v>
      </c>
      <c r="H69" s="109">
        <f t="shared" si="8"/>
        <v>56.637399000000002</v>
      </c>
      <c r="I69" s="14">
        <f t="shared" si="9"/>
        <v>56637.399000000005</v>
      </c>
      <c r="J69" s="27"/>
      <c r="L69" s="23"/>
    </row>
    <row r="70" spans="1:22" ht="15.75" hidden="1" customHeight="1">
      <c r="A70" s="33">
        <v>29</v>
      </c>
      <c r="B70" s="145" t="s">
        <v>138</v>
      </c>
      <c r="C70" s="18" t="s">
        <v>34</v>
      </c>
      <c r="D70" s="16"/>
      <c r="E70" s="125">
        <v>20.28</v>
      </c>
      <c r="F70" s="14">
        <f>SUM(E70)</f>
        <v>20.28</v>
      </c>
      <c r="G70" s="14">
        <v>45.32</v>
      </c>
      <c r="H70" s="109">
        <f t="shared" si="8"/>
        <v>0.91908960000000006</v>
      </c>
      <c r="I70" s="14">
        <f t="shared" si="9"/>
        <v>919.08960000000002</v>
      </c>
    </row>
    <row r="71" spans="1:22" ht="15.75" hidden="1" customHeight="1">
      <c r="A71" s="33">
        <v>30</v>
      </c>
      <c r="B71" s="145" t="s">
        <v>181</v>
      </c>
      <c r="C71" s="18" t="s">
        <v>34</v>
      </c>
      <c r="D71" s="16"/>
      <c r="E71" s="125">
        <v>20.28</v>
      </c>
      <c r="F71" s="14">
        <f>SUM(E71)</f>
        <v>20.28</v>
      </c>
      <c r="G71" s="14">
        <v>42.28</v>
      </c>
      <c r="H71" s="109">
        <f t="shared" si="8"/>
        <v>0.85743840000000016</v>
      </c>
      <c r="I71" s="14">
        <f t="shared" si="9"/>
        <v>857.43840000000012</v>
      </c>
    </row>
    <row r="72" spans="1:22" ht="15.75" customHeight="1">
      <c r="A72" s="33">
        <v>21</v>
      </c>
      <c r="B72" s="16" t="s">
        <v>59</v>
      </c>
      <c r="C72" s="18" t="s">
        <v>60</v>
      </c>
      <c r="D72" s="16" t="s">
        <v>55</v>
      </c>
      <c r="E72" s="21">
        <v>12</v>
      </c>
      <c r="F72" s="126">
        <f>SUM(E72)</f>
        <v>12</v>
      </c>
      <c r="G72" s="14">
        <v>49.88</v>
      </c>
      <c r="H72" s="109">
        <f t="shared" si="8"/>
        <v>0.59856000000000009</v>
      </c>
      <c r="I72" s="14">
        <f>G72*12</f>
        <v>598.56000000000006</v>
      </c>
    </row>
    <row r="73" spans="1:22" ht="15.75" hidden="1" customHeight="1">
      <c r="A73" s="65"/>
      <c r="B73" s="107" t="s">
        <v>140</v>
      </c>
      <c r="C73" s="107"/>
      <c r="D73" s="107"/>
      <c r="E73" s="107"/>
      <c r="F73" s="107"/>
      <c r="G73" s="107"/>
      <c r="H73" s="107"/>
      <c r="I73" s="21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9"/>
    </row>
    <row r="74" spans="1:22" ht="15.75" hidden="1" customHeight="1">
      <c r="A74" s="33">
        <v>16</v>
      </c>
      <c r="B74" s="124" t="s">
        <v>141</v>
      </c>
      <c r="C74" s="18"/>
      <c r="D74" s="16"/>
      <c r="E74" s="115"/>
      <c r="F74" s="14">
        <v>1</v>
      </c>
      <c r="G74" s="14">
        <v>27356</v>
      </c>
      <c r="H74" s="109">
        <f>G74*F74/1000</f>
        <v>27.356000000000002</v>
      </c>
      <c r="I74" s="14">
        <f>G74</f>
        <v>27356</v>
      </c>
      <c r="J74" s="29"/>
      <c r="K74" s="29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2" ht="15.75" hidden="1" customHeight="1">
      <c r="A75" s="33"/>
      <c r="B75" s="60" t="s">
        <v>78</v>
      </c>
      <c r="C75" s="60"/>
      <c r="D75" s="60"/>
      <c r="E75" s="60"/>
      <c r="F75" s="21"/>
      <c r="G75" s="33"/>
      <c r="H75" s="33"/>
      <c r="I75" s="21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</row>
    <row r="76" spans="1:22" ht="15.75" hidden="1" customHeight="1">
      <c r="A76" s="33"/>
      <c r="B76" s="16" t="s">
        <v>97</v>
      </c>
      <c r="C76" s="18" t="s">
        <v>32</v>
      </c>
      <c r="D76" s="16"/>
      <c r="E76" s="21">
        <v>2</v>
      </c>
      <c r="F76" s="126">
        <f>SUM(E76)</f>
        <v>2</v>
      </c>
      <c r="G76" s="14">
        <v>358.51</v>
      </c>
      <c r="H76" s="109">
        <f>SUM(F76*G76/1000)</f>
        <v>0.71701999999999999</v>
      </c>
      <c r="I76" s="14">
        <v>0</v>
      </c>
      <c r="J76" s="5"/>
      <c r="K76" s="5"/>
      <c r="L76" s="5"/>
      <c r="M76" s="5"/>
      <c r="N76" s="5"/>
      <c r="O76" s="5"/>
      <c r="P76" s="5"/>
      <c r="Q76" s="5"/>
      <c r="R76" s="180"/>
      <c r="S76" s="180"/>
      <c r="T76" s="180"/>
      <c r="U76" s="180"/>
    </row>
    <row r="77" spans="1:22" ht="15.75" hidden="1" customHeight="1">
      <c r="A77" s="33"/>
      <c r="B77" s="16" t="s">
        <v>79</v>
      </c>
      <c r="C77" s="18" t="s">
        <v>32</v>
      </c>
      <c r="D77" s="16"/>
      <c r="E77" s="21">
        <v>1</v>
      </c>
      <c r="F77" s="14">
        <v>1</v>
      </c>
      <c r="G77" s="14">
        <v>852.99</v>
      </c>
      <c r="H77" s="109">
        <f>F77*G77/1000</f>
        <v>0.85299000000000003</v>
      </c>
      <c r="I77" s="14">
        <v>0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2" ht="15.75" hidden="1" customHeight="1">
      <c r="A78" s="33"/>
      <c r="B78" s="61" t="s">
        <v>80</v>
      </c>
      <c r="C78" s="47"/>
      <c r="D78" s="33"/>
      <c r="E78" s="33"/>
      <c r="F78" s="21"/>
      <c r="G78" s="43" t="s">
        <v>158</v>
      </c>
      <c r="H78" s="43"/>
      <c r="I78" s="21"/>
    </row>
    <row r="79" spans="1:22" ht="15.75" hidden="1" customHeight="1">
      <c r="A79" s="33">
        <v>39</v>
      </c>
      <c r="B79" s="63" t="s">
        <v>142</v>
      </c>
      <c r="C79" s="18" t="s">
        <v>81</v>
      </c>
      <c r="D79" s="16"/>
      <c r="E79" s="21"/>
      <c r="F79" s="14">
        <v>1.35</v>
      </c>
      <c r="G79" s="14">
        <v>2759.44</v>
      </c>
      <c r="H79" s="109">
        <f>SUM(F79*G79/1000)</f>
        <v>3.725244</v>
      </c>
      <c r="I79" s="14">
        <v>0</v>
      </c>
    </row>
    <row r="80" spans="1:22" ht="15.75" customHeight="1">
      <c r="A80" s="171" t="s">
        <v>178</v>
      </c>
      <c r="B80" s="172"/>
      <c r="C80" s="172"/>
      <c r="D80" s="172"/>
      <c r="E80" s="172"/>
      <c r="F80" s="172"/>
      <c r="G80" s="172"/>
      <c r="H80" s="172"/>
      <c r="I80" s="173"/>
    </row>
    <row r="81" spans="1:9" ht="15.75" customHeight="1">
      <c r="A81" s="33">
        <v>22</v>
      </c>
      <c r="B81" s="124" t="s">
        <v>143</v>
      </c>
      <c r="C81" s="18" t="s">
        <v>56</v>
      </c>
      <c r="D81" s="147" t="s">
        <v>57</v>
      </c>
      <c r="E81" s="14">
        <v>5926.8</v>
      </c>
      <c r="F81" s="14">
        <f>SUM(E81*12)</f>
        <v>71121.600000000006</v>
      </c>
      <c r="G81" s="14">
        <v>2.1</v>
      </c>
      <c r="H81" s="109">
        <f>SUM(F81*G81/1000)</f>
        <v>149.35536000000002</v>
      </c>
      <c r="I81" s="14">
        <f>F81/12*G81</f>
        <v>12446.28</v>
      </c>
    </row>
    <row r="82" spans="1:9" ht="31.5" customHeight="1">
      <c r="A82" s="33">
        <v>23</v>
      </c>
      <c r="B82" s="16" t="s">
        <v>82</v>
      </c>
      <c r="C82" s="18"/>
      <c r="D82" s="147" t="s">
        <v>57</v>
      </c>
      <c r="E82" s="125">
        <v>5926.8</v>
      </c>
      <c r="F82" s="14">
        <f>E82*12</f>
        <v>71121.600000000006</v>
      </c>
      <c r="G82" s="14">
        <v>1.63</v>
      </c>
      <c r="H82" s="109">
        <f>F82*G82/1000</f>
        <v>115.928208</v>
      </c>
      <c r="I82" s="14">
        <f>F82/12*G82</f>
        <v>9660.6839999999993</v>
      </c>
    </row>
    <row r="83" spans="1:9" ht="15.75" customHeight="1">
      <c r="A83" s="65"/>
      <c r="B83" s="50" t="s">
        <v>85</v>
      </c>
      <c r="C83" s="52"/>
      <c r="D83" s="17"/>
      <c r="E83" s="17"/>
      <c r="F83" s="17"/>
      <c r="G83" s="21"/>
      <c r="H83" s="21"/>
      <c r="I83" s="35">
        <f>SUM(I16+I17+I18+I20+I21+I24+I26+I27+I28+I31+I32+I34+I35+I46+I47+I48+I49+I50+I62+I65+I72+I81+I82)</f>
        <v>95989.604414799993</v>
      </c>
    </row>
    <row r="84" spans="1:9" ht="15.75" customHeight="1">
      <c r="A84" s="174" t="s">
        <v>63</v>
      </c>
      <c r="B84" s="175"/>
      <c r="C84" s="175"/>
      <c r="D84" s="175"/>
      <c r="E84" s="175"/>
      <c r="F84" s="175"/>
      <c r="G84" s="175"/>
      <c r="H84" s="175"/>
      <c r="I84" s="176"/>
    </row>
    <row r="85" spans="1:9" ht="31.5" customHeight="1">
      <c r="A85" s="33">
        <v>24</v>
      </c>
      <c r="B85" s="69" t="s">
        <v>161</v>
      </c>
      <c r="C85" s="84" t="s">
        <v>38</v>
      </c>
      <c r="D85" s="63"/>
      <c r="E85" s="14"/>
      <c r="F85" s="14">
        <v>7.0000000000000007E-2</v>
      </c>
      <c r="G85" s="14">
        <v>3581.13</v>
      </c>
      <c r="H85" s="109">
        <f t="shared" ref="H85" si="10">G85*F85/1000</f>
        <v>0.25067910000000004</v>
      </c>
      <c r="I85" s="14">
        <f>G85*0.01</f>
        <v>35.811300000000003</v>
      </c>
    </row>
    <row r="86" spans="1:9" ht="15.75" customHeight="1">
      <c r="A86" s="33">
        <v>25</v>
      </c>
      <c r="B86" s="152" t="s">
        <v>111</v>
      </c>
      <c r="C86" s="153" t="s">
        <v>135</v>
      </c>
      <c r="D86" s="63"/>
      <c r="E86" s="43"/>
      <c r="F86" s="43">
        <v>1089</v>
      </c>
      <c r="G86" s="44">
        <v>53.42</v>
      </c>
      <c r="H86" s="146">
        <f t="shared" ref="H86:H92" si="11">G86*F86/1000</f>
        <v>58.174380000000006</v>
      </c>
      <c r="I86" s="156">
        <f>G86*121</f>
        <v>6463.8200000000006</v>
      </c>
    </row>
    <row r="87" spans="1:9" ht="31.5" customHeight="1">
      <c r="A87" s="33">
        <v>26</v>
      </c>
      <c r="B87" s="69" t="s">
        <v>84</v>
      </c>
      <c r="C87" s="84" t="s">
        <v>135</v>
      </c>
      <c r="D87" s="63"/>
      <c r="E87" s="43"/>
      <c r="F87" s="43">
        <v>8</v>
      </c>
      <c r="G87" s="43">
        <v>83.36</v>
      </c>
      <c r="H87" s="146">
        <f t="shared" si="11"/>
        <v>0.66688000000000003</v>
      </c>
      <c r="I87" s="14">
        <f>G87*2</f>
        <v>166.72</v>
      </c>
    </row>
    <row r="88" spans="1:9" ht="31.5" customHeight="1">
      <c r="A88" s="33">
        <v>27</v>
      </c>
      <c r="B88" s="69" t="s">
        <v>163</v>
      </c>
      <c r="C88" s="84" t="s">
        <v>86</v>
      </c>
      <c r="D88" s="63"/>
      <c r="E88" s="43"/>
      <c r="F88" s="43">
        <v>27.5</v>
      </c>
      <c r="G88" s="43">
        <v>1187</v>
      </c>
      <c r="H88" s="146">
        <f t="shared" si="11"/>
        <v>32.642499999999998</v>
      </c>
      <c r="I88" s="14">
        <f>G88*13</f>
        <v>15431</v>
      </c>
    </row>
    <row r="89" spans="1:9" ht="15.75" customHeight="1">
      <c r="A89" s="33">
        <v>28</v>
      </c>
      <c r="B89" s="69" t="s">
        <v>87</v>
      </c>
      <c r="C89" s="84" t="s">
        <v>135</v>
      </c>
      <c r="D89" s="63"/>
      <c r="E89" s="43"/>
      <c r="F89" s="43">
        <v>5</v>
      </c>
      <c r="G89" s="44">
        <v>189.88</v>
      </c>
      <c r="H89" s="146">
        <f t="shared" si="11"/>
        <v>0.94940000000000002</v>
      </c>
      <c r="I89" s="14">
        <f>G89</f>
        <v>189.88</v>
      </c>
    </row>
    <row r="90" spans="1:9" ht="15.75" customHeight="1">
      <c r="A90" s="33">
        <v>29</v>
      </c>
      <c r="B90" s="149" t="s">
        <v>190</v>
      </c>
      <c r="C90" s="150" t="s">
        <v>100</v>
      </c>
      <c r="D90" s="82"/>
      <c r="E90" s="43"/>
      <c r="F90" s="43">
        <f>60/3</f>
        <v>20</v>
      </c>
      <c r="G90" s="43">
        <v>1120.8900000000001</v>
      </c>
      <c r="H90" s="146">
        <f t="shared" si="11"/>
        <v>22.417800000000003</v>
      </c>
      <c r="I90" s="14">
        <f t="shared" ref="I90:I91" si="12">G90</f>
        <v>1120.8900000000001</v>
      </c>
    </row>
    <row r="91" spans="1:9" ht="15.75" customHeight="1">
      <c r="A91" s="33">
        <v>30</v>
      </c>
      <c r="B91" s="37" t="s">
        <v>116</v>
      </c>
      <c r="C91" s="51" t="s">
        <v>135</v>
      </c>
      <c r="D91" s="82"/>
      <c r="E91" s="43"/>
      <c r="F91" s="36">
        <v>2</v>
      </c>
      <c r="G91" s="44">
        <v>86.15</v>
      </c>
      <c r="H91" s="146">
        <f t="shared" si="11"/>
        <v>0.17230000000000001</v>
      </c>
      <c r="I91" s="14">
        <f t="shared" si="12"/>
        <v>86.15</v>
      </c>
    </row>
    <row r="92" spans="1:9" ht="31.5" customHeight="1">
      <c r="A92" s="33">
        <v>31</v>
      </c>
      <c r="B92" s="69" t="s">
        <v>98</v>
      </c>
      <c r="C92" s="84" t="s">
        <v>101</v>
      </c>
      <c r="D92" s="63"/>
      <c r="E92" s="43"/>
      <c r="F92" s="43">
        <v>9</v>
      </c>
      <c r="G92" s="44">
        <v>589.84</v>
      </c>
      <c r="H92" s="146">
        <f t="shared" si="11"/>
        <v>5.3085600000000008</v>
      </c>
      <c r="I92" s="14">
        <f>G92*6</f>
        <v>3539.04</v>
      </c>
    </row>
    <row r="93" spans="1:9" ht="31.5" customHeight="1">
      <c r="A93" s="33">
        <v>32</v>
      </c>
      <c r="B93" s="69" t="s">
        <v>216</v>
      </c>
      <c r="C93" s="84" t="s">
        <v>115</v>
      </c>
      <c r="D93" s="82"/>
      <c r="E93" s="43"/>
      <c r="F93" s="43">
        <v>2</v>
      </c>
      <c r="G93" s="43">
        <v>54.17</v>
      </c>
      <c r="H93" s="146">
        <f t="shared" ref="H93:H95" si="13">G93*F93/1000</f>
        <v>0.10834000000000001</v>
      </c>
      <c r="I93" s="14">
        <f>G93</f>
        <v>54.17</v>
      </c>
    </row>
    <row r="94" spans="1:9" ht="15.75" customHeight="1">
      <c r="A94" s="33">
        <v>33</v>
      </c>
      <c r="B94" s="69" t="s">
        <v>227</v>
      </c>
      <c r="C94" s="84" t="s">
        <v>228</v>
      </c>
      <c r="D94" s="63"/>
      <c r="E94" s="14"/>
      <c r="F94" s="14">
        <v>0.02</v>
      </c>
      <c r="G94" s="14">
        <v>7412.92</v>
      </c>
      <c r="H94" s="109">
        <f t="shared" si="13"/>
        <v>0.14825839999999998</v>
      </c>
      <c r="I94" s="14">
        <f>G94*0.01</f>
        <v>74.129199999999997</v>
      </c>
    </row>
    <row r="95" spans="1:9" ht="15.75" customHeight="1">
      <c r="A95" s="33">
        <v>34</v>
      </c>
      <c r="B95" s="152" t="s">
        <v>240</v>
      </c>
      <c r="C95" s="153" t="s">
        <v>135</v>
      </c>
      <c r="D95" s="82"/>
      <c r="E95" s="43"/>
      <c r="F95" s="43">
        <v>1</v>
      </c>
      <c r="G95" s="43">
        <v>1037.95</v>
      </c>
      <c r="H95" s="109">
        <f t="shared" si="13"/>
        <v>1.0379500000000002</v>
      </c>
      <c r="I95" s="14">
        <f>G95</f>
        <v>1037.95</v>
      </c>
    </row>
    <row r="96" spans="1:9" ht="15.75" customHeight="1">
      <c r="A96" s="33">
        <v>35</v>
      </c>
      <c r="B96" s="154" t="s">
        <v>91</v>
      </c>
      <c r="C96" s="84" t="s">
        <v>135</v>
      </c>
      <c r="D96" s="63"/>
      <c r="E96" s="43"/>
      <c r="F96" s="43">
        <v>1</v>
      </c>
      <c r="G96" s="43">
        <v>189.67</v>
      </c>
      <c r="H96" s="146">
        <f>G96*F96/1000</f>
        <v>0.18966999999999998</v>
      </c>
      <c r="I96" s="14">
        <f>G96</f>
        <v>189.67</v>
      </c>
    </row>
    <row r="97" spans="1:9" ht="15.75" customHeight="1">
      <c r="A97" s="33"/>
      <c r="B97" s="57" t="s">
        <v>52</v>
      </c>
      <c r="C97" s="53"/>
      <c r="D97" s="67"/>
      <c r="E97" s="67"/>
      <c r="F97" s="53">
        <v>1</v>
      </c>
      <c r="G97" s="53"/>
      <c r="H97" s="53"/>
      <c r="I97" s="35">
        <f>SUM(I85:I96)</f>
        <v>28389.230500000001</v>
      </c>
    </row>
    <row r="98" spans="1:9" ht="15.75" customHeight="1">
      <c r="A98" s="33"/>
      <c r="B98" s="63" t="s">
        <v>83</v>
      </c>
      <c r="C98" s="17"/>
      <c r="D98" s="17"/>
      <c r="E98" s="17"/>
      <c r="F98" s="54"/>
      <c r="G98" s="55"/>
      <c r="H98" s="55"/>
      <c r="I98" s="20">
        <v>0</v>
      </c>
    </row>
    <row r="99" spans="1:9" ht="15.75" customHeight="1">
      <c r="A99" s="68"/>
      <c r="B99" s="58" t="s">
        <v>182</v>
      </c>
      <c r="C99" s="41"/>
      <c r="D99" s="41"/>
      <c r="E99" s="41"/>
      <c r="F99" s="41"/>
      <c r="G99" s="41"/>
      <c r="H99" s="41"/>
      <c r="I99" s="56">
        <f>I83+I97</f>
        <v>124378.8349148</v>
      </c>
    </row>
    <row r="100" spans="1:9" ht="15.75" customHeight="1">
      <c r="A100" s="190" t="s">
        <v>241</v>
      </c>
      <c r="B100" s="190"/>
      <c r="C100" s="190"/>
      <c r="D100" s="190"/>
      <c r="E100" s="190"/>
      <c r="F100" s="190"/>
      <c r="G100" s="190"/>
      <c r="H100" s="190"/>
      <c r="I100" s="190"/>
    </row>
    <row r="101" spans="1:9" ht="15.75" customHeight="1">
      <c r="A101" s="108"/>
      <c r="B101" s="182" t="s">
        <v>242</v>
      </c>
      <c r="C101" s="182"/>
      <c r="D101" s="182"/>
      <c r="E101" s="182"/>
      <c r="F101" s="182"/>
      <c r="G101" s="182"/>
      <c r="H101" s="123"/>
      <c r="I101" s="3"/>
    </row>
    <row r="102" spans="1:9" ht="15.75" customHeight="1">
      <c r="A102" s="103"/>
      <c r="B102" s="178" t="s">
        <v>6</v>
      </c>
      <c r="C102" s="178"/>
      <c r="D102" s="178"/>
      <c r="E102" s="178"/>
      <c r="F102" s="178"/>
      <c r="G102" s="178"/>
      <c r="H102" s="28"/>
      <c r="I102" s="5"/>
    </row>
    <row r="103" spans="1:9" ht="15.75" customHeight="1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 customHeight="1">
      <c r="A104" s="183" t="s">
        <v>7</v>
      </c>
      <c r="B104" s="183"/>
      <c r="C104" s="183"/>
      <c r="D104" s="183"/>
      <c r="E104" s="183"/>
      <c r="F104" s="183"/>
      <c r="G104" s="183"/>
      <c r="H104" s="183"/>
      <c r="I104" s="183"/>
    </row>
    <row r="105" spans="1:9" ht="15.75" customHeight="1">
      <c r="A105" s="183" t="s">
        <v>8</v>
      </c>
      <c r="B105" s="183"/>
      <c r="C105" s="183"/>
      <c r="D105" s="183"/>
      <c r="E105" s="183"/>
      <c r="F105" s="183"/>
      <c r="G105" s="183"/>
      <c r="H105" s="183"/>
      <c r="I105" s="183"/>
    </row>
    <row r="106" spans="1:9" ht="15.75" customHeight="1">
      <c r="A106" s="184" t="s">
        <v>65</v>
      </c>
      <c r="B106" s="184"/>
      <c r="C106" s="184"/>
      <c r="D106" s="184"/>
      <c r="E106" s="184"/>
      <c r="F106" s="184"/>
      <c r="G106" s="184"/>
      <c r="H106" s="184"/>
      <c r="I106" s="184"/>
    </row>
    <row r="107" spans="1:9" ht="15.75" customHeight="1">
      <c r="A107" s="11"/>
    </row>
    <row r="108" spans="1:9" ht="15.75" customHeight="1">
      <c r="A108" s="185" t="s">
        <v>9</v>
      </c>
      <c r="B108" s="185"/>
      <c r="C108" s="185"/>
      <c r="D108" s="185"/>
      <c r="E108" s="185"/>
      <c r="F108" s="185"/>
      <c r="G108" s="185"/>
      <c r="H108" s="185"/>
      <c r="I108" s="185"/>
    </row>
    <row r="109" spans="1:9" ht="15.75" customHeight="1">
      <c r="A109" s="4"/>
    </row>
    <row r="110" spans="1:9" ht="15.75" customHeight="1">
      <c r="B110" s="102" t="s">
        <v>10</v>
      </c>
      <c r="C110" s="177" t="s">
        <v>99</v>
      </c>
      <c r="D110" s="177"/>
      <c r="E110" s="177"/>
      <c r="F110" s="177"/>
      <c r="I110" s="105"/>
    </row>
    <row r="111" spans="1:9" ht="15.75" customHeight="1">
      <c r="A111" s="103"/>
      <c r="C111" s="178" t="s">
        <v>11</v>
      </c>
      <c r="D111" s="178"/>
      <c r="E111" s="178"/>
      <c r="F111" s="178"/>
      <c r="I111" s="104" t="s">
        <v>12</v>
      </c>
    </row>
    <row r="112" spans="1:9" ht="15.75" customHeight="1">
      <c r="A112" s="29"/>
      <c r="C112" s="12"/>
      <c r="D112" s="12"/>
      <c r="E112" s="12"/>
      <c r="G112" s="12"/>
      <c r="H112" s="12"/>
    </row>
    <row r="113" spans="1:9" ht="15.75" customHeight="1">
      <c r="B113" s="102" t="s">
        <v>13</v>
      </c>
      <c r="C113" s="179"/>
      <c r="D113" s="179"/>
      <c r="E113" s="179"/>
      <c r="F113" s="179"/>
      <c r="I113" s="105"/>
    </row>
    <row r="114" spans="1:9" ht="15.75" customHeight="1">
      <c r="A114" s="103"/>
      <c r="C114" s="180" t="s">
        <v>11</v>
      </c>
      <c r="D114" s="180"/>
      <c r="E114" s="180"/>
      <c r="F114" s="180"/>
      <c r="I114" s="104" t="s">
        <v>12</v>
      </c>
    </row>
    <row r="115" spans="1:9" ht="15.75" customHeight="1">
      <c r="A115" s="4" t="s">
        <v>14</v>
      </c>
    </row>
    <row r="116" spans="1:9">
      <c r="A116" s="181" t="s">
        <v>15</v>
      </c>
      <c r="B116" s="181"/>
      <c r="C116" s="181"/>
      <c r="D116" s="181"/>
      <c r="E116" s="181"/>
      <c r="F116" s="181"/>
      <c r="G116" s="181"/>
      <c r="H116" s="181"/>
      <c r="I116" s="181"/>
    </row>
    <row r="117" spans="1:9" ht="45" customHeight="1">
      <c r="A117" s="170" t="s">
        <v>16</v>
      </c>
      <c r="B117" s="170"/>
      <c r="C117" s="170"/>
      <c r="D117" s="170"/>
      <c r="E117" s="170"/>
      <c r="F117" s="170"/>
      <c r="G117" s="170"/>
      <c r="H117" s="170"/>
      <c r="I117" s="170"/>
    </row>
    <row r="118" spans="1:9" ht="30" customHeight="1">
      <c r="A118" s="170" t="s">
        <v>17</v>
      </c>
      <c r="B118" s="170"/>
      <c r="C118" s="170"/>
      <c r="D118" s="170"/>
      <c r="E118" s="170"/>
      <c r="F118" s="170"/>
      <c r="G118" s="170"/>
      <c r="H118" s="170"/>
      <c r="I118" s="170"/>
    </row>
    <row r="119" spans="1:9" ht="30" customHeight="1">
      <c r="A119" s="170" t="s">
        <v>21</v>
      </c>
      <c r="B119" s="170"/>
      <c r="C119" s="170"/>
      <c r="D119" s="170"/>
      <c r="E119" s="170"/>
      <c r="F119" s="170"/>
      <c r="G119" s="170"/>
      <c r="H119" s="170"/>
      <c r="I119" s="170"/>
    </row>
    <row r="120" spans="1:9" ht="15" customHeight="1">
      <c r="A120" s="170" t="s">
        <v>20</v>
      </c>
      <c r="B120" s="170"/>
      <c r="C120" s="170"/>
      <c r="D120" s="170"/>
      <c r="E120" s="170"/>
      <c r="F120" s="170"/>
      <c r="G120" s="170"/>
      <c r="H120" s="170"/>
      <c r="I120" s="170"/>
    </row>
  </sheetData>
  <autoFilter ref="I12:I71"/>
  <mergeCells count="29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6:U76"/>
    <mergeCell ref="C114:F114"/>
    <mergeCell ref="A84:I84"/>
    <mergeCell ref="A100:I100"/>
    <mergeCell ref="B101:G101"/>
    <mergeCell ref="B102:G102"/>
    <mergeCell ref="A104:I104"/>
    <mergeCell ref="A105:I105"/>
    <mergeCell ref="A106:I106"/>
    <mergeCell ref="A108:I108"/>
    <mergeCell ref="C110:F110"/>
    <mergeCell ref="C111:F111"/>
    <mergeCell ref="C113:F113"/>
    <mergeCell ref="A80:I80"/>
    <mergeCell ref="A116:I116"/>
    <mergeCell ref="A117:I117"/>
    <mergeCell ref="A118:I118"/>
    <mergeCell ref="A119:I119"/>
    <mergeCell ref="A120:I12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14</vt:i4>
      </vt:variant>
    </vt:vector>
  </HeadingPairs>
  <TitlesOfParts>
    <vt:vector size="27" baseType="lpstr">
      <vt:lpstr>01.17</vt:lpstr>
      <vt:lpstr>02.17</vt:lpstr>
      <vt:lpstr>03.17</vt:lpstr>
      <vt:lpstr>04.17</vt:lpstr>
      <vt:lpstr>05.17</vt:lpstr>
      <vt:lpstr>06.17</vt:lpstr>
      <vt:lpstr>07.17</vt:lpstr>
      <vt:lpstr>08.17</vt:lpstr>
      <vt:lpstr>09.17</vt:lpstr>
      <vt:lpstr>10.17</vt:lpstr>
      <vt:lpstr>10а.17</vt:lpstr>
      <vt:lpstr>11.17</vt:lpstr>
      <vt:lpstr>12.17</vt:lpstr>
      <vt:lpstr>'05.17'!Заголовки_для_печати</vt:lpstr>
      <vt:lpstr>'01.17'!Область_печати</vt:lpstr>
      <vt:lpstr>'02.17'!Область_печати</vt:lpstr>
      <vt:lpstr>'03.17'!Область_печати</vt:lpstr>
      <vt:lpstr>'04.17'!Область_печати</vt:lpstr>
      <vt:lpstr>'05.17'!Область_печати</vt:lpstr>
      <vt:lpstr>'06.17'!Область_печати</vt:lpstr>
      <vt:lpstr>'07.17'!Область_печати</vt:lpstr>
      <vt:lpstr>'08.17'!Область_печати</vt:lpstr>
      <vt:lpstr>'09.17'!Область_печати</vt:lpstr>
      <vt:lpstr>'10.17'!Область_печати</vt:lpstr>
      <vt:lpstr>'10а.17'!Область_печати</vt:lpstr>
      <vt:lpstr>'11.17'!Область_печати</vt:lpstr>
      <vt:lpstr>'12.17'!Область_печати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Sony</cp:lastModifiedBy>
  <cp:lastPrinted>2017-11-24T08:33:14Z</cp:lastPrinted>
  <dcterms:created xsi:type="dcterms:W3CDTF">2016-03-25T08:33:47Z</dcterms:created>
  <dcterms:modified xsi:type="dcterms:W3CDTF">2018-03-29T20:16:00Z</dcterms:modified>
</cp:coreProperties>
</file>