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 activeTab="11"/>
  </bookViews>
  <sheets>
    <sheet name="01.20" sheetId="27" r:id="rId1"/>
    <sheet name="02.20" sheetId="28" r:id="rId2"/>
    <sheet name="03.20" sheetId="29" r:id="rId3"/>
    <sheet name="04.20" sheetId="30" r:id="rId4"/>
    <sheet name="05.20" sheetId="31" r:id="rId5"/>
    <sheet name="06.20" sheetId="32" r:id="rId6"/>
    <sheet name="07.20" sheetId="33" r:id="rId7"/>
    <sheet name="08.20" sheetId="34" r:id="rId8"/>
    <sheet name="09.20" sheetId="25" r:id="rId9"/>
    <sheet name="10.20" sheetId="26" r:id="rId10"/>
    <sheet name="11.20" sheetId="35" r:id="rId11"/>
    <sheet name="12.20" sheetId="36" r:id="rId12"/>
  </sheets>
  <definedNames>
    <definedName name="_xlnm._FilterDatabase" localSheetId="0" hidden="1">'01.20'!$I$12:$I$55</definedName>
    <definedName name="_xlnm._FilterDatabase" localSheetId="1" hidden="1">'02.20'!$I$12:$I$55</definedName>
    <definedName name="_xlnm._FilterDatabase" localSheetId="2" hidden="1">'03.20'!$I$12:$I$57</definedName>
    <definedName name="_xlnm._FilterDatabase" localSheetId="3" hidden="1">'04.20'!$I$12:$I$57</definedName>
    <definedName name="_xlnm._FilterDatabase" localSheetId="4" hidden="1">'05.20'!$I$12:$I$54</definedName>
    <definedName name="_xlnm._FilterDatabase" localSheetId="5" hidden="1">'06.20'!$I$12:$I$53</definedName>
    <definedName name="_xlnm._FilterDatabase" localSheetId="6" hidden="1">'07.20'!$I$12:$I$55</definedName>
    <definedName name="_xlnm._FilterDatabase" localSheetId="7" hidden="1">'08.20'!$I$12:$I$54</definedName>
    <definedName name="_xlnm._FilterDatabase" localSheetId="8" hidden="1">'09.20'!$I$12:$I$54</definedName>
    <definedName name="_xlnm._FilterDatabase" localSheetId="9" hidden="1">'10.20'!$I$12:$I$54</definedName>
    <definedName name="_xlnm._FilterDatabase" localSheetId="10" hidden="1">'11.20'!$I$12:$I$57</definedName>
    <definedName name="_xlnm._FilterDatabase" localSheetId="11" hidden="1">'12.20'!$I$12:$I$57</definedName>
    <definedName name="_xlnm.Print_Area" localSheetId="0">'01.20'!$A$1:$I$114</definedName>
    <definedName name="_xlnm.Print_Area" localSheetId="1">'02.20'!$A$1:$I$112</definedName>
    <definedName name="_xlnm.Print_Area" localSheetId="2">'03.20'!$A$1:$I$114</definedName>
    <definedName name="_xlnm.Print_Area" localSheetId="3">'04.20'!$A$1:$I$114</definedName>
    <definedName name="_xlnm.Print_Area" localSheetId="4">'05.20'!$A$1:$I$112</definedName>
    <definedName name="_xlnm.Print_Area" localSheetId="5">'06.20'!$A$1:$I$109</definedName>
    <definedName name="_xlnm.Print_Area" localSheetId="6">'07.20'!$A$1:$I$112</definedName>
    <definedName name="_xlnm.Print_Area" localSheetId="7">'08.20'!$A$1:$I$116</definedName>
    <definedName name="_xlnm.Print_Area" localSheetId="8">'09.20'!$A$1:$I$109</definedName>
    <definedName name="_xlnm.Print_Area" localSheetId="9">'10.20'!$A$1:$I$113</definedName>
    <definedName name="_xlnm.Print_Area" localSheetId="10">'11.20'!$A$1:$I$113</definedName>
    <definedName name="_xlnm.Print_Area" localSheetId="11">'12.20'!$A$1:$I$112</definedName>
  </definedNames>
  <calcPr calcId="124519"/>
</workbook>
</file>

<file path=xl/calcChain.xml><?xml version="1.0" encoding="utf-8"?>
<calcChain xmlns="http://schemas.openxmlformats.org/spreadsheetml/2006/main">
  <c r="I87" i="35"/>
  <c r="I84" i="26"/>
  <c r="I87" i="36" l="1"/>
  <c r="F86"/>
  <c r="H86" s="1"/>
  <c r="F85"/>
  <c r="I85" s="1"/>
  <c r="F79"/>
  <c r="I79" s="1"/>
  <c r="I78"/>
  <c r="F78"/>
  <c r="H78" s="1"/>
  <c r="F72"/>
  <c r="H72" s="1"/>
  <c r="F51"/>
  <c r="F44"/>
  <c r="I44" s="1"/>
  <c r="I43"/>
  <c r="H43"/>
  <c r="F42"/>
  <c r="I42" s="1"/>
  <c r="F41"/>
  <c r="I41" s="1"/>
  <c r="F40"/>
  <c r="I40" s="1"/>
  <c r="F39"/>
  <c r="I39" s="1"/>
  <c r="I38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H17"/>
  <c r="F17"/>
  <c r="I17" s="1"/>
  <c r="F16"/>
  <c r="H16" s="1"/>
  <c r="H40" l="1"/>
  <c r="H85"/>
  <c r="I86"/>
  <c r="I72"/>
  <c r="H42"/>
  <c r="H39"/>
  <c r="H41"/>
  <c r="I18"/>
  <c r="H18"/>
  <c r="I16"/>
  <c r="I19"/>
  <c r="H20"/>
  <c r="I21"/>
  <c r="H22"/>
  <c r="I23"/>
  <c r="H24"/>
  <c r="I25"/>
  <c r="H26"/>
  <c r="I27"/>
  <c r="I27" i="35" l="1"/>
  <c r="F17"/>
  <c r="H17" s="1"/>
  <c r="H16"/>
  <c r="F16"/>
  <c r="I16" s="1"/>
  <c r="I89"/>
  <c r="F86"/>
  <c r="H86" s="1"/>
  <c r="F85"/>
  <c r="I85" s="1"/>
  <c r="F79"/>
  <c r="I79" s="1"/>
  <c r="I78"/>
  <c r="F78"/>
  <c r="H78" s="1"/>
  <c r="F72"/>
  <c r="H72" s="1"/>
  <c r="I62"/>
  <c r="H62"/>
  <c r="F44"/>
  <c r="I44" s="1"/>
  <c r="I43"/>
  <c r="H43"/>
  <c r="F42"/>
  <c r="I42" s="1"/>
  <c r="F41"/>
  <c r="I41" s="1"/>
  <c r="F40"/>
  <c r="I40" s="1"/>
  <c r="F39"/>
  <c r="I39" s="1"/>
  <c r="I38"/>
  <c r="H38"/>
  <c r="F27"/>
  <c r="H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7" l="1"/>
  <c r="H18"/>
  <c r="I18"/>
  <c r="H21"/>
  <c r="H25"/>
  <c r="H40"/>
  <c r="H19"/>
  <c r="H23"/>
  <c r="H85"/>
  <c r="I86"/>
  <c r="I72"/>
  <c r="H42"/>
  <c r="H39"/>
  <c r="H41"/>
  <c r="H20"/>
  <c r="H22"/>
  <c r="H24"/>
  <c r="H26"/>
  <c r="I33" i="26"/>
  <c r="I90"/>
  <c r="I89"/>
  <c r="I88"/>
  <c r="I87"/>
  <c r="I86"/>
  <c r="F83"/>
  <c r="H83" s="1"/>
  <c r="F82"/>
  <c r="I82" s="1"/>
  <c r="I61"/>
  <c r="F76"/>
  <c r="I76" s="1"/>
  <c r="I75"/>
  <c r="F75"/>
  <c r="H75" s="1"/>
  <c r="F69"/>
  <c r="H69" s="1"/>
  <c r="I59"/>
  <c r="H59"/>
  <c r="F33"/>
  <c r="F32"/>
  <c r="H32" s="1"/>
  <c r="F31"/>
  <c r="I31" s="1"/>
  <c r="F30"/>
  <c r="H30" s="1"/>
  <c r="F27"/>
  <c r="H27" s="1"/>
  <c r="F26"/>
  <c r="I26" s="1"/>
  <c r="F25"/>
  <c r="H25" s="1"/>
  <c r="H24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2" l="1"/>
  <c r="H26"/>
  <c r="I16"/>
  <c r="I27"/>
  <c r="H17"/>
  <c r="H20"/>
  <c r="I30"/>
  <c r="H82"/>
  <c r="I83"/>
  <c r="I69"/>
  <c r="H33"/>
  <c r="H31"/>
  <c r="I32"/>
  <c r="I18"/>
  <c r="H18"/>
  <c r="I19"/>
  <c r="I21"/>
  <c r="I23"/>
  <c r="I25"/>
  <c r="F49" i="25"/>
  <c r="F48"/>
  <c r="I85"/>
  <c r="F82"/>
  <c r="H82" s="1"/>
  <c r="F81"/>
  <c r="I81" s="1"/>
  <c r="F76"/>
  <c r="I76" s="1"/>
  <c r="I75"/>
  <c r="F75"/>
  <c r="H75" s="1"/>
  <c r="F69"/>
  <c r="H69" s="1"/>
  <c r="I61"/>
  <c r="I59"/>
  <c r="H59"/>
  <c r="F33"/>
  <c r="H33" s="1"/>
  <c r="F32"/>
  <c r="I32" s="1"/>
  <c r="F31"/>
  <c r="H31" s="1"/>
  <c r="F30"/>
  <c r="I30" s="1"/>
  <c r="F27"/>
  <c r="I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H16"/>
  <c r="F16"/>
  <c r="I16" s="1"/>
  <c r="I92" i="34"/>
  <c r="I84"/>
  <c r="I93"/>
  <c r="I91"/>
  <c r="I90"/>
  <c r="I89"/>
  <c r="I88"/>
  <c r="I87"/>
  <c r="I86"/>
  <c r="F83"/>
  <c r="H83" s="1"/>
  <c r="F82"/>
  <c r="I82" s="1"/>
  <c r="F76"/>
  <c r="I76" s="1"/>
  <c r="I75"/>
  <c r="H75"/>
  <c r="F75"/>
  <c r="F69"/>
  <c r="H69" s="1"/>
  <c r="I59"/>
  <c r="H59"/>
  <c r="F33"/>
  <c r="H33" s="1"/>
  <c r="F32"/>
  <c r="I32" s="1"/>
  <c r="F31"/>
  <c r="H31" s="1"/>
  <c r="H30"/>
  <c r="F30"/>
  <c r="I30" s="1"/>
  <c r="F27"/>
  <c r="H27" s="1"/>
  <c r="H26"/>
  <c r="F26"/>
  <c r="I26" s="1"/>
  <c r="F25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I85" i="33"/>
  <c r="I88"/>
  <c r="I87"/>
  <c r="F87"/>
  <c r="F84"/>
  <c r="H84" s="1"/>
  <c r="F83"/>
  <c r="I83" s="1"/>
  <c r="F77"/>
  <c r="I77" s="1"/>
  <c r="I76"/>
  <c r="F76"/>
  <c r="H76" s="1"/>
  <c r="F70"/>
  <c r="H70" s="1"/>
  <c r="F34"/>
  <c r="H34" s="1"/>
  <c r="F33"/>
  <c r="I33" s="1"/>
  <c r="F32"/>
  <c r="H32" s="1"/>
  <c r="H31"/>
  <c r="F31"/>
  <c r="I31" s="1"/>
  <c r="F27"/>
  <c r="H27" s="1"/>
  <c r="H26"/>
  <c r="F26"/>
  <c r="I26" s="1"/>
  <c r="F25"/>
  <c r="H25" s="1"/>
  <c r="H24"/>
  <c r="F24"/>
  <c r="I24" s="1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I91" i="29"/>
  <c r="I90"/>
  <c r="I84" i="32"/>
  <c r="I19"/>
  <c r="F83"/>
  <c r="H83" s="1"/>
  <c r="F82"/>
  <c r="I82" s="1"/>
  <c r="F76"/>
  <c r="I76" s="1"/>
  <c r="I75"/>
  <c r="F75"/>
  <c r="H75" s="1"/>
  <c r="F69"/>
  <c r="H69" s="1"/>
  <c r="F66"/>
  <c r="F65"/>
  <c r="F64"/>
  <c r="F63"/>
  <c r="F62"/>
  <c r="F60"/>
  <c r="F61"/>
  <c r="I58"/>
  <c r="F58"/>
  <c r="H58" s="1"/>
  <c r="F33"/>
  <c r="H33" s="1"/>
  <c r="F32"/>
  <c r="I32" s="1"/>
  <c r="F31"/>
  <c r="H31" s="1"/>
  <c r="F30"/>
  <c r="I30" s="1"/>
  <c r="F27"/>
  <c r="H27" s="1"/>
  <c r="F26"/>
  <c r="F25"/>
  <c r="F24"/>
  <c r="F23"/>
  <c r="F22"/>
  <c r="F21"/>
  <c r="F20"/>
  <c r="F19"/>
  <c r="E18"/>
  <c r="F18" s="1"/>
  <c r="F17"/>
  <c r="I17" s="1"/>
  <c r="F16"/>
  <c r="I16" s="1"/>
  <c r="I85" i="31"/>
  <c r="I33"/>
  <c r="F55"/>
  <c r="H55" s="1"/>
  <c r="H56"/>
  <c r="I56"/>
  <c r="I88"/>
  <c r="I87"/>
  <c r="I89" s="1"/>
  <c r="F84"/>
  <c r="H84" s="1"/>
  <c r="F83"/>
  <c r="I83" s="1"/>
  <c r="F77"/>
  <c r="I77" s="1"/>
  <c r="I76"/>
  <c r="F76"/>
  <c r="H76" s="1"/>
  <c r="F70"/>
  <c r="H70" s="1"/>
  <c r="I59"/>
  <c r="F59"/>
  <c r="H59" s="1"/>
  <c r="F50"/>
  <c r="F49"/>
  <c r="F48"/>
  <c r="F47"/>
  <c r="F46"/>
  <c r="F45"/>
  <c r="F44"/>
  <c r="F43"/>
  <c r="F33"/>
  <c r="F32"/>
  <c r="F31"/>
  <c r="F30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H19" i="25" l="1"/>
  <c r="H23"/>
  <c r="H27"/>
  <c r="H30"/>
  <c r="H21"/>
  <c r="H25"/>
  <c r="H81"/>
  <c r="I82"/>
  <c r="I69"/>
  <c r="H32"/>
  <c r="I33"/>
  <c r="I31"/>
  <c r="H17"/>
  <c r="H18"/>
  <c r="H20"/>
  <c r="H22"/>
  <c r="H24"/>
  <c r="H26"/>
  <c r="H82" i="34"/>
  <c r="I83"/>
  <c r="I69"/>
  <c r="I31"/>
  <c r="H32"/>
  <c r="I33"/>
  <c r="I18"/>
  <c r="H18"/>
  <c r="I16"/>
  <c r="I19"/>
  <c r="I21"/>
  <c r="I23"/>
  <c r="I25"/>
  <c r="I27"/>
  <c r="H83" i="33"/>
  <c r="I84"/>
  <c r="I70"/>
  <c r="I32"/>
  <c r="H33"/>
  <c r="I34"/>
  <c r="I18"/>
  <c r="H18"/>
  <c r="I16"/>
  <c r="I19"/>
  <c r="I21"/>
  <c r="I23"/>
  <c r="I25"/>
  <c r="I27"/>
  <c r="H82" i="32"/>
  <c r="I83"/>
  <c r="I69"/>
  <c r="H17"/>
  <c r="H30"/>
  <c r="I31"/>
  <c r="H32"/>
  <c r="I33"/>
  <c r="I27"/>
  <c r="H18"/>
  <c r="I18"/>
  <c r="H16"/>
  <c r="I55" i="31"/>
  <c r="H17"/>
  <c r="H83"/>
  <c r="I84"/>
  <c r="I70"/>
  <c r="H20"/>
  <c r="H24"/>
  <c r="H22"/>
  <c r="H26"/>
  <c r="H18"/>
  <c r="I16"/>
  <c r="I19"/>
  <c r="I21"/>
  <c r="I23"/>
  <c r="I25"/>
  <c r="I27"/>
  <c r="F72" i="30" l="1"/>
  <c r="H72" s="1"/>
  <c r="I91"/>
  <c r="I90"/>
  <c r="I89"/>
  <c r="F86"/>
  <c r="H86" s="1"/>
  <c r="F85"/>
  <c r="I85" s="1"/>
  <c r="F79"/>
  <c r="I79" s="1"/>
  <c r="I78"/>
  <c r="F78"/>
  <c r="H78" s="1"/>
  <c r="F44"/>
  <c r="I44" s="1"/>
  <c r="I43"/>
  <c r="H43"/>
  <c r="F42"/>
  <c r="I42" s="1"/>
  <c r="F41"/>
  <c r="I41" s="1"/>
  <c r="F40"/>
  <c r="I40" s="1"/>
  <c r="F39"/>
  <c r="I39" s="1"/>
  <c r="I38"/>
  <c r="H38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72" l="1"/>
  <c r="I87" s="1"/>
  <c r="H40"/>
  <c r="H17"/>
  <c r="H85"/>
  <c r="I86"/>
  <c r="H42"/>
  <c r="H39"/>
  <c r="H41"/>
  <c r="I18"/>
  <c r="H18"/>
  <c r="I16"/>
  <c r="I19"/>
  <c r="H20"/>
  <c r="I21"/>
  <c r="H22"/>
  <c r="I23"/>
  <c r="H24"/>
  <c r="I25"/>
  <c r="H26"/>
  <c r="I27"/>
  <c r="I18" i="29" l="1"/>
  <c r="I88" s="1"/>
  <c r="F87"/>
  <c r="I87" s="1"/>
  <c r="F86"/>
  <c r="F85"/>
  <c r="I78"/>
  <c r="F79"/>
  <c r="I79" s="1"/>
  <c r="F78"/>
  <c r="F72"/>
  <c r="I38"/>
  <c r="F44"/>
  <c r="I44" s="1"/>
  <c r="F42"/>
  <c r="F41"/>
  <c r="F40"/>
  <c r="F39"/>
  <c r="F27"/>
  <c r="E18"/>
  <c r="F18" s="1"/>
  <c r="H18" s="1"/>
  <c r="F17"/>
  <c r="H17" s="1"/>
  <c r="F16"/>
  <c r="H16" s="1"/>
  <c r="I89" i="28"/>
  <c r="I88"/>
  <c r="I84"/>
  <c r="I87"/>
  <c r="I86"/>
  <c r="I37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17" i="29" l="1"/>
  <c r="I16"/>
  <c r="H17" i="28"/>
  <c r="H20"/>
  <c r="H22"/>
  <c r="I18"/>
  <c r="H18"/>
  <c r="I16"/>
  <c r="I19"/>
  <c r="I21"/>
  <c r="I23"/>
  <c r="H24"/>
  <c r="I25"/>
  <c r="H26"/>
  <c r="I27"/>
  <c r="I88" i="27" l="1"/>
  <c r="I84"/>
  <c r="I91"/>
  <c r="I90"/>
  <c r="I89"/>
  <c r="I87"/>
  <c r="I37"/>
  <c r="I90" i="35" l="1"/>
  <c r="I79" i="25" l="1"/>
  <c r="I86"/>
  <c r="I57" i="33" l="1"/>
  <c r="I89"/>
  <c r="I62"/>
  <c r="I26" i="32"/>
  <c r="H25"/>
  <c r="H24"/>
  <c r="I24"/>
  <c r="H23"/>
  <c r="I22"/>
  <c r="H21"/>
  <c r="I20"/>
  <c r="H19"/>
  <c r="H27" i="29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F27" i="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60" i="32"/>
  <c r="I52" i="31"/>
  <c r="I58" i="29"/>
  <c r="I73" i="28"/>
  <c r="I72"/>
  <c r="I53"/>
  <c r="H20" i="29" l="1"/>
  <c r="H24"/>
  <c r="H22"/>
  <c r="H26"/>
  <c r="H17" i="27"/>
  <c r="H22"/>
  <c r="H20" i="32"/>
  <c r="H22"/>
  <c r="H26"/>
  <c r="I21"/>
  <c r="I23"/>
  <c r="I25"/>
  <c r="I19" i="29"/>
  <c r="I21"/>
  <c r="I23"/>
  <c r="I25"/>
  <c r="I27"/>
  <c r="I18" i="27"/>
  <c r="H18"/>
  <c r="I16"/>
  <c r="I19"/>
  <c r="H20"/>
  <c r="I21"/>
  <c r="I23"/>
  <c r="H24"/>
  <c r="I25"/>
  <c r="H26"/>
  <c r="I27"/>
  <c r="I86" l="1"/>
  <c r="I62" i="36"/>
  <c r="H62"/>
  <c r="I56" i="28" l="1"/>
  <c r="I81" i="33" l="1"/>
  <c r="I80" i="32" l="1"/>
  <c r="I62" i="30" l="1"/>
  <c r="F62" i="29"/>
  <c r="I43"/>
  <c r="I42" i="28"/>
  <c r="I42" i="27"/>
  <c r="H87" i="28" l="1"/>
  <c r="F60"/>
  <c r="H86" i="27"/>
  <c r="F60"/>
  <c r="H60" s="1"/>
  <c r="I83" i="36" l="1"/>
  <c r="H83"/>
  <c r="H81"/>
  <c r="I80"/>
  <c r="H77"/>
  <c r="I76"/>
  <c r="H76"/>
  <c r="H75"/>
  <c r="F74"/>
  <c r="H74" s="1"/>
  <c r="I71"/>
  <c r="H7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1"/>
  <c r="H61" s="1"/>
  <c r="I59"/>
  <c r="H59"/>
  <c r="F58"/>
  <c r="I58" s="1"/>
  <c r="I55"/>
  <c r="H55"/>
  <c r="I54"/>
  <c r="H54"/>
  <c r="F53"/>
  <c r="H53" s="1"/>
  <c r="F52"/>
  <c r="I52" s="1"/>
  <c r="H51"/>
  <c r="F50"/>
  <c r="I50" s="1"/>
  <c r="F49"/>
  <c r="H49" s="1"/>
  <c r="F48"/>
  <c r="I48" s="1"/>
  <c r="F47"/>
  <c r="H47" s="1"/>
  <c r="F46"/>
  <c r="I46" s="1"/>
  <c r="H38"/>
  <c r="H36"/>
  <c r="H35"/>
  <c r="F34"/>
  <c r="H34" s="1"/>
  <c r="E34"/>
  <c r="F33"/>
  <c r="H33" s="1"/>
  <c r="F32"/>
  <c r="I32" s="1"/>
  <c r="F31"/>
  <c r="H31" s="1"/>
  <c r="F28"/>
  <c r="I28" s="1"/>
  <c r="H89" i="35"/>
  <c r="I83"/>
  <c r="H83"/>
  <c r="H81"/>
  <c r="I80"/>
  <c r="H77"/>
  <c r="I76"/>
  <c r="H76"/>
  <c r="H75"/>
  <c r="F74"/>
  <c r="H74" s="1"/>
  <c r="I71"/>
  <c r="H7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1"/>
  <c r="H61" s="1"/>
  <c r="I59"/>
  <c r="H59"/>
  <c r="F58"/>
  <c r="H58" s="1"/>
  <c r="I55"/>
  <c r="H55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36"/>
  <c r="H35"/>
  <c r="F34"/>
  <c r="I34" s="1"/>
  <c r="E34"/>
  <c r="F33"/>
  <c r="I33" s="1"/>
  <c r="F32"/>
  <c r="H32" s="1"/>
  <c r="F31"/>
  <c r="I31" s="1"/>
  <c r="F28"/>
  <c r="H28" s="1"/>
  <c r="I73" i="26"/>
  <c r="I56"/>
  <c r="F52" i="25"/>
  <c r="I61" i="34"/>
  <c r="H80"/>
  <c r="H78"/>
  <c r="I77"/>
  <c r="H74"/>
  <c r="I73"/>
  <c r="H73"/>
  <c r="H72"/>
  <c r="H71"/>
  <c r="F71"/>
  <c r="I68"/>
  <c r="H68"/>
  <c r="F67"/>
  <c r="I67" s="1"/>
  <c r="F66"/>
  <c r="H66" s="1"/>
  <c r="F65"/>
  <c r="I65" s="1"/>
  <c r="F64"/>
  <c r="H64" s="1"/>
  <c r="F63"/>
  <c r="I63" s="1"/>
  <c r="F62"/>
  <c r="H62" s="1"/>
  <c r="F61"/>
  <c r="H61" s="1"/>
  <c r="F58"/>
  <c r="H58" s="1"/>
  <c r="H56"/>
  <c r="F55"/>
  <c r="I55" s="1"/>
  <c r="H52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F43"/>
  <c r="H43" s="1"/>
  <c r="I41"/>
  <c r="H41"/>
  <c r="F40"/>
  <c r="I40" s="1"/>
  <c r="F39"/>
  <c r="H39" s="1"/>
  <c r="F38"/>
  <c r="I38" s="1"/>
  <c r="F37"/>
  <c r="H37" s="1"/>
  <c r="I36"/>
  <c r="H36"/>
  <c r="H34"/>
  <c r="H50" l="1"/>
  <c r="H46"/>
  <c r="H65"/>
  <c r="H58" i="36"/>
  <c r="H82" s="1"/>
  <c r="H50"/>
  <c r="H52"/>
  <c r="H28"/>
  <c r="I31"/>
  <c r="H32"/>
  <c r="I33"/>
  <c r="I34"/>
  <c r="H46"/>
  <c r="I47"/>
  <c r="H48"/>
  <c r="I49"/>
  <c r="I51"/>
  <c r="I53"/>
  <c r="H87"/>
  <c r="H34" i="35"/>
  <c r="I58"/>
  <c r="H82"/>
  <c r="H33"/>
  <c r="H31"/>
  <c r="H49"/>
  <c r="H53"/>
  <c r="H47"/>
  <c r="H51"/>
  <c r="H87"/>
  <c r="I28"/>
  <c r="I32"/>
  <c r="I46"/>
  <c r="I48"/>
  <c r="I50"/>
  <c r="I52"/>
  <c r="H38" i="34"/>
  <c r="H44"/>
  <c r="H48"/>
  <c r="H55"/>
  <c r="H63"/>
  <c r="H67"/>
  <c r="H40"/>
  <c r="H84"/>
  <c r="I37"/>
  <c r="I39"/>
  <c r="I43"/>
  <c r="I45"/>
  <c r="I47"/>
  <c r="I49"/>
  <c r="I52"/>
  <c r="I64"/>
  <c r="I66"/>
  <c r="I91" i="36" l="1"/>
  <c r="I92" i="35"/>
  <c r="I95" i="34"/>
  <c r="H79"/>
  <c r="H87" i="33" l="1"/>
  <c r="H81"/>
  <c r="H79"/>
  <c r="I78"/>
  <c r="H75"/>
  <c r="I74"/>
  <c r="H74"/>
  <c r="H73"/>
  <c r="F72"/>
  <c r="H72" s="1"/>
  <c r="I69"/>
  <c r="H69"/>
  <c r="F68"/>
  <c r="I68" s="1"/>
  <c r="F67"/>
  <c r="I67" s="1"/>
  <c r="F66"/>
  <c r="I66" s="1"/>
  <c r="F65"/>
  <c r="I65" s="1"/>
  <c r="F64"/>
  <c r="I64" s="1"/>
  <c r="F63"/>
  <c r="H63" s="1"/>
  <c r="F62"/>
  <c r="H62" s="1"/>
  <c r="H60"/>
  <c r="I60"/>
  <c r="F59"/>
  <c r="H59" s="1"/>
  <c r="H57"/>
  <c r="F56"/>
  <c r="I56" s="1"/>
  <c r="F53"/>
  <c r="I53" s="1"/>
  <c r="I52"/>
  <c r="H52"/>
  <c r="F51"/>
  <c r="I51" s="1"/>
  <c r="F50"/>
  <c r="I50" s="1"/>
  <c r="F49"/>
  <c r="I49" s="1"/>
  <c r="F48"/>
  <c r="I48" s="1"/>
  <c r="F47"/>
  <c r="I47" s="1"/>
  <c r="F46"/>
  <c r="I46" s="1"/>
  <c r="F45"/>
  <c r="I45" s="1"/>
  <c r="F44"/>
  <c r="I44" s="1"/>
  <c r="I42"/>
  <c r="H42"/>
  <c r="F41"/>
  <c r="I41" s="1"/>
  <c r="F40"/>
  <c r="I40" s="1"/>
  <c r="F39"/>
  <c r="I39" s="1"/>
  <c r="F38"/>
  <c r="I38" s="1"/>
  <c r="I37"/>
  <c r="H37"/>
  <c r="H35"/>
  <c r="F28"/>
  <c r="I28" s="1"/>
  <c r="I73" i="32"/>
  <c r="H80"/>
  <c r="H78"/>
  <c r="I77"/>
  <c r="H74"/>
  <c r="H73"/>
  <c r="H72"/>
  <c r="F71"/>
  <c r="H71" s="1"/>
  <c r="I67"/>
  <c r="H67"/>
  <c r="H66"/>
  <c r="I65"/>
  <c r="H64"/>
  <c r="I63"/>
  <c r="H62"/>
  <c r="H61"/>
  <c r="H60"/>
  <c r="F57"/>
  <c r="H57" s="1"/>
  <c r="H55"/>
  <c r="F54"/>
  <c r="H54" s="1"/>
  <c r="F51"/>
  <c r="I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F42"/>
  <c r="I42" s="1"/>
  <c r="I40"/>
  <c r="H40"/>
  <c r="F39"/>
  <c r="H39" s="1"/>
  <c r="F38"/>
  <c r="I38" s="1"/>
  <c r="F37"/>
  <c r="H37" s="1"/>
  <c r="F36"/>
  <c r="I36" s="1"/>
  <c r="I35"/>
  <c r="H35"/>
  <c r="H81" i="31"/>
  <c r="H79"/>
  <c r="I78"/>
  <c r="H75"/>
  <c r="H74"/>
  <c r="H73"/>
  <c r="F72"/>
  <c r="H72" s="1"/>
  <c r="I68"/>
  <c r="H68"/>
  <c r="F67"/>
  <c r="H67" s="1"/>
  <c r="F66"/>
  <c r="H66" s="1"/>
  <c r="F65"/>
  <c r="H65" s="1"/>
  <c r="F64"/>
  <c r="H64" s="1"/>
  <c r="F63"/>
  <c r="H63" s="1"/>
  <c r="F62"/>
  <c r="H62" s="1"/>
  <c r="I61"/>
  <c r="F61"/>
  <c r="H61" s="1"/>
  <c r="F58"/>
  <c r="H58" s="1"/>
  <c r="I51"/>
  <c r="H51"/>
  <c r="H50"/>
  <c r="I49"/>
  <c r="H48"/>
  <c r="I47"/>
  <c r="H46"/>
  <c r="I45"/>
  <c r="H44"/>
  <c r="I43"/>
  <c r="I41"/>
  <c r="H41"/>
  <c r="F40"/>
  <c r="H40" s="1"/>
  <c r="F39"/>
  <c r="I39" s="1"/>
  <c r="F38"/>
  <c r="H38" s="1"/>
  <c r="F37"/>
  <c r="I37" s="1"/>
  <c r="I36"/>
  <c r="H36"/>
  <c r="H34"/>
  <c r="H33"/>
  <c r="H32"/>
  <c r="I31"/>
  <c r="H30"/>
  <c r="H83" i="30"/>
  <c r="H81"/>
  <c r="I80"/>
  <c r="H77"/>
  <c r="H76"/>
  <c r="H75"/>
  <c r="F74"/>
  <c r="H74" s="1"/>
  <c r="I71"/>
  <c r="H7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2"/>
  <c r="H62" s="1"/>
  <c r="F61"/>
  <c r="H61" s="1"/>
  <c r="H59"/>
  <c r="F58"/>
  <c r="I58" s="1"/>
  <c r="F55"/>
  <c r="I55" s="1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F46"/>
  <c r="I46" s="1"/>
  <c r="H36"/>
  <c r="H35"/>
  <c r="F34"/>
  <c r="H34" s="1"/>
  <c r="E34"/>
  <c r="F33"/>
  <c r="H33" s="1"/>
  <c r="F32"/>
  <c r="I32" s="1"/>
  <c r="F31"/>
  <c r="H31" s="1"/>
  <c r="F28"/>
  <c r="I28" s="1"/>
  <c r="H86" i="29"/>
  <c r="H88" s="1"/>
  <c r="H85"/>
  <c r="H83"/>
  <c r="H81"/>
  <c r="I80"/>
  <c r="H78"/>
  <c r="H77"/>
  <c r="H76"/>
  <c r="H75"/>
  <c r="F74"/>
  <c r="H74" s="1"/>
  <c r="H72"/>
  <c r="I72"/>
  <c r="I71"/>
  <c r="H71"/>
  <c r="H70"/>
  <c r="F70"/>
  <c r="H69"/>
  <c r="F69"/>
  <c r="H68"/>
  <c r="F68"/>
  <c r="H67"/>
  <c r="F67"/>
  <c r="H66"/>
  <c r="F66"/>
  <c r="H65"/>
  <c r="F65"/>
  <c r="I64"/>
  <c r="F64"/>
  <c r="H64" s="1"/>
  <c r="H62"/>
  <c r="I62"/>
  <c r="H61"/>
  <c r="F61"/>
  <c r="H59"/>
  <c r="F58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43"/>
  <c r="I42"/>
  <c r="H41"/>
  <c r="I40"/>
  <c r="H39"/>
  <c r="H38"/>
  <c r="H36"/>
  <c r="H35"/>
  <c r="F34"/>
  <c r="I34" s="1"/>
  <c r="E34"/>
  <c r="F33"/>
  <c r="I33" s="1"/>
  <c r="F32"/>
  <c r="H32" s="1"/>
  <c r="F31"/>
  <c r="I31" s="1"/>
  <c r="F28"/>
  <c r="H28" s="1"/>
  <c r="H86" i="28"/>
  <c r="E83"/>
  <c r="F83" s="1"/>
  <c r="I83" s="1"/>
  <c r="F82"/>
  <c r="I82" s="1"/>
  <c r="H80"/>
  <c r="H78"/>
  <c r="I77"/>
  <c r="I76"/>
  <c r="H76"/>
  <c r="F76"/>
  <c r="H75"/>
  <c r="H74"/>
  <c r="H73"/>
  <c r="F72"/>
  <c r="H72" s="1"/>
  <c r="H70"/>
  <c r="F70"/>
  <c r="I70" s="1"/>
  <c r="I69"/>
  <c r="H69"/>
  <c r="F68"/>
  <c r="H68" s="1"/>
  <c r="F67"/>
  <c r="H67" s="1"/>
  <c r="F66"/>
  <c r="H66" s="1"/>
  <c r="F65"/>
  <c r="H65" s="1"/>
  <c r="F64"/>
  <c r="H64" s="1"/>
  <c r="F63"/>
  <c r="H63" s="1"/>
  <c r="I62"/>
  <c r="F62"/>
  <c r="H62" s="1"/>
  <c r="H60"/>
  <c r="I60"/>
  <c r="F59"/>
  <c r="H59" s="1"/>
  <c r="H57"/>
  <c r="F56"/>
  <c r="I52"/>
  <c r="H52"/>
  <c r="F51"/>
  <c r="I51" s="1"/>
  <c r="F50"/>
  <c r="I50" s="1"/>
  <c r="F49"/>
  <c r="H49" s="1"/>
  <c r="F48"/>
  <c r="I48" s="1"/>
  <c r="F47"/>
  <c r="H47" s="1"/>
  <c r="F46"/>
  <c r="I46" s="1"/>
  <c r="F45"/>
  <c r="H45" s="1"/>
  <c r="F44"/>
  <c r="I44" s="1"/>
  <c r="H42"/>
  <c r="F41"/>
  <c r="I41" s="1"/>
  <c r="F40"/>
  <c r="I40" s="1"/>
  <c r="F39"/>
  <c r="I39" s="1"/>
  <c r="F38"/>
  <c r="I38" s="1"/>
  <c r="H37"/>
  <c r="H35"/>
  <c r="H34"/>
  <c r="F33"/>
  <c r="I33" s="1"/>
  <c r="E33"/>
  <c r="F32"/>
  <c r="I32" s="1"/>
  <c r="F31"/>
  <c r="I31" s="1"/>
  <c r="F30"/>
  <c r="H30" s="1"/>
  <c r="I62" i="27"/>
  <c r="F59"/>
  <c r="H59" s="1"/>
  <c r="H57"/>
  <c r="F56"/>
  <c r="I56" s="1"/>
  <c r="F53"/>
  <c r="I63" i="31" l="1"/>
  <c r="H53" i="29"/>
  <c r="H41" i="28"/>
  <c r="H33"/>
  <c r="H46"/>
  <c r="H56"/>
  <c r="H56" i="27"/>
  <c r="H47" i="33"/>
  <c r="H41"/>
  <c r="H51"/>
  <c r="H39"/>
  <c r="H45"/>
  <c r="H49"/>
  <c r="H56"/>
  <c r="H63" i="32"/>
  <c r="H58" i="30"/>
  <c r="H82" s="1"/>
  <c r="H58" i="29"/>
  <c r="H82" s="1"/>
  <c r="H79" i="28"/>
  <c r="H31"/>
  <c r="H32"/>
  <c r="H39"/>
  <c r="H48"/>
  <c r="H51"/>
  <c r="H64" i="33"/>
  <c r="H68"/>
  <c r="H66"/>
  <c r="H85"/>
  <c r="H28"/>
  <c r="H38"/>
  <c r="H40"/>
  <c r="H44"/>
  <c r="H46"/>
  <c r="H48"/>
  <c r="H50"/>
  <c r="H53"/>
  <c r="H65"/>
  <c r="H67"/>
  <c r="H36" i="32"/>
  <c r="H51"/>
  <c r="H38"/>
  <c r="H65"/>
  <c r="H79" s="1"/>
  <c r="H44"/>
  <c r="H48"/>
  <c r="H42"/>
  <c r="H46"/>
  <c r="H84"/>
  <c r="I37"/>
  <c r="I39"/>
  <c r="I43"/>
  <c r="I45"/>
  <c r="I47"/>
  <c r="I49"/>
  <c r="I54"/>
  <c r="I62"/>
  <c r="I64"/>
  <c r="I66"/>
  <c r="I66" i="31"/>
  <c r="I64"/>
  <c r="I67"/>
  <c r="I65"/>
  <c r="H85"/>
  <c r="I30"/>
  <c r="H31"/>
  <c r="I32"/>
  <c r="H37"/>
  <c r="I38"/>
  <c r="H39"/>
  <c r="I40"/>
  <c r="H43"/>
  <c r="I44"/>
  <c r="H45"/>
  <c r="I46"/>
  <c r="H47"/>
  <c r="I48"/>
  <c r="H49"/>
  <c r="I50"/>
  <c r="H52"/>
  <c r="H51" i="30"/>
  <c r="H47"/>
  <c r="H49"/>
  <c r="H53"/>
  <c r="H28"/>
  <c r="I31"/>
  <c r="H32"/>
  <c r="I33"/>
  <c r="I34"/>
  <c r="H46"/>
  <c r="H48"/>
  <c r="H50"/>
  <c r="H52"/>
  <c r="H55"/>
  <c r="H87"/>
  <c r="H51" i="29"/>
  <c r="H49"/>
  <c r="I28"/>
  <c r="H31"/>
  <c r="I32"/>
  <c r="H33"/>
  <c r="H34"/>
  <c r="I39"/>
  <c r="H40"/>
  <c r="I41"/>
  <c r="H42"/>
  <c r="I46"/>
  <c r="H47"/>
  <c r="I48"/>
  <c r="I50"/>
  <c r="I52"/>
  <c r="I55"/>
  <c r="I85"/>
  <c r="I86"/>
  <c r="I30" i="28"/>
  <c r="H38"/>
  <c r="H40"/>
  <c r="H44"/>
  <c r="I45"/>
  <c r="I47"/>
  <c r="I49"/>
  <c r="H50"/>
  <c r="H53"/>
  <c r="H82"/>
  <c r="H83"/>
  <c r="H84" s="1"/>
  <c r="I60" i="27"/>
  <c r="E83"/>
  <c r="F83" s="1"/>
  <c r="F82"/>
  <c r="I82" s="1"/>
  <c r="H80"/>
  <c r="H78"/>
  <c r="I77"/>
  <c r="I76"/>
  <c r="F76"/>
  <c r="H76" s="1"/>
  <c r="H75"/>
  <c r="H74"/>
  <c r="H73"/>
  <c r="F72"/>
  <c r="H72" s="1"/>
  <c r="F70"/>
  <c r="I70" s="1"/>
  <c r="I69"/>
  <c r="H69"/>
  <c r="F68"/>
  <c r="H68" s="1"/>
  <c r="F67"/>
  <c r="H67" s="1"/>
  <c r="F66"/>
  <c r="H66" s="1"/>
  <c r="F65"/>
  <c r="H65" s="1"/>
  <c r="F64"/>
  <c r="H64" s="1"/>
  <c r="F63"/>
  <c r="H63" s="1"/>
  <c r="F62"/>
  <c r="H62" s="1"/>
  <c r="I53"/>
  <c r="H53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H42"/>
  <c r="F41"/>
  <c r="I41" s="1"/>
  <c r="F40"/>
  <c r="H40" s="1"/>
  <c r="F39"/>
  <c r="I39" s="1"/>
  <c r="F38"/>
  <c r="H38" s="1"/>
  <c r="H37"/>
  <c r="H35"/>
  <c r="H34"/>
  <c r="F33"/>
  <c r="I33" s="1"/>
  <c r="E33"/>
  <c r="F32"/>
  <c r="I32" s="1"/>
  <c r="F31"/>
  <c r="H31" s="1"/>
  <c r="F30"/>
  <c r="I30" s="1"/>
  <c r="I88" i="32" l="1"/>
  <c r="I91" i="33"/>
  <c r="I91" i="31"/>
  <c r="I93" i="29"/>
  <c r="H33" i="27"/>
  <c r="H39"/>
  <c r="H49"/>
  <c r="H80" i="31"/>
  <c r="I91" i="28"/>
  <c r="H80" i="33"/>
  <c r="I93" i="30"/>
  <c r="H45" i="27"/>
  <c r="H30"/>
  <c r="H32"/>
  <c r="H41"/>
  <c r="H47"/>
  <c r="H51"/>
  <c r="H70"/>
  <c r="H79" s="1"/>
  <c r="I83"/>
  <c r="H83"/>
  <c r="H84" s="1"/>
  <c r="I31"/>
  <c r="I38"/>
  <c r="I40"/>
  <c r="I44"/>
  <c r="I46"/>
  <c r="I48"/>
  <c r="I50"/>
  <c r="H82"/>
  <c r="I93" l="1"/>
  <c r="I80" i="26" l="1"/>
  <c r="H86"/>
  <c r="H80"/>
  <c r="H78"/>
  <c r="I77"/>
  <c r="H74"/>
  <c r="H73"/>
  <c r="H72"/>
  <c r="F71"/>
  <c r="H71" s="1"/>
  <c r="I68"/>
  <c r="H68"/>
  <c r="F67"/>
  <c r="H67" s="1"/>
  <c r="F66"/>
  <c r="H66" s="1"/>
  <c r="F65"/>
  <c r="H65" s="1"/>
  <c r="F64"/>
  <c r="H64" s="1"/>
  <c r="F63"/>
  <c r="H63" s="1"/>
  <c r="F62"/>
  <c r="H62" s="1"/>
  <c r="F61"/>
  <c r="H61" s="1"/>
  <c r="F58"/>
  <c r="H58" s="1"/>
  <c r="H56"/>
  <c r="F55"/>
  <c r="H55" s="1"/>
  <c r="I52"/>
  <c r="H52"/>
  <c r="I51"/>
  <c r="H51"/>
  <c r="F50"/>
  <c r="H50" s="1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F38"/>
  <c r="H38" s="1"/>
  <c r="F37"/>
  <c r="I37" s="1"/>
  <c r="I36"/>
  <c r="H36"/>
  <c r="H34"/>
  <c r="H49" l="1"/>
  <c r="H79"/>
  <c r="H45"/>
  <c r="H47"/>
  <c r="H84"/>
  <c r="H37"/>
  <c r="I38"/>
  <c r="H39"/>
  <c r="I40"/>
  <c r="H43"/>
  <c r="I44"/>
  <c r="I46"/>
  <c r="I48"/>
  <c r="I50"/>
  <c r="I68" i="25"/>
  <c r="I92" i="26" l="1"/>
  <c r="I52" i="25"/>
  <c r="I51"/>
  <c r="I41"/>
  <c r="H85"/>
  <c r="H79"/>
  <c r="H77"/>
  <c r="H74"/>
  <c r="H73"/>
  <c r="H72"/>
  <c r="F71"/>
  <c r="H71" s="1"/>
  <c r="H68"/>
  <c r="F67"/>
  <c r="H67" s="1"/>
  <c r="F66"/>
  <c r="H66" s="1"/>
  <c r="F65"/>
  <c r="H65" s="1"/>
  <c r="F64"/>
  <c r="H64" s="1"/>
  <c r="F63"/>
  <c r="H63" s="1"/>
  <c r="F62"/>
  <c r="H62" s="1"/>
  <c r="F61"/>
  <c r="H61" s="1"/>
  <c r="F58"/>
  <c r="H58" s="1"/>
  <c r="H56"/>
  <c r="F55"/>
  <c r="H55" s="1"/>
  <c r="H52"/>
  <c r="H51"/>
  <c r="F50"/>
  <c r="H50" s="1"/>
  <c r="H49"/>
  <c r="H48"/>
  <c r="F47"/>
  <c r="H47" s="1"/>
  <c r="F46"/>
  <c r="H46" s="1"/>
  <c r="F45"/>
  <c r="H45" s="1"/>
  <c r="F44"/>
  <c r="H44" s="1"/>
  <c r="F43"/>
  <c r="H43" s="1"/>
  <c r="H41"/>
  <c r="F40"/>
  <c r="H40" s="1"/>
  <c r="F39"/>
  <c r="H39" s="1"/>
  <c r="F38"/>
  <c r="H38" s="1"/>
  <c r="F37"/>
  <c r="H37" s="1"/>
  <c r="H36"/>
  <c r="H34"/>
  <c r="I36"/>
  <c r="I37"/>
  <c r="I38"/>
  <c r="I39"/>
  <c r="I40"/>
  <c r="I43" l="1"/>
  <c r="I47"/>
  <c r="I45"/>
  <c r="I48"/>
  <c r="I46"/>
  <c r="I44"/>
  <c r="I50"/>
  <c r="I49"/>
  <c r="I83" s="1"/>
  <c r="H78"/>
  <c r="H83" l="1"/>
  <c r="I88" l="1"/>
</calcChain>
</file>

<file path=xl/sharedStrings.xml><?xml version="1.0" encoding="utf-8"?>
<sst xmlns="http://schemas.openxmlformats.org/spreadsheetml/2006/main" count="2649" uniqueCount="271">
  <si>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</si>
  <si>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</si>
  <si>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</si>
  <si>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</si>
  <si>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</si>
  <si>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</si>
  <si>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</si>
  <si>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</si>
  <si>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</si>
  <si>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</si>
  <si>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</si>
  <si>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</si>
  <si>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</si>
  <si>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</si>
  <si>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</si>
  <si>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</si>
  <si>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</si>
  <si>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</si>
  <si>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</si>
  <si>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</si>
  <si>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</si>
  <si>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</si>
  <si>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</si>
  <si>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</si>
  <si>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</si>
  <si>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</si>
  <si>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</si>
  <si>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</si>
  <si>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</si>
  <si>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</si>
  <si>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</si>
  <si>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</si>
  <si>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</si>
  <si>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</si>
  <si>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</si>
  <si>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</si>
  <si>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</si>
  <si>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</si>
  <si>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</si>
  <si>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</si>
  <si>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</si>
  <si>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</si>
  <si>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</si>
  <si>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</si>
  <si>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</si>
  <si>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</si>
  <si>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</si>
  <si>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</si>
  <si>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</si>
  <si>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</si>
  <si>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</si>
  <si>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</si>
  <si>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</si>
  <si>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</si>
  <si>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</si>
  <si>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</si>
  <si>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</si>
  <si>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</si>
  <si>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</si>
  <si>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</si>
  <si>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</si>
  <si>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</si>
  <si>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</si>
  <si>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</si>
  <si>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</si>
  <si>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</si>
  <si>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</si>
  <si>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</si>
  <si>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</si>
  <si>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</si>
  <si>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</si>
  <si>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</si>
  <si>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</si>
  <si>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</si>
  <si>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</si>
  <si>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</si>
  <si>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</si>
  <si>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</si>
  <si>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место</t>
  </si>
  <si>
    <t xml:space="preserve">II. Уборка земельного участка 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</si>
  <si>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</si>
  <si>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</si>
  <si>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</si>
  <si>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</si>
  <si>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</si>
  <si>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</si>
  <si>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</si>
  <si>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</si>
  <si>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</si>
  <si>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</si>
  <si>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</si>
  <si>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</si>
  <si>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</si>
  <si>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</si>
  <si>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</si>
  <si>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</si>
  <si>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</si>
  <si>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</si>
  <si>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</si>
  <si>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</si>
  <si>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</si>
  <si>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</si>
  <si>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</si>
  <si>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</si>
  <si>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</si>
  <si>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</si>
  <si>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</si>
  <si>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</si>
  <si>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</si>
  <si>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</si>
  <si>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</si>
  <si>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</si>
  <si>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</si>
  <si>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Влажное подметание лестничных клеток 2-3 этажа</t>
  </si>
  <si>
    <t>Мытье лестничных  площадок и маршей 1-3 этаж.</t>
  </si>
  <si>
    <t xml:space="preserve"> </t>
  </si>
  <si>
    <t>Сдвигание снега в дни снегопада (крыльца, вход.площадки)</t>
  </si>
  <si>
    <t xml:space="preserve">Подметание снега с крылец, вход. площадок </t>
  </si>
  <si>
    <t>Очистка территории 1-го класса с усовершенствованным покрытием под скребок: ступеньки и площадки крылец, входные площадки</t>
  </si>
  <si>
    <t>24 раз за сезон</t>
  </si>
  <si>
    <t>Пескопосыпка территории: крыльца и вход.площади</t>
  </si>
  <si>
    <t>Работа автовышки</t>
  </si>
  <si>
    <t>маш-час</t>
  </si>
  <si>
    <t>ТО внутренних сетей водопровода и канализации</t>
  </si>
  <si>
    <t>руб/м2 в мес.</t>
  </si>
  <si>
    <t>Смена светодиодных светильников</t>
  </si>
  <si>
    <t>1 шт.</t>
  </si>
  <si>
    <t>Стоимость светодиодного светильника</t>
  </si>
  <si>
    <t>руб.</t>
  </si>
  <si>
    <t>Снятие показаний с общедомовых приборов учёта электрической энергии</t>
  </si>
  <si>
    <t>Прочистка каналов</t>
  </si>
  <si>
    <t>Дератизация</t>
  </si>
  <si>
    <t xml:space="preserve">приемки оказанных услуг и выполненных работ по содержанию и текущему ремонту
общего имущества в многоквартирном доме №49 по ул.Октябрьская пгт.Ярега
</t>
  </si>
  <si>
    <t>генеральный директор Куканов Ю.Л.</t>
  </si>
  <si>
    <t>5 раз в год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</si>
  <si>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</si>
  <si>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</si>
  <si>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</si>
  <si>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</si>
  <si>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</si>
  <si>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</si>
  <si>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</si>
  <si>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</si>
  <si>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</si>
  <si>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</si>
  <si>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</si>
  <si>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</si>
  <si>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№9</t>
  </si>
  <si>
    <t>АКТ №10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</si>
  <si>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д.49</t>
    </r>
  </si>
  <si>
    <t>II. Уборка земельного участка</t>
  </si>
  <si>
    <t>52 раза в сезон</t>
  </si>
  <si>
    <t>78 раз за сезон</t>
  </si>
  <si>
    <t>Итого затраты за месяц</t>
  </si>
  <si>
    <t>АКТ №8</t>
  </si>
  <si>
    <t>м</t>
  </si>
  <si>
    <t>АКТ №11</t>
  </si>
  <si>
    <t>АКТ №12</t>
  </si>
  <si>
    <t>ООО «Движение»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</si>
  <si>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15.08.2016г.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</si>
  <si>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Очистка вручную от снега и наледи люков каналиационных и водопроводных колодцев</t>
  </si>
  <si>
    <t>1 раз</t>
  </si>
  <si>
    <t>Осмотр кровель из штучных материалов</t>
  </si>
  <si>
    <t>Водоснабжение и канализация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</si>
  <si>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</si>
  <si>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</si>
  <si>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</si>
  <si>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</si>
  <si>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</si>
  <si>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</si>
  <si>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</si>
  <si>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4 раза</t>
  </si>
  <si>
    <t>7 раз</t>
  </si>
  <si>
    <t xml:space="preserve">1 раз </t>
  </si>
  <si>
    <t>1 шт</t>
  </si>
  <si>
    <t>3 раза</t>
  </si>
  <si>
    <t>1,5 маш/час</t>
  </si>
  <si>
    <t>Установка хомута диаметром до 50 мм</t>
  </si>
  <si>
    <t>Смена внутренних трубопроводов на полипропиленовые трубы PN 25 Dу 25</t>
  </si>
  <si>
    <t>руб</t>
  </si>
  <si>
    <t>за период с 01.01.2020 г. по 31.01.2020 г.</t>
  </si>
  <si>
    <t>Замена датчиков КПРТ теплового учета</t>
  </si>
  <si>
    <t>Смена арматуры - вентилей и клапанов обратных муфтовых диаметром до 20 мм ( без материалов)</t>
  </si>
  <si>
    <t>кв.5 п/с</t>
  </si>
  <si>
    <t>ГВС и ХВС в кв.№15</t>
  </si>
  <si>
    <t>кв.№ 15</t>
  </si>
  <si>
    <t>2. Всего за период с 01.01.2020 по 31.01.2020 выполнено работ (оказано услуг) на общую сумму: 28922,30 руб.</t>
  </si>
  <si>
    <t>(двадцать восемь тысяч девятьсот двадцать два рубля 30 копеек )</t>
  </si>
  <si>
    <t>за период с 01.02.2020 г. по 29.02.2020 г.</t>
  </si>
  <si>
    <t>(двадцать пять тысяч четыреста девяносто один рубль 36 копеек)</t>
  </si>
  <si>
    <t>2. Всего за период с 01.02.2020 по 29.02.2020 выполнено работ (оказано услуг) на общую сумму: 25491,36 руб.</t>
  </si>
  <si>
    <t>за период с 01.03.2020 г. по 31.03.2020 г.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</si>
  <si>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29.02.2020г.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</si>
  <si>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Очистка вручную от снега и наледи люков водопроводных и канализационных колодцев</t>
  </si>
  <si>
    <t>2,13,19 марта</t>
  </si>
  <si>
    <t>12 раз</t>
  </si>
  <si>
    <t xml:space="preserve">2 раза 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</si>
  <si>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</si>
  <si>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</si>
  <si>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</si>
  <si>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</si>
  <si>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за период с 01.04.2020 г. по 30.04.2020 г.</t>
  </si>
  <si>
    <t>Осмотр электросетей, армазуры и электрооборудования на лестничных клетках</t>
  </si>
  <si>
    <t>Ремонт групповых щитков на лестничной клетке без ремонта автоматов</t>
  </si>
  <si>
    <t>2. Всего за период с 01.04.2020 по 30.04.2020 выполнено работ (оказано услуг) на общую сумму: 25561,87 руб.</t>
  </si>
  <si>
    <t>(двадцать пять тысяч пятьсот шестьдесят один рубль 87 копеек)</t>
  </si>
  <si>
    <t>за период с 01.05.2020 г. по 31.05.2020 г.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</si>
  <si>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19.02.2020г.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</si>
  <si>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Очистка урн от мусора</t>
  </si>
  <si>
    <t>100шт</t>
  </si>
  <si>
    <t>Замена счетчика ХВС в распред.узле( ВСКМ 90-32 № 139101238</t>
  </si>
  <si>
    <t>2 раз</t>
  </si>
  <si>
    <t>2. Всего за период с 01.05.2020 по 31.05.2020 выполнено работ (оказано услуг) на общую сумму: 41026,40 руб.</t>
  </si>
  <si>
    <t>(сорок одна тысяча двадцать шесть рублей 40 копеек)</t>
  </si>
  <si>
    <t>за период с 01.06.2020 г. по 30.06.2020 г.</t>
  </si>
  <si>
    <t>2. Всего за период с 01.06.20 по 30.06.2020 выполнено работ (оказано услуг) на общую сумму: 80653,46 руб.</t>
  </si>
  <si>
    <t>(восемьдесят тысяч шестьсот пятьдесят три рубля 46 копеек)</t>
  </si>
  <si>
    <t>ВДГО</t>
  </si>
  <si>
    <t>2. Всего за период с 01.03.2020 по 31.03.2020 выполнено работ (оказано услуг) на общую сумму: 40651,88 руб.</t>
  </si>
  <si>
    <t>(сорок тысяч шестьсот пятьдесят один рубль 88 копеек)</t>
  </si>
  <si>
    <t>за период с 01.07.2020 г. по 31.07.2020 г.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</si>
  <si>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19.02.2020 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</si>
  <si>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Прочистка фильтра</t>
  </si>
  <si>
    <t>3м</t>
  </si>
  <si>
    <t>Отключение преобразователя давления</t>
  </si>
  <si>
    <t>2. Всего за период с 01.07.2020 по 31.07.2020 выполнено работ (оказано услуг) на общую сумму: 26199,88  руб.</t>
  </si>
  <si>
    <t>(двадцать шесть тысяч сто девяносто девять рублей 88 копеек)</t>
  </si>
  <si>
    <t>за период с 01.08.2020 г. по 31.08.2020 г.</t>
  </si>
  <si>
    <t>Ремонт отдельных мест покрытия из асбоцементных листов обыкновенного профиля</t>
  </si>
  <si>
    <t>10 м2</t>
  </si>
  <si>
    <t>Шифер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</si>
  <si>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</si>
  <si>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</si>
  <si>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арматуры - вентилей и клапанов обратных муфтовых диаметром до 20 мм</t>
  </si>
  <si>
    <t>ГВС подвал 1 шт.</t>
  </si>
  <si>
    <t>ГВС кв 22</t>
  </si>
  <si>
    <t>ГВС кв.22</t>
  </si>
  <si>
    <t>6,28 м2</t>
  </si>
  <si>
    <t>4 шт</t>
  </si>
  <si>
    <t>с/о кв.26</t>
  </si>
  <si>
    <t>2. Всего за период с 01.08.2020 по 31.08.2020 выполнено работ (оказано услуг) на общую сумму: 36811,12 руб.</t>
  </si>
  <si>
    <t>(тридцать шесть тысяч восемьсот одиннадцать рублей 12 копеек)</t>
  </si>
  <si>
    <t>за период с 01.09.2020 г. по 30.09.2020 г.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</si>
  <si>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19.02.2020г.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</si>
  <si>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1 рах</t>
  </si>
  <si>
    <t>2 шт ГВС подвал</t>
  </si>
  <si>
    <t>2. Всего за период с 01.09.2020 по 30.09.2020 выполнено работ (оказано услуг) на общую сумму: 34435,97 руб.</t>
  </si>
  <si>
    <t>(тридцать четыре тысячи четыреста тридцать пять рублей 97 копеек)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</si>
  <si>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</si>
  <si>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19.02.2020г.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</si>
  <si>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20 раз</t>
  </si>
  <si>
    <t>11 раз</t>
  </si>
  <si>
    <t>Очистка канализационной сети внутренней</t>
  </si>
  <si>
    <t>Работа ротенбергера</t>
  </si>
  <si>
    <t>час</t>
  </si>
  <si>
    <t>Регулировка приборов учета тепла и ГВС</t>
  </si>
  <si>
    <t>генеральный директор Кочанова И.Л.</t>
  </si>
  <si>
    <t>за период с 01.11.2020 г. по 30.11.2020 г.</t>
  </si>
  <si>
    <r>
      <t xml:space="preserve">    Собственники помещений в многоквартирном доме, расположенном по адресу: пгт.Ярега, ул.Октябрьская, д.49,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19.02.2020г.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</si>
  <si>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Смена дверных приборов /замки навесные)</t>
  </si>
  <si>
    <t>1 шт. р/у</t>
  </si>
  <si>
    <t>за период с 01.12.2020 г. по 31.12.2020 г.</t>
  </si>
  <si>
    <t>0,8 ч ( 18 и 21 дек)</t>
  </si>
  <si>
    <t>1 раз)</t>
  </si>
  <si>
    <t>2. Всего за период с 01.12.2020 по 31.12.2020 выполнено работ (оказано услуг) на общую сумму: 30303,08 руб.</t>
  </si>
  <si>
    <t>(тридцать тысяч триста три рубля 08 копеек)</t>
  </si>
  <si>
    <t>2. Всего за период с 01.10.2020 по 31.10.2020 выполнено работ (оказано услуг) на общую сумму: 32173,50 руб.</t>
  </si>
  <si>
    <t>( тридцать две тысячи сто семьдесят три рубля 50 копеек)</t>
  </si>
  <si>
    <t>2. Всего за период с 01.11.2020 по 30.11.2020 выполнено работ (оказано услуг) на общую сумму: 29836,61 руб.</t>
  </si>
  <si>
    <t>(двадцать девять тысяч восемьсот тридцать шесть рублей 61 копейка)</t>
  </si>
  <si>
    <t>зам.генерального директора Кочанова И.Л.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</si>
</sst>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4" fillId="0" borderId="0" xfId="0" applyFont="1"/>
    <xf numFmtId="0" fontId="11" fillId="2" borderId="3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left" vertical="center" wrapText="1"/>
    </xf>
    <xf numFmtId="14" fontId="11" fillId="2" borderId="8" xfId="0" applyNumberFormat="1" applyFont="1" applyFill="1" applyBorder="1" applyAlignment="1">
      <alignment horizontal="left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4" fontId="19" fillId="2" borderId="0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9" fillId="2" borderId="8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wrapText="1"/>
    </xf>
    <xf numFmtId="0" fontId="11" fillId="2" borderId="19" xfId="0" applyNumberFormat="1" applyFont="1" applyFill="1" applyBorder="1" applyAlignment="1" applyProtection="1">
      <alignment horizontal="left" vertical="center" wrapText="1"/>
    </xf>
    <xf numFmtId="0" fontId="11" fillId="2" borderId="19" xfId="0" applyNumberFormat="1" applyFont="1" applyFill="1" applyBorder="1" applyAlignment="1" applyProtection="1">
      <alignment horizontal="center" vertical="center" wrapText="1"/>
    </xf>
    <xf numFmtId="4" fontId="19" fillId="4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center" wrapText="1"/>
    </xf>
    <xf numFmtId="4" fontId="19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83" t="s">
        <v>138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132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180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43861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159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7" t="s">
        <v>149</v>
      </c>
      <c r="B10" s="187"/>
      <c r="C10" s="187"/>
      <c r="D10" s="187"/>
      <c r="E10" s="187"/>
      <c r="F10" s="187"/>
      <c r="G10" s="187"/>
      <c r="H10" s="187"/>
      <c r="I10" s="18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62" t="s">
        <v>80</v>
      </c>
      <c r="C16" s="63" t="s">
        <v>81</v>
      </c>
      <c r="D16" s="62" t="s">
        <v>165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113</v>
      </c>
      <c r="C17" s="63" t="s">
        <v>81</v>
      </c>
      <c r="D17" s="62" t="s">
        <v>166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114</v>
      </c>
      <c r="C18" s="63" t="s">
        <v>81</v>
      </c>
      <c r="D18" s="62" t="s">
        <v>167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/>
      <c r="B19" s="62" t="s">
        <v>88</v>
      </c>
      <c r="C19" s="63" t="s">
        <v>89</v>
      </c>
      <c r="D19" s="62" t="s">
        <v>90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91</v>
      </c>
      <c r="C20" s="63" t="s">
        <v>81</v>
      </c>
      <c r="D20" s="62" t="s">
        <v>42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92</v>
      </c>
      <c r="C21" s="63" t="s">
        <v>81</v>
      </c>
      <c r="D21" s="62" t="s">
        <v>42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93</v>
      </c>
      <c r="C22" s="63" t="s">
        <v>52</v>
      </c>
      <c r="D22" s="62" t="s">
        <v>90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94</v>
      </c>
      <c r="C23" s="63" t="s">
        <v>52</v>
      </c>
      <c r="D23" s="62" t="s">
        <v>90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f t="shared" ref="I23:I26" si="1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95</v>
      </c>
      <c r="C24" s="63" t="s">
        <v>52</v>
      </c>
      <c r="D24" s="62" t="s">
        <v>96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f t="shared" si="1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97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f t="shared" si="1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98</v>
      </c>
      <c r="C26" s="63" t="s">
        <v>52</v>
      </c>
      <c r="D26" s="62" t="s">
        <v>90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f t="shared" si="1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123" t="s">
        <v>164</v>
      </c>
      <c r="C27" s="124" t="s">
        <v>25</v>
      </c>
      <c r="D27" s="123" t="s">
        <v>168</v>
      </c>
      <c r="E27" s="125">
        <v>2.91</v>
      </c>
      <c r="F27" s="115">
        <f>E27*258</f>
        <v>750.78000000000009</v>
      </c>
      <c r="G27" s="115">
        <v>10.39</v>
      </c>
      <c r="H27" s="66">
        <f>SUM(F27*G27/1000)</f>
        <v>7.8006042000000013</v>
      </c>
      <c r="I27" s="13">
        <f>F27/12*G27</f>
        <v>650.05035000000009</v>
      </c>
      <c r="J27" s="23"/>
      <c r="K27" s="8"/>
    </row>
    <row r="28" spans="1:13" ht="15.75" customHeight="1">
      <c r="A28" s="180" t="s">
        <v>150</v>
      </c>
      <c r="B28" s="181"/>
      <c r="C28" s="181"/>
      <c r="D28" s="181"/>
      <c r="E28" s="181"/>
      <c r="F28" s="181"/>
      <c r="G28" s="181"/>
      <c r="H28" s="181"/>
      <c r="I28" s="182"/>
      <c r="J28" s="24"/>
    </row>
    <row r="29" spans="1:13" ht="15.75" hidden="1" customHeight="1">
      <c r="A29" s="30"/>
      <c r="B29" s="82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hidden="1" customHeight="1">
      <c r="A30" s="30">
        <v>8</v>
      </c>
      <c r="B30" s="62" t="s">
        <v>101</v>
      </c>
      <c r="C30" s="63" t="s">
        <v>84</v>
      </c>
      <c r="D30" s="62" t="s">
        <v>151</v>
      </c>
      <c r="E30" s="65">
        <v>61.5</v>
      </c>
      <c r="F30" s="65">
        <f>SUM(E30*52/1000)</f>
        <v>3.198</v>
      </c>
      <c r="G30" s="65">
        <v>193.97</v>
      </c>
      <c r="H30" s="66">
        <f t="shared" ref="H30:H35" si="2">SUM(F30*G30/1000)</f>
        <v>0.62031605999999995</v>
      </c>
      <c r="I30" s="13">
        <f t="shared" ref="I30:I31" si="3">F30/6*G30</f>
        <v>103.38601</v>
      </c>
      <c r="J30" s="23"/>
      <c r="K30" s="8"/>
      <c r="L30" s="8"/>
      <c r="M30" s="8"/>
    </row>
    <row r="31" spans="1:13" ht="31.5" hidden="1" customHeight="1">
      <c r="A31" s="30">
        <v>9</v>
      </c>
      <c r="B31" s="62" t="s">
        <v>100</v>
      </c>
      <c r="C31" s="63" t="s">
        <v>84</v>
      </c>
      <c r="D31" s="62" t="s">
        <v>152</v>
      </c>
      <c r="E31" s="65">
        <v>35.299999999999997</v>
      </c>
      <c r="F31" s="65">
        <f>SUM(E31*78/1000)</f>
        <v>2.7533999999999996</v>
      </c>
      <c r="G31" s="65">
        <v>321.82</v>
      </c>
      <c r="H31" s="66">
        <f t="shared" si="2"/>
        <v>0.88609918799999987</v>
      </c>
      <c r="I31" s="13">
        <f t="shared" si="3"/>
        <v>147.68319799999998</v>
      </c>
      <c r="J31" s="23"/>
      <c r="K31" s="8"/>
      <c r="L31" s="8"/>
      <c r="M31" s="8"/>
    </row>
    <row r="32" spans="1:13" ht="15.75" hidden="1" customHeight="1">
      <c r="A32" s="30"/>
      <c r="B32" s="62" t="s">
        <v>27</v>
      </c>
      <c r="C32" s="63" t="s">
        <v>84</v>
      </c>
      <c r="D32" s="62" t="s">
        <v>53</v>
      </c>
      <c r="E32" s="65">
        <v>61.5</v>
      </c>
      <c r="F32" s="65">
        <f>SUM(E32/1000)</f>
        <v>6.1499999999999999E-2</v>
      </c>
      <c r="G32" s="65">
        <v>3758.28</v>
      </c>
      <c r="H32" s="66">
        <f t="shared" si="2"/>
        <v>0.23113422</v>
      </c>
      <c r="I32" s="13">
        <f>F32*G32</f>
        <v>231.13422</v>
      </c>
      <c r="J32" s="23"/>
      <c r="K32" s="8"/>
      <c r="L32" s="8"/>
      <c r="M32" s="8"/>
    </row>
    <row r="33" spans="1:14" ht="15.75" hidden="1" customHeight="1">
      <c r="A33" s="30">
        <v>10</v>
      </c>
      <c r="B33" s="62" t="s">
        <v>99</v>
      </c>
      <c r="C33" s="63" t="s">
        <v>30</v>
      </c>
      <c r="D33" s="62" t="s">
        <v>62</v>
      </c>
      <c r="E33" s="69">
        <f>1/3</f>
        <v>0.33333333333333331</v>
      </c>
      <c r="F33" s="65">
        <f>155/3</f>
        <v>51.666666666666664</v>
      </c>
      <c r="G33" s="65">
        <v>70.540000000000006</v>
      </c>
      <c r="H33" s="66">
        <f t="shared" si="2"/>
        <v>3.6445666666666665</v>
      </c>
      <c r="I33" s="13">
        <f>F33/6*G33</f>
        <v>607.42777777777781</v>
      </c>
      <c r="J33" s="23"/>
      <c r="K33" s="8"/>
      <c r="L33" s="8"/>
      <c r="M33" s="8"/>
    </row>
    <row r="34" spans="1:14" ht="15.75" hidden="1" customHeight="1">
      <c r="A34" s="30"/>
      <c r="B34" s="62" t="s">
        <v>63</v>
      </c>
      <c r="C34" s="63" t="s">
        <v>32</v>
      </c>
      <c r="D34" s="62" t="s">
        <v>65</v>
      </c>
      <c r="E34" s="64"/>
      <c r="F34" s="65">
        <v>1</v>
      </c>
      <c r="G34" s="65">
        <v>238.07</v>
      </c>
      <c r="H34" s="66">
        <f t="shared" si="2"/>
        <v>0.23807</v>
      </c>
      <c r="I34" s="13">
        <v>0</v>
      </c>
      <c r="J34" s="24"/>
    </row>
    <row r="35" spans="1:14" ht="15.75" hidden="1" customHeight="1">
      <c r="A35" s="30"/>
      <c r="B35" s="62" t="s">
        <v>64</v>
      </c>
      <c r="C35" s="63" t="s">
        <v>31</v>
      </c>
      <c r="D35" s="62" t="s">
        <v>65</v>
      </c>
      <c r="E35" s="64"/>
      <c r="F35" s="65">
        <v>1</v>
      </c>
      <c r="G35" s="65">
        <v>1413.96</v>
      </c>
      <c r="H35" s="66">
        <f t="shared" si="2"/>
        <v>1.4139600000000001</v>
      </c>
      <c r="I35" s="13">
        <v>0</v>
      </c>
      <c r="J35" s="24"/>
    </row>
    <row r="36" spans="1:14" ht="15.75" customHeight="1">
      <c r="A36" s="30"/>
      <c r="B36" s="82" t="s">
        <v>5</v>
      </c>
      <c r="C36" s="63"/>
      <c r="D36" s="62"/>
      <c r="E36" s="64"/>
      <c r="F36" s="65"/>
      <c r="G36" s="65"/>
      <c r="H36" s="66" t="s">
        <v>115</v>
      </c>
      <c r="I36" s="13"/>
      <c r="J36" s="24"/>
      <c r="L36" s="19"/>
      <c r="M36" s="20"/>
      <c r="N36" s="21"/>
    </row>
    <row r="37" spans="1:14" ht="15.75" customHeight="1">
      <c r="A37" s="30">
        <v>5</v>
      </c>
      <c r="B37" s="62" t="s">
        <v>26</v>
      </c>
      <c r="C37" s="63" t="s">
        <v>31</v>
      </c>
      <c r="D37" s="62"/>
      <c r="E37" s="64"/>
      <c r="F37" s="65">
        <v>3</v>
      </c>
      <c r="G37" s="65">
        <v>1900.37</v>
      </c>
      <c r="H37" s="66">
        <f t="shared" ref="H37:H42" si="4">SUM(F37*G37/1000)</f>
        <v>5.7011099999999999</v>
      </c>
      <c r="I37" s="13">
        <f>G37*0.3</f>
        <v>570.11099999999999</v>
      </c>
      <c r="J37" s="24"/>
      <c r="L37" s="19"/>
      <c r="M37" s="20"/>
      <c r="N37" s="21"/>
    </row>
    <row r="38" spans="1:14" ht="31.5" customHeight="1">
      <c r="A38" s="30">
        <v>6</v>
      </c>
      <c r="B38" s="62" t="s">
        <v>116</v>
      </c>
      <c r="C38" s="63" t="s">
        <v>29</v>
      </c>
      <c r="D38" s="62" t="s">
        <v>169</v>
      </c>
      <c r="E38" s="64">
        <v>35.299999999999997</v>
      </c>
      <c r="F38" s="65">
        <f>E38*30/1000</f>
        <v>1.0589999999999999</v>
      </c>
      <c r="G38" s="65">
        <v>2616.4899999999998</v>
      </c>
      <c r="H38" s="66">
        <f t="shared" si="4"/>
        <v>2.77086291</v>
      </c>
      <c r="I38" s="13">
        <f t="shared" ref="I38:I40" si="5">F38/6*G38</f>
        <v>461.81048499999991</v>
      </c>
      <c r="J38" s="24"/>
      <c r="L38" s="19"/>
      <c r="M38" s="20"/>
      <c r="N38" s="21"/>
    </row>
    <row r="39" spans="1:14" ht="15.75" customHeight="1">
      <c r="A39" s="30">
        <v>7</v>
      </c>
      <c r="B39" s="62" t="s">
        <v>117</v>
      </c>
      <c r="C39" s="63" t="s">
        <v>29</v>
      </c>
      <c r="D39" s="62" t="s">
        <v>170</v>
      </c>
      <c r="E39" s="64">
        <v>35.299999999999997</v>
      </c>
      <c r="F39" s="65">
        <f>SUM(E39*155/1000)</f>
        <v>5.4714999999999998</v>
      </c>
      <c r="G39" s="65">
        <v>436.45</v>
      </c>
      <c r="H39" s="66">
        <f t="shared" si="4"/>
        <v>2.3880361749999999</v>
      </c>
      <c r="I39" s="13">
        <f t="shared" si="5"/>
        <v>398.00602916666662</v>
      </c>
      <c r="J39" s="24"/>
      <c r="L39" s="19"/>
      <c r="M39" s="20"/>
      <c r="N39" s="21"/>
    </row>
    <row r="40" spans="1:14" ht="47.25" customHeight="1">
      <c r="A40" s="30">
        <v>8</v>
      </c>
      <c r="B40" s="62" t="s">
        <v>118</v>
      </c>
      <c r="C40" s="63" t="s">
        <v>84</v>
      </c>
      <c r="D40" s="62" t="s">
        <v>171</v>
      </c>
      <c r="E40" s="64">
        <v>35.299999999999997</v>
      </c>
      <c r="F40" s="65">
        <f>SUM(E40*24/1000)</f>
        <v>0.84719999999999995</v>
      </c>
      <c r="G40" s="65">
        <v>7221.21</v>
      </c>
      <c r="H40" s="66">
        <f t="shared" si="4"/>
        <v>6.1178091119999998</v>
      </c>
      <c r="I40" s="13">
        <f t="shared" si="5"/>
        <v>1019.6348519999999</v>
      </c>
      <c r="J40" s="24"/>
      <c r="L40" s="19"/>
      <c r="M40" s="20"/>
      <c r="N40" s="21"/>
    </row>
    <row r="41" spans="1:14" ht="15.75" hidden="1" customHeight="1">
      <c r="A41" s="30">
        <v>9</v>
      </c>
      <c r="B41" s="62" t="s">
        <v>120</v>
      </c>
      <c r="C41" s="63" t="s">
        <v>84</v>
      </c>
      <c r="D41" s="62" t="s">
        <v>172</v>
      </c>
      <c r="E41" s="64">
        <v>35.299999999999997</v>
      </c>
      <c r="F41" s="65">
        <f>SUM(E41*45/1000)</f>
        <v>1.5884999999999998</v>
      </c>
      <c r="G41" s="65">
        <v>533.45000000000005</v>
      </c>
      <c r="H41" s="66">
        <f t="shared" si="4"/>
        <v>0.84738532499999997</v>
      </c>
      <c r="I41" s="13">
        <f>F41/7.5*G41</f>
        <v>112.98470999999999</v>
      </c>
      <c r="J41" s="24"/>
      <c r="L41" s="19"/>
      <c r="M41" s="20"/>
      <c r="N41" s="21"/>
    </row>
    <row r="42" spans="1:14" ht="15.75" hidden="1" customHeight="1">
      <c r="A42" s="30">
        <v>10</v>
      </c>
      <c r="B42" s="62" t="s">
        <v>67</v>
      </c>
      <c r="C42" s="63" t="s">
        <v>32</v>
      </c>
      <c r="D42" s="62"/>
      <c r="E42" s="64"/>
      <c r="F42" s="65">
        <v>0.3</v>
      </c>
      <c r="G42" s="65">
        <v>992.97</v>
      </c>
      <c r="H42" s="66">
        <f t="shared" si="4"/>
        <v>0.29789100000000002</v>
      </c>
      <c r="I42" s="13">
        <f>F42/7.5*G42</f>
        <v>39.718800000000002</v>
      </c>
      <c r="J42" s="24"/>
      <c r="L42" s="19"/>
      <c r="M42" s="20"/>
      <c r="N42" s="21"/>
    </row>
    <row r="43" spans="1:14" ht="15.75" customHeight="1">
      <c r="A43" s="180" t="s">
        <v>135</v>
      </c>
      <c r="B43" s="181"/>
      <c r="C43" s="181"/>
      <c r="D43" s="181"/>
      <c r="E43" s="181"/>
      <c r="F43" s="181"/>
      <c r="G43" s="181"/>
      <c r="H43" s="181"/>
      <c r="I43" s="182"/>
      <c r="J43" s="24"/>
      <c r="L43" s="19"/>
      <c r="M43" s="20"/>
      <c r="N43" s="21"/>
    </row>
    <row r="44" spans="1:14" ht="15.75" hidden="1" customHeight="1">
      <c r="A44" s="30">
        <v>11</v>
      </c>
      <c r="B44" s="62" t="s">
        <v>102</v>
      </c>
      <c r="C44" s="63" t="s">
        <v>84</v>
      </c>
      <c r="D44" s="62" t="s">
        <v>42</v>
      </c>
      <c r="E44" s="64">
        <v>907.4</v>
      </c>
      <c r="F44" s="65">
        <f>SUM(E44*2/1000)</f>
        <v>1.8148</v>
      </c>
      <c r="G44" s="13">
        <v>1283.46</v>
      </c>
      <c r="H44" s="66">
        <f t="shared" ref="H44:H53" si="6">SUM(F44*G44/1000)</f>
        <v>2.3292232079999997</v>
      </c>
      <c r="I44" s="13">
        <f>F44/2*G44</f>
        <v>1164.6116039999999</v>
      </c>
      <c r="J44" s="24"/>
      <c r="L44" s="19"/>
      <c r="M44" s="20"/>
      <c r="N44" s="21"/>
    </row>
    <row r="45" spans="1:14" ht="15.75" hidden="1" customHeight="1">
      <c r="A45" s="30">
        <v>12</v>
      </c>
      <c r="B45" s="62" t="s">
        <v>35</v>
      </c>
      <c r="C45" s="63" t="s">
        <v>84</v>
      </c>
      <c r="D45" s="62" t="s">
        <v>42</v>
      </c>
      <c r="E45" s="64">
        <v>27</v>
      </c>
      <c r="F45" s="65">
        <f>SUM(E45*2/1000)</f>
        <v>5.3999999999999999E-2</v>
      </c>
      <c r="G45" s="13">
        <v>4192.6400000000003</v>
      </c>
      <c r="H45" s="66">
        <f t="shared" si="6"/>
        <v>0.22640256000000003</v>
      </c>
      <c r="I45" s="13">
        <f t="shared" ref="I45:I52" si="7">F45/2*G45</f>
        <v>113.20128000000001</v>
      </c>
      <c r="J45" s="24"/>
      <c r="L45" s="19"/>
      <c r="M45" s="20"/>
      <c r="N45" s="21"/>
    </row>
    <row r="46" spans="1:14" ht="15.75" hidden="1" customHeight="1">
      <c r="A46" s="30">
        <v>13</v>
      </c>
      <c r="B46" s="62" t="s">
        <v>36</v>
      </c>
      <c r="C46" s="63" t="s">
        <v>84</v>
      </c>
      <c r="D46" s="62" t="s">
        <v>42</v>
      </c>
      <c r="E46" s="64">
        <v>772</v>
      </c>
      <c r="F46" s="65">
        <f>SUM(E46*2/1000)</f>
        <v>1.544</v>
      </c>
      <c r="G46" s="13">
        <v>1711.28</v>
      </c>
      <c r="H46" s="66">
        <f t="shared" si="6"/>
        <v>2.6422163200000002</v>
      </c>
      <c r="I46" s="13">
        <f t="shared" si="7"/>
        <v>1321.10816</v>
      </c>
      <c r="J46" s="24"/>
      <c r="L46" s="19"/>
      <c r="M46" s="20"/>
      <c r="N46" s="21"/>
    </row>
    <row r="47" spans="1:14" ht="15.75" hidden="1" customHeight="1">
      <c r="A47" s="30">
        <v>14</v>
      </c>
      <c r="B47" s="62" t="s">
        <v>37</v>
      </c>
      <c r="C47" s="63" t="s">
        <v>84</v>
      </c>
      <c r="D47" s="62" t="s">
        <v>42</v>
      </c>
      <c r="E47" s="64">
        <v>959.4</v>
      </c>
      <c r="F47" s="65">
        <f>SUM(E47*2/1000)</f>
        <v>1.9188000000000001</v>
      </c>
      <c r="G47" s="13">
        <v>1179.73</v>
      </c>
      <c r="H47" s="66">
        <f t="shared" si="6"/>
        <v>2.2636659240000001</v>
      </c>
      <c r="I47" s="13">
        <f t="shared" si="7"/>
        <v>1131.832962</v>
      </c>
      <c r="J47" s="24"/>
      <c r="L47" s="19"/>
      <c r="M47" s="20"/>
      <c r="N47" s="21"/>
    </row>
    <row r="48" spans="1:14" ht="15.75" hidden="1" customHeight="1">
      <c r="A48" s="30">
        <v>15</v>
      </c>
      <c r="B48" s="62" t="s">
        <v>33</v>
      </c>
      <c r="C48" s="63" t="s">
        <v>34</v>
      </c>
      <c r="D48" s="62" t="s">
        <v>42</v>
      </c>
      <c r="E48" s="64">
        <v>66.02</v>
      </c>
      <c r="F48" s="65">
        <f>SUM(E48*2/100)</f>
        <v>1.3204</v>
      </c>
      <c r="G48" s="13">
        <v>90.61</v>
      </c>
      <c r="H48" s="66">
        <f t="shared" si="6"/>
        <v>0.11964144400000001</v>
      </c>
      <c r="I48" s="13">
        <f t="shared" si="7"/>
        <v>59.820722000000004</v>
      </c>
      <c r="J48" s="24"/>
      <c r="L48" s="19"/>
      <c r="M48" s="20"/>
      <c r="N48" s="21"/>
    </row>
    <row r="49" spans="1:22" ht="15.75" customHeight="1">
      <c r="A49" s="30">
        <v>9</v>
      </c>
      <c r="B49" s="62" t="s">
        <v>55</v>
      </c>
      <c r="C49" s="63" t="s">
        <v>84</v>
      </c>
      <c r="D49" s="62" t="s">
        <v>161</v>
      </c>
      <c r="E49" s="64">
        <v>1536.4</v>
      </c>
      <c r="F49" s="65">
        <f>SUM(E49*5/1000)</f>
        <v>7.6820000000000004</v>
      </c>
      <c r="G49" s="13">
        <v>1711.28</v>
      </c>
      <c r="H49" s="66">
        <f t="shared" si="6"/>
        <v>13.14605296</v>
      </c>
      <c r="I49" s="13">
        <f>F49/5*G49</f>
        <v>2629.2105919999999</v>
      </c>
      <c r="J49" s="24"/>
      <c r="L49" s="19"/>
      <c r="M49" s="20"/>
      <c r="N49" s="21"/>
    </row>
    <row r="50" spans="1:22" ht="32.25" hidden="1" customHeight="1">
      <c r="A50" s="30"/>
      <c r="B50" s="62" t="s">
        <v>85</v>
      </c>
      <c r="C50" s="63" t="s">
        <v>84</v>
      </c>
      <c r="D50" s="62" t="s">
        <v>42</v>
      </c>
      <c r="E50" s="64">
        <v>1536.4</v>
      </c>
      <c r="F50" s="65">
        <f>SUM(E50*2/1000)</f>
        <v>3.0728</v>
      </c>
      <c r="G50" s="13">
        <v>1510.06</v>
      </c>
      <c r="H50" s="66">
        <f t="shared" si="6"/>
        <v>4.6401123680000005</v>
      </c>
      <c r="I50" s="13">
        <f t="shared" si="7"/>
        <v>2320.056184</v>
      </c>
      <c r="J50" s="24"/>
      <c r="L50" s="19"/>
      <c r="M50" s="20"/>
      <c r="N50" s="21"/>
    </row>
    <row r="51" spans="1:22" ht="32.25" hidden="1" customHeight="1">
      <c r="A51" s="30"/>
      <c r="B51" s="62" t="s">
        <v>86</v>
      </c>
      <c r="C51" s="63" t="s">
        <v>38</v>
      </c>
      <c r="D51" s="62" t="s">
        <v>42</v>
      </c>
      <c r="E51" s="64">
        <v>9</v>
      </c>
      <c r="F51" s="65">
        <f>SUM(E51*2/100)</f>
        <v>0.18</v>
      </c>
      <c r="G51" s="13">
        <v>3850.4</v>
      </c>
      <c r="H51" s="66">
        <f t="shared" si="6"/>
        <v>0.69307200000000002</v>
      </c>
      <c r="I51" s="13">
        <f t="shared" si="7"/>
        <v>346.536</v>
      </c>
      <c r="J51" s="24"/>
      <c r="L51" s="19"/>
      <c r="M51" s="20"/>
      <c r="N51" s="21"/>
    </row>
    <row r="52" spans="1:22" ht="15.75" hidden="1" customHeight="1">
      <c r="A52" s="30"/>
      <c r="B52" s="62" t="s">
        <v>39</v>
      </c>
      <c r="C52" s="63" t="s">
        <v>40</v>
      </c>
      <c r="D52" s="62" t="s">
        <v>42</v>
      </c>
      <c r="E52" s="64">
        <v>1</v>
      </c>
      <c r="F52" s="65">
        <v>0.02</v>
      </c>
      <c r="G52" s="13">
        <v>7033.13</v>
      </c>
      <c r="H52" s="66">
        <f t="shared" si="6"/>
        <v>0.1406626</v>
      </c>
      <c r="I52" s="13">
        <f t="shared" si="7"/>
        <v>70.331299999999999</v>
      </c>
      <c r="J52" s="24"/>
      <c r="L52" s="19"/>
      <c r="M52" s="20"/>
      <c r="N52" s="21"/>
    </row>
    <row r="53" spans="1:22" ht="15.75" hidden="1" customHeight="1">
      <c r="A53" s="30">
        <v>13</v>
      </c>
      <c r="B53" s="62" t="s">
        <v>41</v>
      </c>
      <c r="C53" s="63" t="s">
        <v>103</v>
      </c>
      <c r="D53" s="62" t="s">
        <v>68</v>
      </c>
      <c r="E53" s="64">
        <v>53</v>
      </c>
      <c r="F53" s="65">
        <f>53*3</f>
        <v>159</v>
      </c>
      <c r="G53" s="13">
        <v>81.73</v>
      </c>
      <c r="H53" s="66">
        <f t="shared" si="6"/>
        <v>12.995070000000002</v>
      </c>
      <c r="I53" s="13">
        <f>F53/3*G53</f>
        <v>4331.6900000000005</v>
      </c>
      <c r="J53" s="24"/>
      <c r="L53" s="19"/>
    </row>
    <row r="54" spans="1:22" ht="15.75" customHeight="1">
      <c r="A54" s="180" t="s">
        <v>136</v>
      </c>
      <c r="B54" s="181"/>
      <c r="C54" s="181"/>
      <c r="D54" s="181"/>
      <c r="E54" s="181"/>
      <c r="F54" s="181"/>
      <c r="G54" s="181"/>
      <c r="H54" s="181"/>
      <c r="I54" s="182"/>
    </row>
    <row r="55" spans="1:22" ht="15.75" hidden="1" customHeight="1">
      <c r="A55" s="30"/>
      <c r="B55" s="82" t="s">
        <v>43</v>
      </c>
      <c r="C55" s="63"/>
      <c r="D55" s="62"/>
      <c r="E55" s="64"/>
      <c r="F55" s="65"/>
      <c r="G55" s="65"/>
      <c r="H55" s="66"/>
      <c r="I55" s="13"/>
    </row>
    <row r="56" spans="1:22" ht="31.5" hidden="1" customHeight="1">
      <c r="A56" s="30">
        <v>14</v>
      </c>
      <c r="B56" s="62" t="s">
        <v>104</v>
      </c>
      <c r="C56" s="63" t="s">
        <v>81</v>
      </c>
      <c r="D56" s="62" t="s">
        <v>105</v>
      </c>
      <c r="E56" s="64">
        <v>11.5</v>
      </c>
      <c r="F56" s="65">
        <f>SUM(E56*6/100)</f>
        <v>0.69</v>
      </c>
      <c r="G56" s="13">
        <v>2306.62</v>
      </c>
      <c r="H56" s="66">
        <f>SUM(F56*G56/1000)</f>
        <v>1.5915677999999998</v>
      </c>
      <c r="I56" s="13">
        <f>F56/6*G56</f>
        <v>265.26129999999995</v>
      </c>
    </row>
    <row r="57" spans="1:22" ht="15.75" hidden="1" customHeight="1">
      <c r="A57" s="30"/>
      <c r="B57" s="62" t="s">
        <v>121</v>
      </c>
      <c r="C57" s="63" t="s">
        <v>122</v>
      </c>
      <c r="D57" s="62" t="s">
        <v>65</v>
      </c>
      <c r="E57" s="64"/>
      <c r="F57" s="65">
        <v>2</v>
      </c>
      <c r="G57" s="85">
        <v>1501</v>
      </c>
      <c r="H57" s="66">
        <f>SUM(F57*G57/1000)</f>
        <v>3.0019999999999998</v>
      </c>
      <c r="I57" s="13">
        <v>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customHeight="1">
      <c r="A58" s="30"/>
      <c r="B58" s="82" t="s">
        <v>44</v>
      </c>
      <c r="C58" s="63"/>
      <c r="D58" s="62"/>
      <c r="E58" s="64"/>
      <c r="F58" s="65"/>
      <c r="G58" s="86"/>
      <c r="H58" s="66"/>
      <c r="I58" s="13"/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/>
      <c r="B59" s="62" t="s">
        <v>106</v>
      </c>
      <c r="C59" s="63" t="s">
        <v>81</v>
      </c>
      <c r="D59" s="62" t="s">
        <v>53</v>
      </c>
      <c r="E59" s="64">
        <v>148</v>
      </c>
      <c r="F59" s="66">
        <f>E59/100</f>
        <v>1.48</v>
      </c>
      <c r="G59" s="13">
        <v>987.51</v>
      </c>
      <c r="H59" s="71">
        <f>F59*G59/1000</f>
        <v>1.4615148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customHeight="1">
      <c r="A60" s="30">
        <v>10</v>
      </c>
      <c r="B60" s="112" t="s">
        <v>131</v>
      </c>
      <c r="C60" s="113" t="s">
        <v>25</v>
      </c>
      <c r="D60" s="112" t="s">
        <v>161</v>
      </c>
      <c r="E60" s="114">
        <v>110</v>
      </c>
      <c r="F60" s="115">
        <f>E60*12</f>
        <v>1320</v>
      </c>
      <c r="G60" s="116">
        <v>1.4</v>
      </c>
      <c r="H60" s="117">
        <f>F60*G60/1000</f>
        <v>1.8479999999999999</v>
      </c>
      <c r="I60" s="13">
        <f>F60/12*G60</f>
        <v>154</v>
      </c>
      <c r="J60" s="5"/>
      <c r="K60" s="5"/>
      <c r="L60" s="5"/>
      <c r="M60" s="5"/>
      <c r="N60" s="5"/>
      <c r="O60" s="5"/>
      <c r="P60" s="5"/>
      <c r="Q60" s="5"/>
      <c r="R60" s="173"/>
      <c r="S60" s="173"/>
      <c r="T60" s="173"/>
      <c r="U60" s="173"/>
    </row>
    <row r="61" spans="1:22" ht="15.75" customHeight="1">
      <c r="A61" s="30"/>
      <c r="B61" s="83" t="s">
        <v>45</v>
      </c>
      <c r="C61" s="72"/>
      <c r="D61" s="73"/>
      <c r="E61" s="74"/>
      <c r="F61" s="75"/>
      <c r="G61" s="75"/>
      <c r="H61" s="76" t="s">
        <v>115</v>
      </c>
      <c r="I61" s="13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ht="15.75" hidden="1" customHeight="1">
      <c r="A62" s="30">
        <v>16</v>
      </c>
      <c r="B62" s="14" t="s">
        <v>46</v>
      </c>
      <c r="C62" s="16" t="s">
        <v>103</v>
      </c>
      <c r="D62" s="14" t="s">
        <v>65</v>
      </c>
      <c r="E62" s="18">
        <v>2</v>
      </c>
      <c r="F62" s="65">
        <f>E62</f>
        <v>2</v>
      </c>
      <c r="G62" s="13">
        <v>276.74</v>
      </c>
      <c r="H62" s="61">
        <f t="shared" ref="H62:H78" si="8">SUM(F62*G62/1000)</f>
        <v>0.55347999999999997</v>
      </c>
      <c r="I62" s="13">
        <f>G62</f>
        <v>276.74</v>
      </c>
    </row>
    <row r="63" spans="1:22" ht="15.75" hidden="1" customHeight="1">
      <c r="A63" s="30"/>
      <c r="B63" s="14" t="s">
        <v>47</v>
      </c>
      <c r="C63" s="16" t="s">
        <v>103</v>
      </c>
      <c r="D63" s="14" t="s">
        <v>65</v>
      </c>
      <c r="E63" s="18">
        <v>1</v>
      </c>
      <c r="F63" s="65">
        <f>E63</f>
        <v>1</v>
      </c>
      <c r="G63" s="13">
        <v>94.89</v>
      </c>
      <c r="H63" s="61">
        <f t="shared" si="8"/>
        <v>9.4890000000000002E-2</v>
      </c>
      <c r="I63" s="13">
        <v>0</v>
      </c>
    </row>
    <row r="64" spans="1:22" ht="15.75" hidden="1" customHeight="1">
      <c r="A64" s="30"/>
      <c r="B64" s="14" t="s">
        <v>48</v>
      </c>
      <c r="C64" s="16" t="s">
        <v>107</v>
      </c>
      <c r="D64" s="14" t="s">
        <v>53</v>
      </c>
      <c r="E64" s="64">
        <v>6307</v>
      </c>
      <c r="F64" s="13">
        <f>SUM(E64/100)</f>
        <v>63.07</v>
      </c>
      <c r="G64" s="13">
        <v>263.99</v>
      </c>
      <c r="H64" s="61">
        <f t="shared" si="8"/>
        <v>16.649849300000003</v>
      </c>
      <c r="I64" s="13">
        <v>0</v>
      </c>
    </row>
    <row r="65" spans="1:9" ht="15.75" hidden="1" customHeight="1">
      <c r="A65" s="30"/>
      <c r="B65" s="14" t="s">
        <v>49</v>
      </c>
      <c r="C65" s="16" t="s">
        <v>108</v>
      </c>
      <c r="D65" s="14"/>
      <c r="E65" s="64">
        <v>6307</v>
      </c>
      <c r="F65" s="13">
        <f>SUM(E65/1000)</f>
        <v>6.3070000000000004</v>
      </c>
      <c r="G65" s="13">
        <v>205.57</v>
      </c>
      <c r="H65" s="61">
        <f t="shared" si="8"/>
        <v>1.29652999</v>
      </c>
      <c r="I65" s="13">
        <v>0</v>
      </c>
    </row>
    <row r="66" spans="1:9" ht="15.75" hidden="1" customHeight="1">
      <c r="A66" s="30"/>
      <c r="B66" s="14" t="s">
        <v>50</v>
      </c>
      <c r="C66" s="16" t="s">
        <v>74</v>
      </c>
      <c r="D66" s="14" t="s">
        <v>53</v>
      </c>
      <c r="E66" s="64">
        <v>1003</v>
      </c>
      <c r="F66" s="13">
        <f>SUM(E66/100)</f>
        <v>10.029999999999999</v>
      </c>
      <c r="G66" s="13">
        <v>2581.5300000000002</v>
      </c>
      <c r="H66" s="61">
        <f t="shared" si="8"/>
        <v>25.892745900000001</v>
      </c>
      <c r="I66" s="13">
        <v>0</v>
      </c>
    </row>
    <row r="67" spans="1:9" ht="15.75" hidden="1" customHeight="1">
      <c r="A67" s="30"/>
      <c r="B67" s="77" t="s">
        <v>109</v>
      </c>
      <c r="C67" s="16" t="s">
        <v>32</v>
      </c>
      <c r="D67" s="14"/>
      <c r="E67" s="64">
        <v>6.6</v>
      </c>
      <c r="F67" s="13">
        <f>SUM(E67)</f>
        <v>6.6</v>
      </c>
      <c r="G67" s="13">
        <v>47.75</v>
      </c>
      <c r="H67" s="61">
        <f t="shared" si="8"/>
        <v>0.31514999999999999</v>
      </c>
      <c r="I67" s="13">
        <v>0</v>
      </c>
    </row>
    <row r="68" spans="1:9" ht="15.75" hidden="1" customHeight="1">
      <c r="A68" s="30"/>
      <c r="B68" s="77" t="s">
        <v>110</v>
      </c>
      <c r="C68" s="16" t="s">
        <v>32</v>
      </c>
      <c r="D68" s="14"/>
      <c r="E68" s="64">
        <v>6.6</v>
      </c>
      <c r="F68" s="13">
        <f>SUM(E68)</f>
        <v>6.6</v>
      </c>
      <c r="G68" s="13">
        <v>44.27</v>
      </c>
      <c r="H68" s="61">
        <f t="shared" si="8"/>
        <v>0.292182</v>
      </c>
      <c r="I68" s="13">
        <v>0</v>
      </c>
    </row>
    <row r="69" spans="1:9" ht="15.75" hidden="1" customHeight="1">
      <c r="A69" s="30">
        <v>19</v>
      </c>
      <c r="B69" s="14" t="s">
        <v>56</v>
      </c>
      <c r="C69" s="16" t="s">
        <v>57</v>
      </c>
      <c r="D69" s="14" t="s">
        <v>53</v>
      </c>
      <c r="E69" s="18">
        <v>3</v>
      </c>
      <c r="F69" s="65">
        <v>3</v>
      </c>
      <c r="G69" s="13">
        <v>62.07</v>
      </c>
      <c r="H69" s="61">
        <f t="shared" si="8"/>
        <v>0.18621000000000001</v>
      </c>
      <c r="I69" s="13">
        <f>F69*G69</f>
        <v>186.21</v>
      </c>
    </row>
    <row r="70" spans="1:9" ht="15.75" customHeight="1">
      <c r="A70" s="30">
        <v>11</v>
      </c>
      <c r="B70" s="14" t="s">
        <v>123</v>
      </c>
      <c r="C70" s="30" t="s">
        <v>124</v>
      </c>
      <c r="D70" s="14"/>
      <c r="E70" s="18">
        <v>1536.4</v>
      </c>
      <c r="F70" s="56">
        <f>E70*12</f>
        <v>18436.800000000003</v>
      </c>
      <c r="G70" s="13">
        <v>2.16</v>
      </c>
      <c r="H70" s="61">
        <f t="shared" si="8"/>
        <v>39.823488000000012</v>
      </c>
      <c r="I70" s="13">
        <f>F70/12*G70</f>
        <v>3318.6240000000007</v>
      </c>
    </row>
    <row r="71" spans="1:9" ht="15.75" customHeight="1">
      <c r="A71" s="30"/>
      <c r="B71" s="93" t="s">
        <v>69</v>
      </c>
      <c r="C71" s="16"/>
      <c r="D71" s="14"/>
      <c r="E71" s="18"/>
      <c r="F71" s="13"/>
      <c r="G71" s="13"/>
      <c r="H71" s="61" t="s">
        <v>115</v>
      </c>
      <c r="I71" s="13"/>
    </row>
    <row r="72" spans="1:9" ht="15.75" hidden="1" customHeight="1">
      <c r="A72" s="30"/>
      <c r="B72" s="14" t="s">
        <v>125</v>
      </c>
      <c r="C72" s="16" t="s">
        <v>126</v>
      </c>
      <c r="D72" s="14" t="s">
        <v>65</v>
      </c>
      <c r="E72" s="18">
        <v>1</v>
      </c>
      <c r="F72" s="13">
        <f>E72</f>
        <v>1</v>
      </c>
      <c r="G72" s="13">
        <v>976.4</v>
      </c>
      <c r="H72" s="61">
        <f t="shared" ref="H72:H73" si="9">SUM(F72*G72/1000)</f>
        <v>0.97639999999999993</v>
      </c>
      <c r="I72" s="13">
        <v>0</v>
      </c>
    </row>
    <row r="73" spans="1:9" ht="15.75" hidden="1" customHeight="1">
      <c r="A73" s="30"/>
      <c r="B73" s="14" t="s">
        <v>127</v>
      </c>
      <c r="C73" s="16" t="s">
        <v>128</v>
      </c>
      <c r="D73" s="14"/>
      <c r="E73" s="18">
        <v>1</v>
      </c>
      <c r="F73" s="13">
        <v>1</v>
      </c>
      <c r="G73" s="13">
        <v>650</v>
      </c>
      <c r="H73" s="61">
        <f t="shared" si="9"/>
        <v>0.65</v>
      </c>
      <c r="I73" s="13">
        <v>0</v>
      </c>
    </row>
    <row r="74" spans="1:9" ht="15.75" hidden="1" customHeight="1">
      <c r="A74" s="30"/>
      <c r="B74" s="14" t="s">
        <v>70</v>
      </c>
      <c r="C74" s="16" t="s">
        <v>72</v>
      </c>
      <c r="D74" s="14"/>
      <c r="E74" s="18">
        <v>3</v>
      </c>
      <c r="F74" s="13">
        <v>0.3</v>
      </c>
      <c r="G74" s="13">
        <v>624.16999999999996</v>
      </c>
      <c r="H74" s="61">
        <f t="shared" si="8"/>
        <v>0.18725099999999997</v>
      </c>
      <c r="I74" s="13">
        <v>0</v>
      </c>
    </row>
    <row r="75" spans="1:9" ht="15.75" hidden="1" customHeight="1">
      <c r="A75" s="30"/>
      <c r="B75" s="14" t="s">
        <v>71</v>
      </c>
      <c r="C75" s="16" t="s">
        <v>30</v>
      </c>
      <c r="D75" s="14"/>
      <c r="E75" s="18">
        <v>1</v>
      </c>
      <c r="F75" s="56">
        <v>1</v>
      </c>
      <c r="G75" s="13">
        <v>1061.4100000000001</v>
      </c>
      <c r="H75" s="61">
        <f>F75*G75/1000</f>
        <v>1.0614100000000002</v>
      </c>
      <c r="I75" s="13">
        <v>0</v>
      </c>
    </row>
    <row r="76" spans="1:9" ht="15.75" customHeight="1">
      <c r="A76" s="30">
        <v>12</v>
      </c>
      <c r="B76" s="46" t="s">
        <v>129</v>
      </c>
      <c r="C76" s="47" t="s">
        <v>103</v>
      </c>
      <c r="D76" s="14" t="s">
        <v>173</v>
      </c>
      <c r="E76" s="18">
        <v>1</v>
      </c>
      <c r="F76" s="13">
        <f>E76*12</f>
        <v>12</v>
      </c>
      <c r="G76" s="13">
        <v>50.69</v>
      </c>
      <c r="H76" s="61">
        <f>G76*F76/1000</f>
        <v>0.60827999999999993</v>
      </c>
      <c r="I76" s="13">
        <f>G76</f>
        <v>50.69</v>
      </c>
    </row>
    <row r="77" spans="1:9" ht="15.75" hidden="1" customHeight="1">
      <c r="A77" s="30"/>
      <c r="B77" s="79" t="s">
        <v>73</v>
      </c>
      <c r="C77" s="16"/>
      <c r="D77" s="14"/>
      <c r="E77" s="18"/>
      <c r="F77" s="13"/>
      <c r="G77" s="13" t="s">
        <v>115</v>
      </c>
      <c r="H77" s="61" t="s">
        <v>115</v>
      </c>
      <c r="I77" s="13" t="str">
        <f>G77</f>
        <v xml:space="preserve"> </v>
      </c>
    </row>
    <row r="78" spans="1:9" ht="15.75" hidden="1" customHeight="1">
      <c r="A78" s="30"/>
      <c r="B78" s="43" t="s">
        <v>130</v>
      </c>
      <c r="C78" s="16" t="s">
        <v>74</v>
      </c>
      <c r="D78" s="14"/>
      <c r="E78" s="18"/>
      <c r="F78" s="13">
        <v>0.1</v>
      </c>
      <c r="G78" s="13">
        <v>3433.69</v>
      </c>
      <c r="H78" s="61">
        <f t="shared" si="8"/>
        <v>0.34336900000000004</v>
      </c>
      <c r="I78" s="13">
        <v>0</v>
      </c>
    </row>
    <row r="79" spans="1:9" ht="15.75" hidden="1" customHeight="1">
      <c r="A79" s="30"/>
      <c r="B79" s="55" t="s">
        <v>87</v>
      </c>
      <c r="C79" s="79"/>
      <c r="D79" s="31"/>
      <c r="E79" s="32"/>
      <c r="F79" s="68"/>
      <c r="G79" s="68"/>
      <c r="H79" s="80">
        <f>SUM(H56:H78)</f>
        <v>96.834317790000014</v>
      </c>
      <c r="I79" s="13"/>
    </row>
    <row r="80" spans="1:9" ht="15.75" hidden="1" customHeight="1">
      <c r="A80" s="30"/>
      <c r="B80" s="62" t="s">
        <v>111</v>
      </c>
      <c r="C80" s="16"/>
      <c r="D80" s="14"/>
      <c r="E80" s="57"/>
      <c r="F80" s="13">
        <v>1</v>
      </c>
      <c r="G80" s="35">
        <v>6105.8</v>
      </c>
      <c r="H80" s="61">
        <f>G80*F80/1000</f>
        <v>6.1058000000000003</v>
      </c>
      <c r="I80" s="13">
        <v>0</v>
      </c>
    </row>
    <row r="81" spans="1:9" ht="15.75" customHeight="1">
      <c r="A81" s="180" t="s">
        <v>137</v>
      </c>
      <c r="B81" s="181"/>
      <c r="C81" s="181"/>
      <c r="D81" s="181"/>
      <c r="E81" s="181"/>
      <c r="F81" s="181"/>
      <c r="G81" s="181"/>
      <c r="H81" s="181"/>
      <c r="I81" s="182"/>
    </row>
    <row r="82" spans="1:9" ht="15.75" customHeight="1">
      <c r="A82" s="30">
        <v>13</v>
      </c>
      <c r="B82" s="62" t="s">
        <v>112</v>
      </c>
      <c r="C82" s="16" t="s">
        <v>54</v>
      </c>
      <c r="D82" s="81"/>
      <c r="E82" s="13">
        <v>1536.4</v>
      </c>
      <c r="F82" s="13">
        <f>SUM(E82*12)</f>
        <v>18436.800000000003</v>
      </c>
      <c r="G82" s="13">
        <v>2.95</v>
      </c>
      <c r="H82" s="61">
        <f>SUM(F82*G82/1000)</f>
        <v>54.388560000000012</v>
      </c>
      <c r="I82" s="13">
        <f>F82/12*G82</f>
        <v>4532.380000000001</v>
      </c>
    </row>
    <row r="83" spans="1:9" ht="31.5" customHeight="1">
      <c r="A83" s="30">
        <v>14</v>
      </c>
      <c r="B83" s="14" t="s">
        <v>75</v>
      </c>
      <c r="C83" s="16"/>
      <c r="D83" s="81"/>
      <c r="E83" s="64">
        <f>E82</f>
        <v>1536.4</v>
      </c>
      <c r="F83" s="13">
        <f>E83*12</f>
        <v>18436.800000000003</v>
      </c>
      <c r="G83" s="13">
        <v>3.05</v>
      </c>
      <c r="H83" s="61">
        <f>F83*G83/1000</f>
        <v>56.232240000000004</v>
      </c>
      <c r="I83" s="13">
        <f>F83/12*G83</f>
        <v>4686.0200000000004</v>
      </c>
    </row>
    <row r="84" spans="1:9" ht="15.75" customHeight="1">
      <c r="A84" s="30"/>
      <c r="B84" s="36" t="s">
        <v>77</v>
      </c>
      <c r="C84" s="79"/>
      <c r="D84" s="78"/>
      <c r="E84" s="68"/>
      <c r="F84" s="68"/>
      <c r="G84" s="68"/>
      <c r="H84" s="80">
        <f>H83</f>
        <v>56.232240000000004</v>
      </c>
      <c r="I84" s="68">
        <f>I83+I82+I76+I70+I60+I49+I40+I39+I38+I37+I27+I18+I17+I16</f>
        <v>24172.26281816667</v>
      </c>
    </row>
    <row r="85" spans="1:9" ht="15.75" customHeight="1">
      <c r="A85" s="166" t="s">
        <v>59</v>
      </c>
      <c r="B85" s="167"/>
      <c r="C85" s="167"/>
      <c r="D85" s="167"/>
      <c r="E85" s="167"/>
      <c r="F85" s="167"/>
      <c r="G85" s="167"/>
      <c r="H85" s="167"/>
      <c r="I85" s="168"/>
    </row>
    <row r="86" spans="1:9" ht="30.75" customHeight="1">
      <c r="A86" s="30">
        <v>15</v>
      </c>
      <c r="B86" s="110" t="s">
        <v>160</v>
      </c>
      <c r="C86" s="111" t="s">
        <v>29</v>
      </c>
      <c r="D86" s="43"/>
      <c r="E86" s="13"/>
      <c r="F86" s="13">
        <v>52</v>
      </c>
      <c r="G86" s="120">
        <v>20547.34</v>
      </c>
      <c r="H86" s="13">
        <f t="shared" ref="H86" si="10">G86*F86/1000</f>
        <v>1068.4616799999999</v>
      </c>
      <c r="I86" s="13">
        <f>G86*0.599*6/1000</f>
        <v>73.847139960000007</v>
      </c>
    </row>
    <row r="87" spans="1:9" ht="18" customHeight="1">
      <c r="A87" s="30">
        <v>16</v>
      </c>
      <c r="B87" s="110" t="s">
        <v>181</v>
      </c>
      <c r="C87" s="111" t="s">
        <v>103</v>
      </c>
      <c r="D87" s="101"/>
      <c r="E87" s="34"/>
      <c r="F87" s="34">
        <v>2</v>
      </c>
      <c r="G87" s="34">
        <v>496.43</v>
      </c>
      <c r="H87" s="13"/>
      <c r="I87" s="13">
        <f>G87*2</f>
        <v>992.86</v>
      </c>
    </row>
    <row r="88" spans="1:9" ht="30.75" customHeight="1">
      <c r="A88" s="30">
        <v>17</v>
      </c>
      <c r="B88" s="110" t="s">
        <v>178</v>
      </c>
      <c r="C88" s="111" t="s">
        <v>155</v>
      </c>
      <c r="D88" s="130" t="s">
        <v>185</v>
      </c>
      <c r="E88" s="34"/>
      <c r="F88" s="34">
        <v>1.5</v>
      </c>
      <c r="G88" s="34">
        <v>1523.6</v>
      </c>
      <c r="H88" s="13"/>
      <c r="I88" s="13">
        <f>G88*1.5</f>
        <v>2285.3999999999996</v>
      </c>
    </row>
    <row r="89" spans="1:9" ht="14.25" customHeight="1">
      <c r="A89" s="30">
        <v>18</v>
      </c>
      <c r="B89" s="110" t="s">
        <v>177</v>
      </c>
      <c r="C89" s="111" t="s">
        <v>78</v>
      </c>
      <c r="D89" s="130" t="s">
        <v>183</v>
      </c>
      <c r="E89" s="34"/>
      <c r="F89" s="34">
        <v>1</v>
      </c>
      <c r="G89" s="34">
        <v>222.63</v>
      </c>
      <c r="H89" s="13"/>
      <c r="I89" s="13">
        <f>G89*1</f>
        <v>222.63</v>
      </c>
    </row>
    <row r="90" spans="1:9" ht="30.75" customHeight="1">
      <c r="A90" s="30">
        <v>19</v>
      </c>
      <c r="B90" s="110" t="s">
        <v>182</v>
      </c>
      <c r="C90" s="111" t="s">
        <v>174</v>
      </c>
      <c r="D90" s="131" t="s">
        <v>184</v>
      </c>
      <c r="E90" s="34"/>
      <c r="F90" s="34">
        <v>2</v>
      </c>
      <c r="G90" s="34">
        <v>587.65</v>
      </c>
      <c r="H90" s="13"/>
      <c r="I90" s="13">
        <f>G90*2</f>
        <v>1175.3</v>
      </c>
    </row>
    <row r="91" spans="1:9" ht="15.75" customHeight="1">
      <c r="A91" s="30"/>
      <c r="B91" s="41" t="s">
        <v>51</v>
      </c>
      <c r="C91" s="37"/>
      <c r="D91" s="44"/>
      <c r="E91" s="37">
        <v>1</v>
      </c>
      <c r="F91" s="37"/>
      <c r="G91" s="37"/>
      <c r="H91" s="37"/>
      <c r="I91" s="32">
        <f>SUM(I86:I90)</f>
        <v>4750.0371399599999</v>
      </c>
    </row>
    <row r="92" spans="1:9" ht="15.75" customHeight="1">
      <c r="A92" s="30"/>
      <c r="B92" s="43" t="s">
        <v>76</v>
      </c>
      <c r="C92" s="15"/>
      <c r="D92" s="15"/>
      <c r="E92" s="38"/>
      <c r="F92" s="38"/>
      <c r="G92" s="39"/>
      <c r="H92" s="39"/>
      <c r="I92" s="17">
        <v>0</v>
      </c>
    </row>
    <row r="93" spans="1:9">
      <c r="A93" s="45"/>
      <c r="B93" s="42" t="s">
        <v>153</v>
      </c>
      <c r="C93" s="33"/>
      <c r="D93" s="33"/>
      <c r="E93" s="33"/>
      <c r="F93" s="33"/>
      <c r="G93" s="33"/>
      <c r="H93" s="33"/>
      <c r="I93" s="40">
        <f>I84+I91</f>
        <v>28922.29995812667</v>
      </c>
    </row>
    <row r="94" spans="1:9" ht="15.75">
      <c r="A94" s="175" t="s">
        <v>186</v>
      </c>
      <c r="B94" s="175"/>
      <c r="C94" s="175"/>
      <c r="D94" s="175"/>
      <c r="E94" s="175"/>
      <c r="F94" s="175"/>
      <c r="G94" s="175"/>
      <c r="H94" s="175"/>
      <c r="I94" s="175"/>
    </row>
    <row r="95" spans="1:9" ht="15.75" customHeight="1">
      <c r="A95" s="54"/>
      <c r="B95" s="176" t="s">
        <v>187</v>
      </c>
      <c r="C95" s="176"/>
      <c r="D95" s="176"/>
      <c r="E95" s="176"/>
      <c r="F95" s="176"/>
      <c r="G95" s="176"/>
      <c r="H95" s="60"/>
      <c r="I95" s="3"/>
    </row>
    <row r="96" spans="1:9">
      <c r="A96" s="91"/>
      <c r="B96" s="171" t="s">
        <v>6</v>
      </c>
      <c r="C96" s="171"/>
      <c r="D96" s="171"/>
      <c r="E96" s="171"/>
      <c r="F96" s="171"/>
      <c r="G96" s="171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77" t="s">
        <v>7</v>
      </c>
      <c r="B98" s="177"/>
      <c r="C98" s="177"/>
      <c r="D98" s="177"/>
      <c r="E98" s="177"/>
      <c r="F98" s="177"/>
      <c r="G98" s="177"/>
      <c r="H98" s="177"/>
      <c r="I98" s="177"/>
    </row>
    <row r="99" spans="1:9" ht="15.75" customHeight="1">
      <c r="A99" s="177" t="s">
        <v>8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>
      <c r="A100" s="178" t="s">
        <v>60</v>
      </c>
      <c r="B100" s="178"/>
      <c r="C100" s="178"/>
      <c r="D100" s="178"/>
      <c r="E100" s="178"/>
      <c r="F100" s="178"/>
      <c r="G100" s="178"/>
      <c r="H100" s="178"/>
      <c r="I100" s="178"/>
    </row>
    <row r="101" spans="1:9" ht="15.75">
      <c r="A101" s="11"/>
    </row>
    <row r="102" spans="1:9" ht="15.75">
      <c r="A102" s="169" t="s">
        <v>9</v>
      </c>
      <c r="B102" s="169"/>
      <c r="C102" s="169"/>
      <c r="D102" s="169"/>
      <c r="E102" s="169"/>
      <c r="F102" s="169"/>
      <c r="G102" s="169"/>
      <c r="H102" s="169"/>
      <c r="I102" s="169"/>
    </row>
    <row r="103" spans="1:9" ht="15.75">
      <c r="A103" s="4"/>
    </row>
    <row r="104" spans="1:9" ht="15.75">
      <c r="B104" s="88" t="s">
        <v>10</v>
      </c>
      <c r="C104" s="170" t="s">
        <v>133</v>
      </c>
      <c r="D104" s="170"/>
      <c r="E104" s="170"/>
      <c r="F104" s="58"/>
      <c r="I104" s="90"/>
    </row>
    <row r="105" spans="1:9">
      <c r="A105" s="91"/>
      <c r="C105" s="171" t="s">
        <v>11</v>
      </c>
      <c r="D105" s="171"/>
      <c r="E105" s="171"/>
      <c r="F105" s="25"/>
      <c r="I105" s="89" t="s">
        <v>12</v>
      </c>
    </row>
    <row r="106" spans="1:9" ht="15.75">
      <c r="A106" s="26"/>
      <c r="C106" s="12"/>
      <c r="D106" s="12"/>
      <c r="G106" s="12"/>
      <c r="H106" s="12"/>
    </row>
    <row r="107" spans="1:9" ht="15.75" customHeight="1">
      <c r="B107" s="88" t="s">
        <v>13</v>
      </c>
      <c r="C107" s="172"/>
      <c r="D107" s="172"/>
      <c r="E107" s="172"/>
      <c r="F107" s="59"/>
      <c r="I107" s="90"/>
    </row>
    <row r="108" spans="1:9" ht="15.75" customHeight="1">
      <c r="A108" s="91"/>
      <c r="C108" s="173" t="s">
        <v>11</v>
      </c>
      <c r="D108" s="173"/>
      <c r="E108" s="173"/>
      <c r="F108" s="91"/>
      <c r="I108" s="89" t="s">
        <v>12</v>
      </c>
    </row>
    <row r="109" spans="1:9" ht="15.75" customHeight="1">
      <c r="A109" s="4" t="s">
        <v>14</v>
      </c>
    </row>
    <row r="110" spans="1:9">
      <c r="A110" s="174" t="s">
        <v>15</v>
      </c>
      <c r="B110" s="174"/>
      <c r="C110" s="174"/>
      <c r="D110" s="174"/>
      <c r="E110" s="174"/>
      <c r="F110" s="174"/>
      <c r="G110" s="174"/>
      <c r="H110" s="174"/>
      <c r="I110" s="174"/>
    </row>
    <row r="111" spans="1:9" ht="45" customHeight="1">
      <c r="A111" s="165" t="s">
        <v>16</v>
      </c>
      <c r="B111" s="165"/>
      <c r="C111" s="165"/>
      <c r="D111" s="165"/>
      <c r="E111" s="165"/>
      <c r="F111" s="165"/>
      <c r="G111" s="165"/>
      <c r="H111" s="165"/>
      <c r="I111" s="165"/>
    </row>
    <row r="112" spans="1:9" ht="30" customHeight="1">
      <c r="A112" s="165" t="s">
        <v>17</v>
      </c>
      <c r="B112" s="165"/>
      <c r="C112" s="165"/>
      <c r="D112" s="165"/>
      <c r="E112" s="165"/>
      <c r="F112" s="165"/>
      <c r="G112" s="165"/>
      <c r="H112" s="165"/>
      <c r="I112" s="165"/>
    </row>
    <row r="113" spans="1:9" ht="30" customHeight="1">
      <c r="A113" s="165" t="s">
        <v>21</v>
      </c>
      <c r="B113" s="165"/>
      <c r="C113" s="165"/>
      <c r="D113" s="165"/>
      <c r="E113" s="165"/>
      <c r="F113" s="165"/>
      <c r="G113" s="165"/>
      <c r="H113" s="165"/>
      <c r="I113" s="165"/>
    </row>
    <row r="114" spans="1:9" ht="15" customHeight="1">
      <c r="A114" s="165" t="s">
        <v>20</v>
      </c>
      <c r="B114" s="165"/>
      <c r="C114" s="165"/>
      <c r="D114" s="165"/>
      <c r="E114" s="165"/>
      <c r="F114" s="165"/>
      <c r="G114" s="165"/>
      <c r="H114" s="165"/>
      <c r="I114" s="165"/>
    </row>
  </sheetData>
  <autoFilter ref="I12:I55"/>
  <mergeCells count="29">
    <mergeCell ref="R60:U60"/>
    <mergeCell ref="A81:I81"/>
    <mergeCell ref="A3:I3"/>
    <mergeCell ref="A4:I4"/>
    <mergeCell ref="A5:I5"/>
    <mergeCell ref="A8:I8"/>
    <mergeCell ref="A10:I10"/>
    <mergeCell ref="A14:I14"/>
    <mergeCell ref="A100:I100"/>
    <mergeCell ref="A15:I15"/>
    <mergeCell ref="A28:I28"/>
    <mergeCell ref="A43:I43"/>
    <mergeCell ref="A54:I54"/>
    <mergeCell ref="A111:I111"/>
    <mergeCell ref="A112:I112"/>
    <mergeCell ref="A113:I113"/>
    <mergeCell ref="A114:I114"/>
    <mergeCell ref="A85:I85"/>
    <mergeCell ref="A102:I102"/>
    <mergeCell ref="C104:E104"/>
    <mergeCell ref="C105:E105"/>
    <mergeCell ref="C107:E107"/>
    <mergeCell ref="C108:E108"/>
    <mergeCell ref="A110:I110"/>
    <mergeCell ref="A94:I94"/>
    <mergeCell ref="B95:G95"/>
    <mergeCell ref="B96:G96"/>
    <mergeCell ref="A98:I98"/>
    <mergeCell ref="A99:I99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3"/>
  <sheetViews>
    <sheetView topLeftCell="A69" workbookViewId="0">
      <selection activeCell="A97" sqref="A97: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83" t="s">
        <v>148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132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248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49"/>
      <c r="C6" s="49"/>
      <c r="D6" s="49"/>
      <c r="E6" s="49"/>
      <c r="F6" s="49"/>
      <c r="G6" s="49"/>
      <c r="H6" s="49"/>
      <c r="I6" s="84">
        <v>44135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249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7" t="s">
        <v>149</v>
      </c>
      <c r="B10" s="187"/>
      <c r="C10" s="187"/>
      <c r="D10" s="187"/>
      <c r="E10" s="187"/>
      <c r="F10" s="187"/>
      <c r="G10" s="187"/>
      <c r="H10" s="187"/>
      <c r="I10" s="18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123" t="s">
        <v>80</v>
      </c>
      <c r="C16" s="124" t="s">
        <v>81</v>
      </c>
      <c r="D16" s="123" t="s">
        <v>195</v>
      </c>
      <c r="E16" s="128">
        <v>54.9</v>
      </c>
      <c r="F16" s="115">
        <f>SUM(E16*156/100)</f>
        <v>85.643999999999991</v>
      </c>
      <c r="G16" s="115">
        <v>261.45</v>
      </c>
      <c r="H16" s="135">
        <f t="shared" ref="H16:H18" si="0">SUM(F16*G16/1000)</f>
        <v>22.391623799999998</v>
      </c>
      <c r="I16" s="34">
        <f>G16*F16/156*12</f>
        <v>1722.4325999999999</v>
      </c>
      <c r="J16" s="22"/>
      <c r="K16" s="8"/>
      <c r="L16" s="8"/>
      <c r="M16" s="8"/>
    </row>
    <row r="17" spans="1:13" ht="15.75" customHeight="1">
      <c r="A17" s="30">
        <v>2</v>
      </c>
      <c r="B17" s="123" t="s">
        <v>113</v>
      </c>
      <c r="C17" s="124" t="s">
        <v>81</v>
      </c>
      <c r="D17" s="123" t="s">
        <v>172</v>
      </c>
      <c r="E17" s="128">
        <v>109.8</v>
      </c>
      <c r="F17" s="115">
        <f>SUM(E17*104/100)</f>
        <v>114.19199999999999</v>
      </c>
      <c r="G17" s="115">
        <v>261.45</v>
      </c>
      <c r="H17" s="135">
        <f t="shared" si="0"/>
        <v>29.855498399999998</v>
      </c>
      <c r="I17" s="34">
        <f>G17*F17/104*7</f>
        <v>2009.5047</v>
      </c>
      <c r="J17" s="23"/>
      <c r="K17" s="8"/>
      <c r="L17" s="8"/>
      <c r="M17" s="8"/>
    </row>
    <row r="18" spans="1:13" ht="15.75" customHeight="1">
      <c r="A18" s="30">
        <v>3</v>
      </c>
      <c r="B18" s="123" t="s">
        <v>114</v>
      </c>
      <c r="C18" s="124" t="s">
        <v>81</v>
      </c>
      <c r="D18" s="123" t="s">
        <v>211</v>
      </c>
      <c r="E18" s="128">
        <f>SUM(E16+E17)</f>
        <v>164.7</v>
      </c>
      <c r="F18" s="115">
        <f>SUM(E18*18/100)</f>
        <v>29.646000000000001</v>
      </c>
      <c r="G18" s="115">
        <v>752.16</v>
      </c>
      <c r="H18" s="135">
        <f t="shared" si="0"/>
        <v>22.298535359999999</v>
      </c>
      <c r="I18" s="34">
        <f>F18/18*2*G18</f>
        <v>2477.6150400000001</v>
      </c>
      <c r="J18" s="23"/>
      <c r="K18" s="8"/>
      <c r="L18" s="8"/>
      <c r="M18" s="8"/>
    </row>
    <row r="19" spans="1:13" ht="15.75" hidden="1" customHeight="1">
      <c r="A19" s="30"/>
      <c r="B19" s="62" t="s">
        <v>88</v>
      </c>
      <c r="C19" s="63" t="s">
        <v>89</v>
      </c>
      <c r="D19" s="62" t="s">
        <v>90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91</v>
      </c>
      <c r="C20" s="63" t="s">
        <v>81</v>
      </c>
      <c r="D20" s="62" t="s">
        <v>161</v>
      </c>
      <c r="E20" s="64">
        <v>9.18</v>
      </c>
      <c r="F20" s="65">
        <f>SUM(E20*2/100)</f>
        <v>0.18359999999999999</v>
      </c>
      <c r="G20" s="146">
        <v>324.83999999999997</v>
      </c>
      <c r="H20" s="66">
        <f t="shared" si="1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92</v>
      </c>
      <c r="C21" s="63" t="s">
        <v>81</v>
      </c>
      <c r="D21" s="62" t="s">
        <v>161</v>
      </c>
      <c r="E21" s="64">
        <v>8.1</v>
      </c>
      <c r="F21" s="65">
        <f>SUM(E21*2/100)</f>
        <v>0.16200000000000001</v>
      </c>
      <c r="G21" s="146">
        <v>322.20999999999998</v>
      </c>
      <c r="H21" s="66">
        <f t="shared" si="1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hidden="1" customHeight="1">
      <c r="A22" s="30"/>
      <c r="B22" s="62" t="s">
        <v>93</v>
      </c>
      <c r="C22" s="63" t="s">
        <v>52</v>
      </c>
      <c r="D22" s="62" t="s">
        <v>90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94</v>
      </c>
      <c r="C23" s="63" t="s">
        <v>52</v>
      </c>
      <c r="D23" s="62" t="s">
        <v>90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95</v>
      </c>
      <c r="C24" s="63" t="s">
        <v>52</v>
      </c>
      <c r="D24" s="62" t="s">
        <v>96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97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98</v>
      </c>
      <c r="C26" s="63" t="s">
        <v>52</v>
      </c>
      <c r="D26" s="62" t="s">
        <v>90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123" t="s">
        <v>164</v>
      </c>
      <c r="C27" s="124" t="s">
        <v>25</v>
      </c>
      <c r="D27" s="123" t="s">
        <v>250</v>
      </c>
      <c r="E27" s="125">
        <v>2.91</v>
      </c>
      <c r="F27" s="115">
        <f>E27*258</f>
        <v>750.78000000000009</v>
      </c>
      <c r="G27" s="115">
        <v>10.81</v>
      </c>
      <c r="H27" s="66">
        <f>SUM(F27*G27/1000)</f>
        <v>8.115931800000002</v>
      </c>
      <c r="I27" s="13">
        <f>G27*F27/258*20</f>
        <v>629.14200000000005</v>
      </c>
      <c r="J27" s="23"/>
      <c r="K27" s="8"/>
    </row>
    <row r="28" spans="1:13" ht="15.75" customHeight="1">
      <c r="A28" s="180" t="s">
        <v>150</v>
      </c>
      <c r="B28" s="181"/>
      <c r="C28" s="181"/>
      <c r="D28" s="181"/>
      <c r="E28" s="181"/>
      <c r="F28" s="181"/>
      <c r="G28" s="181"/>
      <c r="H28" s="181"/>
      <c r="I28" s="182"/>
      <c r="J28" s="24"/>
    </row>
    <row r="29" spans="1:13" ht="15.75" customHeight="1">
      <c r="A29" s="30"/>
      <c r="B29" s="82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customHeight="1">
      <c r="A30" s="30">
        <v>5</v>
      </c>
      <c r="B30" s="123" t="s">
        <v>101</v>
      </c>
      <c r="C30" s="124" t="s">
        <v>84</v>
      </c>
      <c r="D30" s="123" t="s">
        <v>175</v>
      </c>
      <c r="E30" s="115">
        <v>61.5</v>
      </c>
      <c r="F30" s="115">
        <f>SUM(E30*24/1000)</f>
        <v>1.476</v>
      </c>
      <c r="G30" s="115">
        <v>232.4</v>
      </c>
      <c r="H30" s="66">
        <f t="shared" ref="H30:H33" si="3">SUM(F30*G30/1000)</f>
        <v>0.34302240000000001</v>
      </c>
      <c r="I30" s="13">
        <f>G30*F30/24*3</f>
        <v>42.877800000000001</v>
      </c>
      <c r="J30" s="23"/>
      <c r="K30" s="8"/>
      <c r="L30" s="8"/>
      <c r="M30" s="8"/>
    </row>
    <row r="31" spans="1:13" ht="31.5" customHeight="1">
      <c r="A31" s="30">
        <v>6</v>
      </c>
      <c r="B31" s="123" t="s">
        <v>100</v>
      </c>
      <c r="C31" s="124" t="s">
        <v>84</v>
      </c>
      <c r="D31" s="123" t="s">
        <v>251</v>
      </c>
      <c r="E31" s="115">
        <v>35.299999999999997</v>
      </c>
      <c r="F31" s="115">
        <f>SUM(E31*72/1000)</f>
        <v>2.5415999999999999</v>
      </c>
      <c r="G31" s="115">
        <v>385.6</v>
      </c>
      <c r="H31" s="66">
        <f t="shared" si="3"/>
        <v>0.98004096000000007</v>
      </c>
      <c r="I31" s="13">
        <f>G31*F31/72*11</f>
        <v>149.72847999999999</v>
      </c>
      <c r="J31" s="23"/>
      <c r="K31" s="8"/>
      <c r="L31" s="8"/>
      <c r="M31" s="8"/>
    </row>
    <row r="32" spans="1:13" ht="15.75" hidden="1" customHeight="1">
      <c r="A32" s="30"/>
      <c r="B32" s="123" t="s">
        <v>27</v>
      </c>
      <c r="C32" s="124" t="s">
        <v>84</v>
      </c>
      <c r="D32" s="123" t="s">
        <v>161</v>
      </c>
      <c r="E32" s="115">
        <v>61.5</v>
      </c>
      <c r="F32" s="115">
        <f>SUM(E32/1000)</f>
        <v>6.1499999999999999E-2</v>
      </c>
      <c r="G32" s="115">
        <v>4502.97</v>
      </c>
      <c r="H32" s="66">
        <f t="shared" si="3"/>
        <v>0.27693265500000003</v>
      </c>
      <c r="I32" s="13">
        <f>F32*G32</f>
        <v>276.93265500000001</v>
      </c>
      <c r="J32" s="23"/>
      <c r="K32" s="8"/>
      <c r="L32" s="8"/>
      <c r="M32" s="8"/>
    </row>
    <row r="33" spans="1:14" ht="15.75" customHeight="1">
      <c r="A33" s="30">
        <v>7</v>
      </c>
      <c r="B33" s="121" t="s">
        <v>208</v>
      </c>
      <c r="C33" s="111" t="s">
        <v>209</v>
      </c>
      <c r="D33" s="123" t="s">
        <v>251</v>
      </c>
      <c r="E33" s="115">
        <v>4</v>
      </c>
      <c r="F33" s="115">
        <f>E33*72/100</f>
        <v>2.88</v>
      </c>
      <c r="G33" s="115">
        <v>1941.17</v>
      </c>
      <c r="H33" s="66">
        <f t="shared" si="3"/>
        <v>5.5905696000000002</v>
      </c>
      <c r="I33" s="13">
        <f>G33*F33/72*11</f>
        <v>854.11479999999995</v>
      </c>
      <c r="J33" s="24"/>
    </row>
    <row r="34" spans="1:14" ht="15.75" hidden="1" customHeight="1">
      <c r="A34" s="30"/>
      <c r="B34" s="62" t="s">
        <v>64</v>
      </c>
      <c r="C34" s="63" t="s">
        <v>31</v>
      </c>
      <c r="D34" s="62" t="s">
        <v>65</v>
      </c>
      <c r="E34" s="64"/>
      <c r="F34" s="65">
        <v>1</v>
      </c>
      <c r="G34" s="65">
        <v>1413.96</v>
      </c>
      <c r="H34" s="66">
        <f t="shared" ref="H34" si="4">SUM(F34*G34/1000)</f>
        <v>1.4139600000000001</v>
      </c>
      <c r="I34" s="13">
        <v>0</v>
      </c>
      <c r="J34" s="24"/>
    </row>
    <row r="35" spans="1:14" ht="15.75" hidden="1" customHeight="1">
      <c r="A35" s="30"/>
      <c r="B35" s="82" t="s">
        <v>5</v>
      </c>
      <c r="C35" s="63"/>
      <c r="D35" s="62"/>
      <c r="E35" s="64"/>
      <c r="F35" s="65"/>
      <c r="G35" s="65"/>
      <c r="H35" s="66" t="s">
        <v>115</v>
      </c>
      <c r="I35" s="13"/>
      <c r="J35" s="24"/>
      <c r="L35" s="19"/>
      <c r="M35" s="20"/>
      <c r="N35" s="21"/>
    </row>
    <row r="36" spans="1:14" ht="15.75" hidden="1" customHeight="1">
      <c r="A36" s="30"/>
      <c r="B36" s="62" t="s">
        <v>26</v>
      </c>
      <c r="C36" s="63" t="s">
        <v>31</v>
      </c>
      <c r="D36" s="62"/>
      <c r="E36" s="64"/>
      <c r="F36" s="65">
        <v>3</v>
      </c>
      <c r="G36" s="65">
        <v>1900.37</v>
      </c>
      <c r="H36" s="66">
        <f t="shared" ref="H36:H41" si="5">SUM(F36*G36/1000)</f>
        <v>5.7011099999999999</v>
      </c>
      <c r="I36" s="13">
        <f t="shared" ref="I36:I41" si="6">F36/6*G36</f>
        <v>950.18499999999995</v>
      </c>
      <c r="J36" s="24"/>
      <c r="L36" s="19"/>
      <c r="M36" s="20"/>
      <c r="N36" s="21"/>
    </row>
    <row r="37" spans="1:14" ht="31.5" hidden="1" customHeight="1">
      <c r="A37" s="30"/>
      <c r="B37" s="62" t="s">
        <v>116</v>
      </c>
      <c r="C37" s="63" t="s">
        <v>29</v>
      </c>
      <c r="D37" s="62" t="s">
        <v>82</v>
      </c>
      <c r="E37" s="64">
        <v>35.299999999999997</v>
      </c>
      <c r="F37" s="65">
        <f>E37*30/1000</f>
        <v>1.0589999999999999</v>
      </c>
      <c r="G37" s="65">
        <v>2616.4899999999998</v>
      </c>
      <c r="H37" s="66">
        <f t="shared" si="5"/>
        <v>2.77086291</v>
      </c>
      <c r="I37" s="13">
        <f t="shared" si="6"/>
        <v>461.81048499999991</v>
      </c>
      <c r="J37" s="24"/>
      <c r="L37" s="19"/>
      <c r="M37" s="20"/>
      <c r="N37" s="21"/>
    </row>
    <row r="38" spans="1:14" ht="15.75" hidden="1" customHeight="1">
      <c r="A38" s="30"/>
      <c r="B38" s="62" t="s">
        <v>117</v>
      </c>
      <c r="C38" s="63" t="s">
        <v>29</v>
      </c>
      <c r="D38" s="62" t="s">
        <v>83</v>
      </c>
      <c r="E38" s="64">
        <v>35.299999999999997</v>
      </c>
      <c r="F38" s="65">
        <f>SUM(E38*155/1000)</f>
        <v>5.4714999999999998</v>
      </c>
      <c r="G38" s="65">
        <v>436.45</v>
      </c>
      <c r="H38" s="66">
        <f t="shared" si="5"/>
        <v>2.3880361749999999</v>
      </c>
      <c r="I38" s="13">
        <f t="shared" si="6"/>
        <v>398.00602916666662</v>
      </c>
      <c r="J38" s="24"/>
      <c r="L38" s="19"/>
      <c r="M38" s="20"/>
      <c r="N38" s="21"/>
    </row>
    <row r="39" spans="1:14" ht="47.25" hidden="1" customHeight="1">
      <c r="A39" s="30"/>
      <c r="B39" s="62" t="s">
        <v>118</v>
      </c>
      <c r="C39" s="63" t="s">
        <v>84</v>
      </c>
      <c r="D39" s="62" t="s">
        <v>119</v>
      </c>
      <c r="E39" s="64">
        <v>35.299999999999997</v>
      </c>
      <c r="F39" s="65">
        <f>SUM(E39*24/1000)</f>
        <v>0.84719999999999995</v>
      </c>
      <c r="G39" s="65">
        <v>7221.21</v>
      </c>
      <c r="H39" s="66">
        <f t="shared" si="5"/>
        <v>6.1178091119999998</v>
      </c>
      <c r="I39" s="13">
        <f t="shared" si="6"/>
        <v>1019.6348519999999</v>
      </c>
      <c r="J39" s="24"/>
      <c r="L39" s="19"/>
      <c r="M39" s="20"/>
      <c r="N39" s="21"/>
    </row>
    <row r="40" spans="1:14" ht="15.75" hidden="1" customHeight="1">
      <c r="A40" s="30"/>
      <c r="B40" s="62" t="s">
        <v>120</v>
      </c>
      <c r="C40" s="63" t="s">
        <v>84</v>
      </c>
      <c r="D40" s="62" t="s">
        <v>66</v>
      </c>
      <c r="E40" s="64">
        <v>35.299999999999997</v>
      </c>
      <c r="F40" s="65">
        <f>SUM(E40*45/1000)</f>
        <v>1.5884999999999998</v>
      </c>
      <c r="G40" s="65">
        <v>533.45000000000005</v>
      </c>
      <c r="H40" s="66">
        <f t="shared" si="5"/>
        <v>0.84738532499999997</v>
      </c>
      <c r="I40" s="13">
        <f t="shared" si="6"/>
        <v>141.23088749999999</v>
      </c>
      <c r="J40" s="24"/>
      <c r="L40" s="19"/>
      <c r="M40" s="20"/>
      <c r="N40" s="21"/>
    </row>
    <row r="41" spans="1:14" ht="15.75" hidden="1" customHeight="1">
      <c r="A41" s="30"/>
      <c r="B41" s="62" t="s">
        <v>67</v>
      </c>
      <c r="C41" s="63" t="s">
        <v>32</v>
      </c>
      <c r="D41" s="62"/>
      <c r="E41" s="64"/>
      <c r="F41" s="65">
        <v>0.3</v>
      </c>
      <c r="G41" s="65">
        <v>992.97</v>
      </c>
      <c r="H41" s="66">
        <f t="shared" si="5"/>
        <v>0.29789100000000002</v>
      </c>
      <c r="I41" s="13">
        <f t="shared" si="6"/>
        <v>49.648499999999999</v>
      </c>
      <c r="J41" s="24"/>
      <c r="L41" s="19"/>
      <c r="M41" s="20"/>
      <c r="N41" s="21"/>
    </row>
    <row r="42" spans="1:14" ht="23.25" hidden="1" customHeight="1">
      <c r="A42" s="180" t="s">
        <v>135</v>
      </c>
      <c r="B42" s="181"/>
      <c r="C42" s="181"/>
      <c r="D42" s="181"/>
      <c r="E42" s="181"/>
      <c r="F42" s="181"/>
      <c r="G42" s="181"/>
      <c r="H42" s="181"/>
      <c r="I42" s="182"/>
      <c r="J42" s="24"/>
      <c r="L42" s="19"/>
      <c r="M42" s="20"/>
      <c r="N42" s="21"/>
    </row>
    <row r="43" spans="1:14" ht="30" hidden="1" customHeight="1">
      <c r="A43" s="30">
        <v>11</v>
      </c>
      <c r="B43" s="62" t="s">
        <v>102</v>
      </c>
      <c r="C43" s="63" t="s">
        <v>84</v>
      </c>
      <c r="D43" s="62" t="s">
        <v>42</v>
      </c>
      <c r="E43" s="64">
        <v>907.4</v>
      </c>
      <c r="F43" s="65">
        <f>SUM(E43*2/1000)</f>
        <v>1.8148</v>
      </c>
      <c r="G43" s="13">
        <v>1283.46</v>
      </c>
      <c r="H43" s="66">
        <f t="shared" ref="H43:H52" si="7">SUM(F43*G43/1000)</f>
        <v>2.3292232079999997</v>
      </c>
      <c r="I43" s="13">
        <f>F43/2*G43</f>
        <v>1164.6116039999999</v>
      </c>
      <c r="J43" s="24"/>
      <c r="L43" s="19"/>
      <c r="M43" s="20"/>
      <c r="N43" s="21"/>
    </row>
    <row r="44" spans="1:14" ht="31.5" hidden="1" customHeight="1">
      <c r="A44" s="30">
        <v>12</v>
      </c>
      <c r="B44" s="62" t="s">
        <v>35</v>
      </c>
      <c r="C44" s="63" t="s">
        <v>84</v>
      </c>
      <c r="D44" s="62" t="s">
        <v>42</v>
      </c>
      <c r="E44" s="64">
        <v>27</v>
      </c>
      <c r="F44" s="65">
        <f>SUM(E44*2/1000)</f>
        <v>5.3999999999999999E-2</v>
      </c>
      <c r="G44" s="13">
        <v>4192.6400000000003</v>
      </c>
      <c r="H44" s="66">
        <f t="shared" si="7"/>
        <v>0.22640256000000003</v>
      </c>
      <c r="I44" s="13">
        <f t="shared" ref="I44:I51" si="8">F44/2*G44</f>
        <v>113.20128000000001</v>
      </c>
      <c r="J44" s="24"/>
      <c r="L44" s="19"/>
      <c r="M44" s="20"/>
      <c r="N44" s="21"/>
    </row>
    <row r="45" spans="1:14" ht="36.75" hidden="1" customHeight="1">
      <c r="A45" s="30">
        <v>13</v>
      </c>
      <c r="B45" s="62" t="s">
        <v>36</v>
      </c>
      <c r="C45" s="63" t="s">
        <v>84</v>
      </c>
      <c r="D45" s="62" t="s">
        <v>42</v>
      </c>
      <c r="E45" s="64">
        <v>772</v>
      </c>
      <c r="F45" s="65">
        <f>SUM(E45*2/1000)</f>
        <v>1.544</v>
      </c>
      <c r="G45" s="13">
        <v>1711.28</v>
      </c>
      <c r="H45" s="66">
        <f t="shared" si="7"/>
        <v>2.6422163200000002</v>
      </c>
      <c r="I45" s="13">
        <f t="shared" si="8"/>
        <v>1321.10816</v>
      </c>
      <c r="J45" s="24"/>
      <c r="L45" s="19"/>
      <c r="M45" s="20"/>
      <c r="N45" s="21"/>
    </row>
    <row r="46" spans="1:14" ht="29.25" hidden="1" customHeight="1">
      <c r="A46" s="30">
        <v>14</v>
      </c>
      <c r="B46" s="62" t="s">
        <v>37</v>
      </c>
      <c r="C46" s="63" t="s">
        <v>84</v>
      </c>
      <c r="D46" s="62" t="s">
        <v>42</v>
      </c>
      <c r="E46" s="64">
        <v>959.4</v>
      </c>
      <c r="F46" s="65">
        <f>SUM(E46*2/1000)</f>
        <v>1.9188000000000001</v>
      </c>
      <c r="G46" s="13">
        <v>1179.73</v>
      </c>
      <c r="H46" s="66">
        <f t="shared" si="7"/>
        <v>2.2636659240000001</v>
      </c>
      <c r="I46" s="13">
        <f t="shared" si="8"/>
        <v>1131.832962</v>
      </c>
      <c r="J46" s="24"/>
      <c r="L46" s="19"/>
      <c r="M46" s="20"/>
      <c r="N46" s="21"/>
    </row>
    <row r="47" spans="1:14" ht="27.75" hidden="1" customHeight="1">
      <c r="A47" s="30">
        <v>15</v>
      </c>
      <c r="B47" s="62" t="s">
        <v>33</v>
      </c>
      <c r="C47" s="63" t="s">
        <v>34</v>
      </c>
      <c r="D47" s="62" t="s">
        <v>42</v>
      </c>
      <c r="E47" s="64">
        <v>66.02</v>
      </c>
      <c r="F47" s="65">
        <f>SUM(E47*2/100)</f>
        <v>1.3204</v>
      </c>
      <c r="G47" s="13">
        <v>90.61</v>
      </c>
      <c r="H47" s="66">
        <f t="shared" si="7"/>
        <v>0.11964144400000001</v>
      </c>
      <c r="I47" s="13">
        <f t="shared" si="8"/>
        <v>59.820722000000004</v>
      </c>
      <c r="J47" s="24"/>
      <c r="L47" s="19"/>
      <c r="M47" s="20"/>
      <c r="N47" s="21"/>
    </row>
    <row r="48" spans="1:14" ht="27" hidden="1" customHeight="1">
      <c r="A48" s="30">
        <v>16</v>
      </c>
      <c r="B48" s="62" t="s">
        <v>55</v>
      </c>
      <c r="C48" s="63" t="s">
        <v>84</v>
      </c>
      <c r="D48" s="62" t="s">
        <v>134</v>
      </c>
      <c r="E48" s="64">
        <v>1536.4</v>
      </c>
      <c r="F48" s="65">
        <f>SUM(E48*5/1000)</f>
        <v>7.6820000000000004</v>
      </c>
      <c r="G48" s="13">
        <v>1711.28</v>
      </c>
      <c r="H48" s="66">
        <f t="shared" si="7"/>
        <v>13.14605296</v>
      </c>
      <c r="I48" s="13">
        <f>F48/5*G48</f>
        <v>2629.2105919999999</v>
      </c>
      <c r="J48" s="24"/>
      <c r="L48" s="19"/>
      <c r="M48" s="20"/>
      <c r="N48" s="21"/>
    </row>
    <row r="49" spans="1:22" ht="36.75" hidden="1" customHeight="1">
      <c r="A49" s="30">
        <v>9</v>
      </c>
      <c r="B49" s="62" t="s">
        <v>85</v>
      </c>
      <c r="C49" s="63" t="s">
        <v>84</v>
      </c>
      <c r="D49" s="62" t="s">
        <v>42</v>
      </c>
      <c r="E49" s="64">
        <v>1536.4</v>
      </c>
      <c r="F49" s="65">
        <f>SUM(E49*2/1000)</f>
        <v>3.0728</v>
      </c>
      <c r="G49" s="13">
        <v>1510.06</v>
      </c>
      <c r="H49" s="66">
        <f t="shared" si="7"/>
        <v>4.6401123680000005</v>
      </c>
      <c r="I49" s="13">
        <f t="shared" si="8"/>
        <v>2320.056184</v>
      </c>
      <c r="J49" s="24"/>
      <c r="L49" s="19"/>
      <c r="M49" s="20"/>
      <c r="N49" s="21"/>
    </row>
    <row r="50" spans="1:22" ht="29.25" hidden="1" customHeight="1">
      <c r="A50" s="30">
        <v>10</v>
      </c>
      <c r="B50" s="62" t="s">
        <v>86</v>
      </c>
      <c r="C50" s="63" t="s">
        <v>38</v>
      </c>
      <c r="D50" s="62" t="s">
        <v>42</v>
      </c>
      <c r="E50" s="64">
        <v>9</v>
      </c>
      <c r="F50" s="65">
        <f>SUM(E50*2/100)</f>
        <v>0.18</v>
      </c>
      <c r="G50" s="13">
        <v>3850.4</v>
      </c>
      <c r="H50" s="66">
        <f t="shared" si="7"/>
        <v>0.69307200000000002</v>
      </c>
      <c r="I50" s="13">
        <f t="shared" si="8"/>
        <v>346.536</v>
      </c>
      <c r="J50" s="24"/>
      <c r="L50" s="19"/>
      <c r="M50" s="20"/>
      <c r="N50" s="21"/>
    </row>
    <row r="51" spans="1:22" ht="16.5" hidden="1" customHeight="1">
      <c r="A51" s="30">
        <v>11</v>
      </c>
      <c r="B51" s="62" t="s">
        <v>39</v>
      </c>
      <c r="C51" s="63" t="s">
        <v>40</v>
      </c>
      <c r="D51" s="62" t="s">
        <v>42</v>
      </c>
      <c r="E51" s="64">
        <v>1</v>
      </c>
      <c r="F51" s="65">
        <v>0.02</v>
      </c>
      <c r="G51" s="13">
        <v>7033.13</v>
      </c>
      <c r="H51" s="66">
        <f t="shared" si="7"/>
        <v>0.1406626</v>
      </c>
      <c r="I51" s="13">
        <f t="shared" si="8"/>
        <v>70.331299999999999</v>
      </c>
      <c r="J51" s="24"/>
      <c r="L51" s="19"/>
      <c r="M51" s="20"/>
      <c r="N51" s="21"/>
    </row>
    <row r="52" spans="1:22" ht="18" hidden="1" customHeight="1">
      <c r="A52" s="30"/>
      <c r="B52" s="62" t="s">
        <v>41</v>
      </c>
      <c r="C52" s="63" t="s">
        <v>103</v>
      </c>
      <c r="D52" s="62" t="s">
        <v>53</v>
      </c>
      <c r="E52" s="64">
        <v>53</v>
      </c>
      <c r="F52" s="65">
        <v>53</v>
      </c>
      <c r="G52" s="13">
        <v>81.73</v>
      </c>
      <c r="H52" s="66">
        <f t="shared" si="7"/>
        <v>4.3316900000000009</v>
      </c>
      <c r="I52" s="13">
        <f>F52/3*G52</f>
        <v>1443.8966666666668</v>
      </c>
      <c r="J52" s="24"/>
      <c r="L52" s="19"/>
    </row>
    <row r="53" spans="1:22" ht="15.75" customHeight="1">
      <c r="A53" s="180" t="s">
        <v>141</v>
      </c>
      <c r="B53" s="181"/>
      <c r="C53" s="181"/>
      <c r="D53" s="181"/>
      <c r="E53" s="181"/>
      <c r="F53" s="181"/>
      <c r="G53" s="181"/>
      <c r="H53" s="181"/>
      <c r="I53" s="182"/>
    </row>
    <row r="54" spans="1:22" ht="15.75" hidden="1" customHeight="1">
      <c r="A54" s="30"/>
      <c r="B54" s="82" t="s">
        <v>43</v>
      </c>
      <c r="C54" s="63"/>
      <c r="D54" s="62"/>
      <c r="E54" s="64"/>
      <c r="F54" s="65"/>
      <c r="G54" s="65"/>
      <c r="H54" s="66"/>
      <c r="I54" s="13"/>
    </row>
    <row r="55" spans="1:22" ht="31.5" hidden="1" customHeight="1">
      <c r="A55" s="30"/>
      <c r="B55" s="62" t="s">
        <v>104</v>
      </c>
      <c r="C55" s="63" t="s">
        <v>81</v>
      </c>
      <c r="D55" s="62" t="s">
        <v>105</v>
      </c>
      <c r="E55" s="64">
        <v>11.5</v>
      </c>
      <c r="F55" s="65">
        <f>SUM(E55*6/100)</f>
        <v>0.69</v>
      </c>
      <c r="G55" s="13">
        <v>2306.62</v>
      </c>
      <c r="H55" s="66">
        <f>SUM(F55*G55/1000)</f>
        <v>1.5915677999999998</v>
      </c>
      <c r="I55" s="13">
        <v>0</v>
      </c>
    </row>
    <row r="56" spans="1:22" ht="15.75" hidden="1" customHeight="1">
      <c r="A56" s="30">
        <v>9</v>
      </c>
      <c r="B56" s="62" t="s">
        <v>121</v>
      </c>
      <c r="C56" s="63" t="s">
        <v>122</v>
      </c>
      <c r="D56" s="62" t="s">
        <v>65</v>
      </c>
      <c r="E56" s="64"/>
      <c r="F56" s="65">
        <v>2</v>
      </c>
      <c r="G56" s="85">
        <v>1501</v>
      </c>
      <c r="H56" s="66">
        <f>SUM(F56*G56/1000)</f>
        <v>3.0019999999999998</v>
      </c>
      <c r="I56" s="13">
        <f>G56*(4+1)</f>
        <v>7505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9"/>
    </row>
    <row r="57" spans="1:22" ht="15.75" customHeight="1">
      <c r="A57" s="30"/>
      <c r="B57" s="82" t="s">
        <v>44</v>
      </c>
      <c r="C57" s="63"/>
      <c r="D57" s="62"/>
      <c r="E57" s="64"/>
      <c r="F57" s="65"/>
      <c r="G57" s="86"/>
      <c r="H57" s="66"/>
      <c r="I57" s="13"/>
      <c r="J57" s="26"/>
      <c r="K57" s="26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2" ht="15.75" hidden="1" customHeight="1">
      <c r="A58" s="30"/>
      <c r="B58" s="62" t="s">
        <v>106</v>
      </c>
      <c r="C58" s="63" t="s">
        <v>81</v>
      </c>
      <c r="D58" s="62" t="s">
        <v>53</v>
      </c>
      <c r="E58" s="64">
        <v>148</v>
      </c>
      <c r="F58" s="66">
        <f>E58/100</f>
        <v>1.48</v>
      </c>
      <c r="G58" s="13">
        <v>987.51</v>
      </c>
      <c r="H58" s="71">
        <f>F58*G58/1000</f>
        <v>1.4615148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S58" s="3"/>
      <c r="T58" s="3"/>
      <c r="U58" s="3"/>
    </row>
    <row r="59" spans="1:22" ht="15.75" customHeight="1">
      <c r="A59" s="30">
        <v>8</v>
      </c>
      <c r="B59" s="73" t="s">
        <v>131</v>
      </c>
      <c r="C59" s="72" t="s">
        <v>25</v>
      </c>
      <c r="D59" s="73" t="s">
        <v>161</v>
      </c>
      <c r="E59" s="74">
        <v>140.5</v>
      </c>
      <c r="F59" s="65">
        <v>1320</v>
      </c>
      <c r="G59" s="87">
        <v>1.4</v>
      </c>
      <c r="H59" s="71">
        <f>F59*G59/1000</f>
        <v>1.8479999999999999</v>
      </c>
      <c r="I59" s="13">
        <f>F59/12*G59</f>
        <v>154</v>
      </c>
      <c r="J59" s="5"/>
      <c r="K59" s="5"/>
      <c r="L59" s="5"/>
      <c r="M59" s="5"/>
      <c r="N59" s="5"/>
      <c r="O59" s="5"/>
      <c r="P59" s="5"/>
      <c r="Q59" s="5"/>
      <c r="R59" s="173"/>
      <c r="S59" s="173"/>
      <c r="T59" s="173"/>
      <c r="U59" s="173"/>
    </row>
    <row r="60" spans="1:22" ht="15.75" customHeight="1">
      <c r="A60" s="30"/>
      <c r="B60" s="83" t="s">
        <v>45</v>
      </c>
      <c r="C60" s="72"/>
      <c r="D60" s="73"/>
      <c r="E60" s="74"/>
      <c r="F60" s="75"/>
      <c r="G60" s="75"/>
      <c r="H60" s="76" t="s">
        <v>115</v>
      </c>
      <c r="I60" s="1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2" ht="15.75" customHeight="1">
      <c r="A61" s="30">
        <v>9</v>
      </c>
      <c r="B61" s="14" t="s">
        <v>46</v>
      </c>
      <c r="C61" s="16" t="s">
        <v>103</v>
      </c>
      <c r="D61" s="14" t="s">
        <v>169</v>
      </c>
      <c r="E61" s="18">
        <v>2</v>
      </c>
      <c r="F61" s="65">
        <f>E61</f>
        <v>2</v>
      </c>
      <c r="G61" s="120">
        <v>331.57</v>
      </c>
      <c r="H61" s="61">
        <f t="shared" ref="H61:H78" si="9">SUM(F61*G61/1000)</f>
        <v>0.66313999999999995</v>
      </c>
      <c r="I61" s="13">
        <f>G61*5</f>
        <v>1657.85</v>
      </c>
    </row>
    <row r="62" spans="1:22" ht="15.75" hidden="1" customHeight="1">
      <c r="A62" s="30"/>
      <c r="B62" s="14" t="s">
        <v>47</v>
      </c>
      <c r="C62" s="16" t="s">
        <v>103</v>
      </c>
      <c r="D62" s="14" t="s">
        <v>65</v>
      </c>
      <c r="E62" s="18">
        <v>1</v>
      </c>
      <c r="F62" s="65">
        <f>E62</f>
        <v>1</v>
      </c>
      <c r="G62" s="13">
        <v>94.89</v>
      </c>
      <c r="H62" s="61">
        <f t="shared" si="9"/>
        <v>9.4890000000000002E-2</v>
      </c>
      <c r="I62" s="13">
        <v>0</v>
      </c>
    </row>
    <row r="63" spans="1:22" ht="15.75" hidden="1" customHeight="1">
      <c r="A63" s="30"/>
      <c r="B63" s="14" t="s">
        <v>48</v>
      </c>
      <c r="C63" s="16" t="s">
        <v>107</v>
      </c>
      <c r="D63" s="14" t="s">
        <v>53</v>
      </c>
      <c r="E63" s="64">
        <v>6307</v>
      </c>
      <c r="F63" s="13">
        <f>SUM(E63/100)</f>
        <v>63.07</v>
      </c>
      <c r="G63" s="13">
        <v>263.99</v>
      </c>
      <c r="H63" s="61">
        <f t="shared" si="9"/>
        <v>16.649849300000003</v>
      </c>
      <c r="I63" s="13">
        <v>0</v>
      </c>
    </row>
    <row r="64" spans="1:22" ht="15.75" hidden="1" customHeight="1">
      <c r="A64" s="30"/>
      <c r="B64" s="14" t="s">
        <v>49</v>
      </c>
      <c r="C64" s="16" t="s">
        <v>108</v>
      </c>
      <c r="D64" s="14"/>
      <c r="E64" s="64">
        <v>6307</v>
      </c>
      <c r="F64" s="13">
        <f>SUM(E64/1000)</f>
        <v>6.3070000000000004</v>
      </c>
      <c r="G64" s="13">
        <v>205.57</v>
      </c>
      <c r="H64" s="61">
        <f t="shared" si="9"/>
        <v>1.29652999</v>
      </c>
      <c r="I64" s="13">
        <v>0</v>
      </c>
    </row>
    <row r="65" spans="1:9" ht="15.75" hidden="1" customHeight="1">
      <c r="A65" s="30"/>
      <c r="B65" s="14" t="s">
        <v>50</v>
      </c>
      <c r="C65" s="16" t="s">
        <v>74</v>
      </c>
      <c r="D65" s="14" t="s">
        <v>53</v>
      </c>
      <c r="E65" s="64">
        <v>1003</v>
      </c>
      <c r="F65" s="13">
        <f>SUM(E65/100)</f>
        <v>10.029999999999999</v>
      </c>
      <c r="G65" s="13">
        <v>2581.5300000000002</v>
      </c>
      <c r="H65" s="61">
        <f t="shared" si="9"/>
        <v>25.892745900000001</v>
      </c>
      <c r="I65" s="13">
        <v>0</v>
      </c>
    </row>
    <row r="66" spans="1:9" ht="15.75" hidden="1" customHeight="1">
      <c r="A66" s="30"/>
      <c r="B66" s="77" t="s">
        <v>109</v>
      </c>
      <c r="C66" s="16" t="s">
        <v>32</v>
      </c>
      <c r="D66" s="14"/>
      <c r="E66" s="64">
        <v>6.6</v>
      </c>
      <c r="F66" s="13">
        <f>SUM(E66)</f>
        <v>6.6</v>
      </c>
      <c r="G66" s="13">
        <v>47.75</v>
      </c>
      <c r="H66" s="61">
        <f t="shared" si="9"/>
        <v>0.31514999999999999</v>
      </c>
      <c r="I66" s="13">
        <v>0</v>
      </c>
    </row>
    <row r="67" spans="1:9" ht="15.75" hidden="1" customHeight="1">
      <c r="A67" s="30"/>
      <c r="B67" s="77" t="s">
        <v>110</v>
      </c>
      <c r="C67" s="16" t="s">
        <v>32</v>
      </c>
      <c r="D67" s="14"/>
      <c r="E67" s="64">
        <v>6.6</v>
      </c>
      <c r="F67" s="13">
        <f>SUM(E67)</f>
        <v>6.6</v>
      </c>
      <c r="G67" s="13">
        <v>44.27</v>
      </c>
      <c r="H67" s="61">
        <f t="shared" si="9"/>
        <v>0.292182</v>
      </c>
      <c r="I67" s="13">
        <v>0</v>
      </c>
    </row>
    <row r="68" spans="1:9" ht="15.75" hidden="1" customHeight="1">
      <c r="A68" s="30">
        <v>19</v>
      </c>
      <c r="B68" s="14" t="s">
        <v>56</v>
      </c>
      <c r="C68" s="16" t="s">
        <v>57</v>
      </c>
      <c r="D68" s="14" t="s">
        <v>53</v>
      </c>
      <c r="E68" s="18">
        <v>3</v>
      </c>
      <c r="F68" s="65">
        <v>3</v>
      </c>
      <c r="G68" s="13">
        <v>62.07</v>
      </c>
      <c r="H68" s="61">
        <f t="shared" si="9"/>
        <v>0.18621000000000001</v>
      </c>
      <c r="I68" s="13">
        <f>F68*G68</f>
        <v>186.21</v>
      </c>
    </row>
    <row r="69" spans="1:9" ht="15.75" customHeight="1">
      <c r="A69" s="30">
        <v>10</v>
      </c>
      <c r="B69" s="139" t="s">
        <v>123</v>
      </c>
      <c r="C69" s="131" t="s">
        <v>124</v>
      </c>
      <c r="D69" s="139" t="s">
        <v>161</v>
      </c>
      <c r="E69" s="17">
        <v>1536.4</v>
      </c>
      <c r="F69" s="140">
        <f>E69*12</f>
        <v>18436.800000000003</v>
      </c>
      <c r="G69" s="34">
        <v>2.6</v>
      </c>
      <c r="H69" s="61">
        <f t="shared" si="9"/>
        <v>47.935680000000005</v>
      </c>
      <c r="I69" s="13">
        <f>F69/12*G69</f>
        <v>3994.6400000000008</v>
      </c>
    </row>
    <row r="70" spans="1:9" ht="15.75" customHeight="1">
      <c r="A70" s="30"/>
      <c r="B70" s="48" t="s">
        <v>69</v>
      </c>
      <c r="C70" s="16"/>
      <c r="D70" s="14"/>
      <c r="E70" s="18"/>
      <c r="F70" s="13"/>
      <c r="G70" s="13"/>
      <c r="H70" s="61" t="s">
        <v>115</v>
      </c>
      <c r="I70" s="13"/>
    </row>
    <row r="71" spans="1:9" ht="15.75" hidden="1" customHeight="1">
      <c r="A71" s="30"/>
      <c r="B71" s="14" t="s">
        <v>125</v>
      </c>
      <c r="C71" s="16" t="s">
        <v>126</v>
      </c>
      <c r="D71" s="14" t="s">
        <v>65</v>
      </c>
      <c r="E71" s="18">
        <v>1</v>
      </c>
      <c r="F71" s="13">
        <f>E71</f>
        <v>1</v>
      </c>
      <c r="G71" s="13">
        <v>976.4</v>
      </c>
      <c r="H71" s="61">
        <f t="shared" ref="H71:H72" si="10">SUM(F71*G71/1000)</f>
        <v>0.97639999999999993</v>
      </c>
      <c r="I71" s="13">
        <v>0</v>
      </c>
    </row>
    <row r="72" spans="1:9" ht="15.75" hidden="1" customHeight="1">
      <c r="A72" s="30"/>
      <c r="B72" s="14" t="s">
        <v>127</v>
      </c>
      <c r="C72" s="16" t="s">
        <v>128</v>
      </c>
      <c r="D72" s="14"/>
      <c r="E72" s="18">
        <v>1</v>
      </c>
      <c r="F72" s="13">
        <v>1</v>
      </c>
      <c r="G72" s="13">
        <v>650</v>
      </c>
      <c r="H72" s="61">
        <f t="shared" si="10"/>
        <v>0.65</v>
      </c>
      <c r="I72" s="13">
        <v>0</v>
      </c>
    </row>
    <row r="73" spans="1:9" ht="15.75" hidden="1" customHeight="1">
      <c r="A73" s="30">
        <v>13</v>
      </c>
      <c r="B73" s="14" t="s">
        <v>70</v>
      </c>
      <c r="C73" s="16" t="s">
        <v>72</v>
      </c>
      <c r="D73" s="14"/>
      <c r="E73" s="18">
        <v>3</v>
      </c>
      <c r="F73" s="13">
        <v>0.3</v>
      </c>
      <c r="G73" s="13">
        <v>624.16999999999996</v>
      </c>
      <c r="H73" s="61">
        <f t="shared" si="9"/>
        <v>0.18725099999999997</v>
      </c>
      <c r="I73" s="13">
        <f>G73*0.1</f>
        <v>62.417000000000002</v>
      </c>
    </row>
    <row r="74" spans="1:9" ht="15.75" hidden="1" customHeight="1">
      <c r="A74" s="30"/>
      <c r="B74" s="14" t="s">
        <v>71</v>
      </c>
      <c r="C74" s="16" t="s">
        <v>30</v>
      </c>
      <c r="D74" s="14"/>
      <c r="E74" s="18">
        <v>1</v>
      </c>
      <c r="F74" s="56">
        <v>1</v>
      </c>
      <c r="G74" s="13">
        <v>1061.4100000000001</v>
      </c>
      <c r="H74" s="61">
        <f>F74*G74/1000</f>
        <v>1.0614100000000002</v>
      </c>
      <c r="I74" s="13">
        <v>0</v>
      </c>
    </row>
    <row r="75" spans="1:9" ht="15.75" customHeight="1">
      <c r="A75" s="30">
        <v>11</v>
      </c>
      <c r="B75" s="46" t="s">
        <v>197</v>
      </c>
      <c r="C75" s="47" t="s">
        <v>103</v>
      </c>
      <c r="D75" s="139" t="s">
        <v>173</v>
      </c>
      <c r="E75" s="17">
        <v>2</v>
      </c>
      <c r="F75" s="34">
        <f>E75*12</f>
        <v>24</v>
      </c>
      <c r="G75" s="34">
        <v>420</v>
      </c>
      <c r="H75" s="61">
        <f>G75*F75/1000</f>
        <v>10.08</v>
      </c>
      <c r="I75" s="13">
        <f>G75*2</f>
        <v>840</v>
      </c>
    </row>
    <row r="76" spans="1:9" ht="15.75" customHeight="1">
      <c r="A76" s="30">
        <v>12</v>
      </c>
      <c r="B76" s="46" t="s">
        <v>198</v>
      </c>
      <c r="C76" s="47" t="s">
        <v>30</v>
      </c>
      <c r="D76" s="139" t="s">
        <v>173</v>
      </c>
      <c r="E76" s="17">
        <v>1</v>
      </c>
      <c r="F76" s="34">
        <f>E76*12</f>
        <v>12</v>
      </c>
      <c r="G76" s="34">
        <v>1829</v>
      </c>
      <c r="H76" s="61"/>
      <c r="I76" s="13">
        <f>G76*F76/12</f>
        <v>1829</v>
      </c>
    </row>
    <row r="77" spans="1:9" ht="15.75" hidden="1" customHeight="1">
      <c r="A77" s="30"/>
      <c r="B77" s="79" t="s">
        <v>73</v>
      </c>
      <c r="C77" s="16"/>
      <c r="D77" s="14"/>
      <c r="E77" s="18"/>
      <c r="F77" s="13"/>
      <c r="G77" s="13" t="s">
        <v>115</v>
      </c>
      <c r="H77" s="61" t="s">
        <v>115</v>
      </c>
      <c r="I77" s="13" t="str">
        <f>G77</f>
        <v xml:space="preserve"> </v>
      </c>
    </row>
    <row r="78" spans="1:9" ht="15.75" hidden="1" customHeight="1">
      <c r="A78" s="30"/>
      <c r="B78" s="43" t="s">
        <v>130</v>
      </c>
      <c r="C78" s="16" t="s">
        <v>74</v>
      </c>
      <c r="D78" s="14"/>
      <c r="E78" s="18"/>
      <c r="F78" s="13">
        <v>0.1</v>
      </c>
      <c r="G78" s="13">
        <v>3433.69</v>
      </c>
      <c r="H78" s="61">
        <f t="shared" si="9"/>
        <v>0.34336900000000004</v>
      </c>
      <c r="I78" s="13">
        <v>0</v>
      </c>
    </row>
    <row r="79" spans="1:9" ht="15.75" hidden="1" customHeight="1">
      <c r="A79" s="30"/>
      <c r="B79" s="55" t="s">
        <v>87</v>
      </c>
      <c r="C79" s="79"/>
      <c r="D79" s="31"/>
      <c r="E79" s="32"/>
      <c r="F79" s="68"/>
      <c r="G79" s="68"/>
      <c r="H79" s="80">
        <f>SUM(H55:H78)</f>
        <v>114.52788979</v>
      </c>
      <c r="I79" s="13"/>
    </row>
    <row r="80" spans="1:9" ht="15.75" hidden="1" customHeight="1">
      <c r="A80" s="30">
        <v>13</v>
      </c>
      <c r="B80" s="62" t="s">
        <v>111</v>
      </c>
      <c r="C80" s="16"/>
      <c r="D80" s="14"/>
      <c r="E80" s="57"/>
      <c r="F80" s="13">
        <v>1</v>
      </c>
      <c r="G80" s="13">
        <v>4194.6000000000004</v>
      </c>
      <c r="H80" s="61">
        <f>G80*F80/1000</f>
        <v>4.1946000000000003</v>
      </c>
      <c r="I80" s="13">
        <f>G80</f>
        <v>4194.6000000000004</v>
      </c>
    </row>
    <row r="81" spans="1:9" ht="15.75" customHeight="1">
      <c r="A81" s="180" t="s">
        <v>142</v>
      </c>
      <c r="B81" s="181"/>
      <c r="C81" s="181"/>
      <c r="D81" s="181"/>
      <c r="E81" s="181"/>
      <c r="F81" s="181"/>
      <c r="G81" s="181"/>
      <c r="H81" s="181"/>
      <c r="I81" s="182"/>
    </row>
    <row r="82" spans="1:9" ht="15.75" customHeight="1">
      <c r="A82" s="30">
        <v>13</v>
      </c>
      <c r="B82" s="123" t="s">
        <v>112</v>
      </c>
      <c r="C82" s="130" t="s">
        <v>54</v>
      </c>
      <c r="D82" s="141"/>
      <c r="E82" s="34">
        <v>1536.4</v>
      </c>
      <c r="F82" s="34">
        <f>SUM(E82*12)</f>
        <v>18436.800000000003</v>
      </c>
      <c r="G82" s="34">
        <v>3.5</v>
      </c>
      <c r="H82" s="61">
        <f>SUM(F82*G82/1000)</f>
        <v>64.528800000000004</v>
      </c>
      <c r="I82" s="13">
        <f>F82/12*G82</f>
        <v>5377.4000000000015</v>
      </c>
    </row>
    <row r="83" spans="1:9" ht="31.5" customHeight="1">
      <c r="A83" s="30">
        <v>14</v>
      </c>
      <c r="B83" s="123" t="s">
        <v>199</v>
      </c>
      <c r="C83" s="130" t="s">
        <v>54</v>
      </c>
      <c r="D83" s="141"/>
      <c r="E83" s="34">
        <v>1536.4</v>
      </c>
      <c r="F83" s="34">
        <f>E83*12</f>
        <v>18436.800000000003</v>
      </c>
      <c r="G83" s="34">
        <v>3.2</v>
      </c>
      <c r="H83" s="61">
        <f>F83*G83/1000</f>
        <v>58.997760000000007</v>
      </c>
      <c r="I83" s="13">
        <f>F83/12*G83</f>
        <v>4916.4800000000014</v>
      </c>
    </row>
    <row r="84" spans="1:9" ht="15.75" customHeight="1">
      <c r="A84" s="30"/>
      <c r="B84" s="36" t="s">
        <v>77</v>
      </c>
      <c r="C84" s="79"/>
      <c r="D84" s="78"/>
      <c r="E84" s="68"/>
      <c r="F84" s="68"/>
      <c r="G84" s="68"/>
      <c r="H84" s="80">
        <f>H83</f>
        <v>58.997760000000007</v>
      </c>
      <c r="I84" s="68">
        <f>I83+I82+I76+I75+I69+I61+I59+I33+I31+I30+I27+I18+I17+I16</f>
        <v>26654.785420000004</v>
      </c>
    </row>
    <row r="85" spans="1:9" ht="15.75" customHeight="1">
      <c r="A85" s="166" t="s">
        <v>59</v>
      </c>
      <c r="B85" s="167"/>
      <c r="C85" s="167"/>
      <c r="D85" s="167"/>
      <c r="E85" s="167"/>
      <c r="F85" s="167"/>
      <c r="G85" s="167"/>
      <c r="H85" s="167"/>
      <c r="I85" s="168"/>
    </row>
    <row r="86" spans="1:9" ht="15.75" customHeight="1">
      <c r="A86" s="30">
        <v>15</v>
      </c>
      <c r="B86" s="110" t="s">
        <v>252</v>
      </c>
      <c r="C86" s="111" t="s">
        <v>155</v>
      </c>
      <c r="D86" s="101"/>
      <c r="E86" s="34"/>
      <c r="F86" s="34">
        <v>13</v>
      </c>
      <c r="G86" s="34">
        <v>284</v>
      </c>
      <c r="H86" s="13">
        <f t="shared" ref="H86" si="11">G86*F86/1000</f>
        <v>3.6920000000000002</v>
      </c>
      <c r="I86" s="13">
        <f>G86*13</f>
        <v>3692</v>
      </c>
    </row>
    <row r="87" spans="1:9" ht="15.75" customHeight="1">
      <c r="A87" s="30">
        <v>16</v>
      </c>
      <c r="B87" s="110" t="s">
        <v>253</v>
      </c>
      <c r="C87" s="111" t="s">
        <v>254</v>
      </c>
      <c r="D87" s="101"/>
      <c r="E87" s="34"/>
      <c r="F87" s="34">
        <v>2</v>
      </c>
      <c r="G87" s="34">
        <v>227</v>
      </c>
      <c r="H87" s="13"/>
      <c r="I87" s="13">
        <f>G87*2</f>
        <v>454</v>
      </c>
    </row>
    <row r="88" spans="1:9" ht="30.75" customHeight="1">
      <c r="A88" s="30">
        <v>17</v>
      </c>
      <c r="B88" s="110" t="s">
        <v>202</v>
      </c>
      <c r="C88" s="111" t="s">
        <v>38</v>
      </c>
      <c r="D88" s="101"/>
      <c r="E88" s="34"/>
      <c r="F88" s="34">
        <v>0.02</v>
      </c>
      <c r="G88" s="34">
        <v>4070.89</v>
      </c>
      <c r="H88" s="13"/>
      <c r="I88" s="13">
        <f>G88*0.01</f>
        <v>40.7089</v>
      </c>
    </row>
    <row r="89" spans="1:9" ht="15.75" customHeight="1">
      <c r="A89" s="30">
        <v>18</v>
      </c>
      <c r="B89" s="110" t="s">
        <v>255</v>
      </c>
      <c r="C89" s="111" t="s">
        <v>103</v>
      </c>
      <c r="D89" s="101"/>
      <c r="E89" s="34"/>
      <c r="F89" s="34">
        <v>1</v>
      </c>
      <c r="G89" s="34">
        <v>1332.01</v>
      </c>
      <c r="H89" s="13"/>
      <c r="I89" s="13">
        <f>G89*1</f>
        <v>1332.01</v>
      </c>
    </row>
    <row r="90" spans="1:9" ht="15.75" customHeight="1">
      <c r="A90" s="30"/>
      <c r="B90" s="41" t="s">
        <v>51</v>
      </c>
      <c r="C90" s="37"/>
      <c r="D90" s="44"/>
      <c r="E90" s="37">
        <v>1</v>
      </c>
      <c r="F90" s="37"/>
      <c r="G90" s="37"/>
      <c r="H90" s="37"/>
      <c r="I90" s="32">
        <f>SUM(I86:I89)</f>
        <v>5518.7188999999998</v>
      </c>
    </row>
    <row r="91" spans="1:9" ht="15.75" customHeight="1">
      <c r="A91" s="30"/>
      <c r="B91" s="43" t="s">
        <v>76</v>
      </c>
      <c r="C91" s="15"/>
      <c r="D91" s="15"/>
      <c r="E91" s="38"/>
      <c r="F91" s="38"/>
      <c r="G91" s="39"/>
      <c r="H91" s="39"/>
      <c r="I91" s="17">
        <v>0</v>
      </c>
    </row>
    <row r="92" spans="1:9">
      <c r="A92" s="45"/>
      <c r="B92" s="42" t="s">
        <v>153</v>
      </c>
      <c r="C92" s="33"/>
      <c r="D92" s="33"/>
      <c r="E92" s="33"/>
      <c r="F92" s="33"/>
      <c r="G92" s="33"/>
      <c r="H92" s="33"/>
      <c r="I92" s="40">
        <f>I84+I90</f>
        <v>32173.504320000004</v>
      </c>
    </row>
    <row r="93" spans="1:9" ht="15.75">
      <c r="A93" s="175" t="s">
        <v>266</v>
      </c>
      <c r="B93" s="175"/>
      <c r="C93" s="175"/>
      <c r="D93" s="175"/>
      <c r="E93" s="175"/>
      <c r="F93" s="175"/>
      <c r="G93" s="175"/>
      <c r="H93" s="175"/>
      <c r="I93" s="175"/>
    </row>
    <row r="94" spans="1:9" ht="15.75" customHeight="1">
      <c r="A94" s="54"/>
      <c r="B94" s="176" t="s">
        <v>267</v>
      </c>
      <c r="C94" s="176"/>
      <c r="D94" s="176"/>
      <c r="E94" s="176"/>
      <c r="F94" s="176"/>
      <c r="G94" s="176"/>
      <c r="H94" s="60"/>
      <c r="I94" s="3"/>
    </row>
    <row r="95" spans="1:9">
      <c r="A95" s="53"/>
      <c r="B95" s="171" t="s">
        <v>6</v>
      </c>
      <c r="C95" s="171"/>
      <c r="D95" s="171"/>
      <c r="E95" s="171"/>
      <c r="F95" s="171"/>
      <c r="G95" s="171"/>
      <c r="H95" s="25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77" t="s">
        <v>7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 customHeight="1">
      <c r="A98" s="177" t="s">
        <v>8</v>
      </c>
      <c r="B98" s="177"/>
      <c r="C98" s="177"/>
      <c r="D98" s="177"/>
      <c r="E98" s="177"/>
      <c r="F98" s="177"/>
      <c r="G98" s="177"/>
      <c r="H98" s="177"/>
      <c r="I98" s="177"/>
    </row>
    <row r="99" spans="1:9" ht="15.75">
      <c r="A99" s="178" t="s">
        <v>60</v>
      </c>
      <c r="B99" s="178"/>
      <c r="C99" s="178"/>
      <c r="D99" s="178"/>
      <c r="E99" s="178"/>
      <c r="F99" s="178"/>
      <c r="G99" s="178"/>
      <c r="H99" s="178"/>
      <c r="I99" s="178"/>
    </row>
    <row r="100" spans="1:9" ht="15.75">
      <c r="A100" s="11"/>
    </row>
    <row r="101" spans="1:9" ht="15.75">
      <c r="A101" s="169" t="s">
        <v>9</v>
      </c>
      <c r="B101" s="169"/>
      <c r="C101" s="169"/>
      <c r="D101" s="169"/>
      <c r="E101" s="169"/>
      <c r="F101" s="169"/>
      <c r="G101" s="169"/>
      <c r="H101" s="169"/>
      <c r="I101" s="169"/>
    </row>
    <row r="102" spans="1:9" ht="15.75">
      <c r="A102" s="4"/>
    </row>
    <row r="103" spans="1:9" ht="15.75">
      <c r="B103" s="50" t="s">
        <v>10</v>
      </c>
      <c r="C103" s="170" t="s">
        <v>256</v>
      </c>
      <c r="D103" s="170"/>
      <c r="E103" s="170"/>
      <c r="F103" s="58"/>
      <c r="I103" s="52"/>
    </row>
    <row r="104" spans="1:9">
      <c r="A104" s="53"/>
      <c r="C104" s="171" t="s">
        <v>11</v>
      </c>
      <c r="D104" s="171"/>
      <c r="E104" s="171"/>
      <c r="F104" s="25"/>
      <c r="I104" s="51" t="s">
        <v>12</v>
      </c>
    </row>
    <row r="105" spans="1:9" ht="15.75">
      <c r="A105" s="26"/>
      <c r="C105" s="12"/>
      <c r="D105" s="12"/>
      <c r="G105" s="12"/>
      <c r="H105" s="12"/>
    </row>
    <row r="106" spans="1:9" ht="15.75" customHeight="1">
      <c r="B106" s="50" t="s">
        <v>13</v>
      </c>
      <c r="C106" s="172"/>
      <c r="D106" s="172"/>
      <c r="E106" s="172"/>
      <c r="F106" s="59"/>
      <c r="I106" s="52"/>
    </row>
    <row r="107" spans="1:9" ht="15.75" customHeight="1">
      <c r="A107" s="53"/>
      <c r="C107" s="173" t="s">
        <v>11</v>
      </c>
      <c r="D107" s="173"/>
      <c r="E107" s="173"/>
      <c r="F107" s="53"/>
      <c r="I107" s="51" t="s">
        <v>12</v>
      </c>
    </row>
    <row r="108" spans="1:9" ht="15.75" customHeight="1">
      <c r="A108" s="4" t="s">
        <v>14</v>
      </c>
    </row>
    <row r="109" spans="1:9">
      <c r="A109" s="174" t="s">
        <v>15</v>
      </c>
      <c r="B109" s="174"/>
      <c r="C109" s="174"/>
      <c r="D109" s="174"/>
      <c r="E109" s="174"/>
      <c r="F109" s="174"/>
      <c r="G109" s="174"/>
      <c r="H109" s="174"/>
      <c r="I109" s="174"/>
    </row>
    <row r="110" spans="1:9" ht="45" customHeight="1">
      <c r="A110" s="165" t="s">
        <v>16</v>
      </c>
      <c r="B110" s="165"/>
      <c r="C110" s="165"/>
      <c r="D110" s="165"/>
      <c r="E110" s="165"/>
      <c r="F110" s="165"/>
      <c r="G110" s="165"/>
      <c r="H110" s="165"/>
      <c r="I110" s="165"/>
    </row>
    <row r="111" spans="1:9" ht="30" customHeight="1">
      <c r="A111" s="165" t="s">
        <v>17</v>
      </c>
      <c r="B111" s="165"/>
      <c r="C111" s="165"/>
      <c r="D111" s="165"/>
      <c r="E111" s="165"/>
      <c r="F111" s="165"/>
      <c r="G111" s="165"/>
      <c r="H111" s="165"/>
      <c r="I111" s="165"/>
    </row>
    <row r="112" spans="1:9" ht="30" customHeight="1">
      <c r="A112" s="165" t="s">
        <v>21</v>
      </c>
      <c r="B112" s="165"/>
      <c r="C112" s="165"/>
      <c r="D112" s="165"/>
      <c r="E112" s="165"/>
      <c r="F112" s="165"/>
      <c r="G112" s="165"/>
      <c r="H112" s="165"/>
      <c r="I112" s="165"/>
    </row>
    <row r="113" spans="1:9" ht="15" customHeight="1">
      <c r="A113" s="165" t="s">
        <v>20</v>
      </c>
      <c r="B113" s="165"/>
      <c r="C113" s="165"/>
      <c r="D113" s="165"/>
      <c r="E113" s="165"/>
      <c r="F113" s="165"/>
      <c r="G113" s="165"/>
      <c r="H113" s="165"/>
      <c r="I113" s="165"/>
    </row>
  </sheetData>
  <autoFilter ref="I12:I54"/>
  <mergeCells count="29">
    <mergeCell ref="R59:U59"/>
    <mergeCell ref="A81:I81"/>
    <mergeCell ref="A3:I3"/>
    <mergeCell ref="A4:I4"/>
    <mergeCell ref="A5:I5"/>
    <mergeCell ref="A8:I8"/>
    <mergeCell ref="A10:I10"/>
    <mergeCell ref="A14:I14"/>
    <mergeCell ref="A99:I99"/>
    <mergeCell ref="A15:I15"/>
    <mergeCell ref="A28:I28"/>
    <mergeCell ref="A42:I42"/>
    <mergeCell ref="A53:I53"/>
    <mergeCell ref="A93:I93"/>
    <mergeCell ref="B94:G94"/>
    <mergeCell ref="B95:G95"/>
    <mergeCell ref="A97:I97"/>
    <mergeCell ref="A98:I98"/>
    <mergeCell ref="A85:I85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3"/>
  <sheetViews>
    <sheetView topLeftCell="A41" workbookViewId="0">
      <selection activeCell="G105" sqref="G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23.5703125" customWidth="1"/>
    <col min="5" max="5" width="18.85546875" hidden="1" customWidth="1"/>
    <col min="6" max="6" width="20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83" t="s">
        <v>156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132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257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108"/>
      <c r="C6" s="108"/>
      <c r="D6" s="108"/>
      <c r="E6" s="108"/>
      <c r="F6" s="108"/>
      <c r="G6" s="108"/>
      <c r="H6" s="108"/>
      <c r="I6" s="84">
        <v>44165</v>
      </c>
      <c r="J6" s="2"/>
      <c r="K6" s="2"/>
      <c r="L6" s="2"/>
      <c r="M6" s="2"/>
    </row>
    <row r="7" spans="1:13" ht="15.75">
      <c r="B7" s="107"/>
      <c r="C7" s="107"/>
      <c r="D7" s="10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258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7" t="s">
        <v>149</v>
      </c>
      <c r="B10" s="187"/>
      <c r="C10" s="187"/>
      <c r="D10" s="187"/>
      <c r="E10" s="187"/>
      <c r="F10" s="187"/>
      <c r="G10" s="187"/>
      <c r="H10" s="187"/>
      <c r="I10" s="18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123" t="s">
        <v>80</v>
      </c>
      <c r="C16" s="124" t="s">
        <v>81</v>
      </c>
      <c r="D16" s="123" t="s">
        <v>165</v>
      </c>
      <c r="E16" s="128">
        <v>54.9</v>
      </c>
      <c r="F16" s="115">
        <f>SUM(E16*156/100)</f>
        <v>85.643999999999991</v>
      </c>
      <c r="G16" s="115">
        <v>261.45</v>
      </c>
      <c r="H16" s="135">
        <f t="shared" ref="H16:H17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23" t="s">
        <v>113</v>
      </c>
      <c r="C17" s="124" t="s">
        <v>81</v>
      </c>
      <c r="D17" s="123" t="s">
        <v>166</v>
      </c>
      <c r="E17" s="128">
        <v>109.8</v>
      </c>
      <c r="F17" s="115">
        <f>SUM(E17*104/100)</f>
        <v>114.19199999999999</v>
      </c>
      <c r="G17" s="115">
        <v>261.45</v>
      </c>
      <c r="H17" s="135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23" t="s">
        <v>114</v>
      </c>
      <c r="C18" s="124" t="s">
        <v>81</v>
      </c>
      <c r="D18" s="123" t="s">
        <v>161</v>
      </c>
      <c r="E18" s="128">
        <f>SUM(E16+E17)</f>
        <v>164.7</v>
      </c>
      <c r="F18" s="115">
        <f>SUM(E18*18/100)</f>
        <v>29.646000000000001</v>
      </c>
      <c r="G18" s="115">
        <v>752.16</v>
      </c>
      <c r="H18" s="135">
        <f t="shared" ref="H18" si="1">SUM(F18*G18/1000)</f>
        <v>22.298535359999999</v>
      </c>
      <c r="I18" s="34">
        <f>F18/18*G18</f>
        <v>1238.8075200000001</v>
      </c>
      <c r="J18" s="23"/>
      <c r="K18" s="8"/>
      <c r="L18" s="8"/>
      <c r="M18" s="8"/>
    </row>
    <row r="19" spans="1:13" ht="15.75" hidden="1" customHeight="1">
      <c r="A19" s="30"/>
      <c r="B19" s="62" t="s">
        <v>88</v>
      </c>
      <c r="C19" s="63" t="s">
        <v>89</v>
      </c>
      <c r="D19" s="62" t="s">
        <v>90</v>
      </c>
      <c r="E19" s="64">
        <v>21.6</v>
      </c>
      <c r="F19" s="65">
        <f>SUM(E19/10)</f>
        <v>2.16</v>
      </c>
      <c r="G19" s="65">
        <v>211.74</v>
      </c>
      <c r="H19" s="66">
        <f t="shared" ref="H19:H26" si="2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91</v>
      </c>
      <c r="C20" s="63" t="s">
        <v>81</v>
      </c>
      <c r="D20" s="62" t="s">
        <v>161</v>
      </c>
      <c r="E20" s="64">
        <v>9.18</v>
      </c>
      <c r="F20" s="65">
        <f>SUM(E20*2/100)</f>
        <v>0.18359999999999999</v>
      </c>
      <c r="G20" s="146">
        <v>324.83999999999997</v>
      </c>
      <c r="H20" s="66">
        <f t="shared" si="2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92</v>
      </c>
      <c r="C21" s="63" t="s">
        <v>81</v>
      </c>
      <c r="D21" s="62" t="s">
        <v>161</v>
      </c>
      <c r="E21" s="64">
        <v>8.1</v>
      </c>
      <c r="F21" s="65">
        <f>SUM(E21*2/100)</f>
        <v>0.16200000000000001</v>
      </c>
      <c r="G21" s="146">
        <v>322.20999999999998</v>
      </c>
      <c r="H21" s="66">
        <f t="shared" si="2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hidden="1" customHeight="1">
      <c r="A22" s="30"/>
      <c r="B22" s="62" t="s">
        <v>93</v>
      </c>
      <c r="C22" s="63" t="s">
        <v>52</v>
      </c>
      <c r="D22" s="62" t="s">
        <v>90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2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94</v>
      </c>
      <c r="C23" s="63" t="s">
        <v>52</v>
      </c>
      <c r="D23" s="62" t="s">
        <v>90</v>
      </c>
      <c r="E23" s="67">
        <v>17.64</v>
      </c>
      <c r="F23" s="65">
        <f>SUM(E23/100)</f>
        <v>0.1764</v>
      </c>
      <c r="G23" s="65">
        <v>55.1</v>
      </c>
      <c r="H23" s="66">
        <f t="shared" si="2"/>
        <v>9.7196399999999999E-3</v>
      </c>
      <c r="I23" s="13">
        <f t="shared" ref="I23:I26" si="3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95</v>
      </c>
      <c r="C24" s="63" t="s">
        <v>52</v>
      </c>
      <c r="D24" s="62" t="s">
        <v>96</v>
      </c>
      <c r="E24" s="64">
        <v>7.2</v>
      </c>
      <c r="F24" s="65">
        <f>E24/100</f>
        <v>7.2000000000000008E-2</v>
      </c>
      <c r="G24" s="65">
        <v>484.94</v>
      </c>
      <c r="H24" s="66">
        <f t="shared" si="2"/>
        <v>3.4915680000000004E-2</v>
      </c>
      <c r="I24" s="13">
        <f t="shared" si="3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97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2"/>
        <v>2.5412939999999998E-2</v>
      </c>
      <c r="I25" s="13">
        <f t="shared" si="3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98</v>
      </c>
      <c r="C26" s="63" t="s">
        <v>52</v>
      </c>
      <c r="D26" s="62" t="s">
        <v>90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2"/>
        <v>7.387740000000001E-2</v>
      </c>
      <c r="I26" s="13">
        <f t="shared" si="3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123" t="s">
        <v>164</v>
      </c>
      <c r="C27" s="124" t="s">
        <v>25</v>
      </c>
      <c r="D27" s="123" t="s">
        <v>168</v>
      </c>
      <c r="E27" s="125">
        <v>2.91</v>
      </c>
      <c r="F27" s="115">
        <f>E27*258</f>
        <v>750.78000000000009</v>
      </c>
      <c r="G27" s="115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hidden="1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80" t="s">
        <v>150</v>
      </c>
      <c r="B29" s="181"/>
      <c r="C29" s="181"/>
      <c r="D29" s="181"/>
      <c r="E29" s="181"/>
      <c r="F29" s="181"/>
      <c r="G29" s="181"/>
      <c r="H29" s="181"/>
      <c r="I29" s="182"/>
      <c r="J29" s="24"/>
    </row>
    <row r="30" spans="1:13" ht="15.75" hidden="1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6</v>
      </c>
      <c r="B31" s="62" t="s">
        <v>101</v>
      </c>
      <c r="C31" s="63" t="s">
        <v>84</v>
      </c>
      <c r="D31" s="62" t="s">
        <v>151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4">SUM(F31*G31/1000)</f>
        <v>0.62031605999999995</v>
      </c>
      <c r="I31" s="13">
        <f t="shared" ref="I31:I32" si="5">F31/6*G31</f>
        <v>103.38601</v>
      </c>
      <c r="J31" s="23"/>
      <c r="K31" s="8"/>
      <c r="L31" s="8"/>
      <c r="M31" s="8"/>
    </row>
    <row r="32" spans="1:13" ht="31.5" hidden="1" customHeight="1">
      <c r="A32" s="30">
        <v>7</v>
      </c>
      <c r="B32" s="62" t="s">
        <v>100</v>
      </c>
      <c r="C32" s="63" t="s">
        <v>84</v>
      </c>
      <c r="D32" s="62" t="s">
        <v>152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4"/>
        <v>0.88609918799999987</v>
      </c>
      <c r="I32" s="13">
        <f t="shared" si="5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84</v>
      </c>
      <c r="D33" s="62" t="s">
        <v>53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4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8</v>
      </c>
      <c r="B34" s="62" t="s">
        <v>99</v>
      </c>
      <c r="C34" s="63" t="s">
        <v>30</v>
      </c>
      <c r="D34" s="62" t="s">
        <v>62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4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63</v>
      </c>
      <c r="C35" s="63" t="s">
        <v>32</v>
      </c>
      <c r="D35" s="62" t="s">
        <v>65</v>
      </c>
      <c r="E35" s="64"/>
      <c r="F35" s="65">
        <v>1</v>
      </c>
      <c r="G35" s="65">
        <v>238.07</v>
      </c>
      <c r="H35" s="66">
        <f t="shared" si="4"/>
        <v>0.23807</v>
      </c>
      <c r="I35" s="13">
        <v>0</v>
      </c>
      <c r="J35" s="24"/>
    </row>
    <row r="36" spans="1:14" ht="15.75" hidden="1" customHeight="1">
      <c r="A36" s="30"/>
      <c r="B36" s="62" t="s">
        <v>64</v>
      </c>
      <c r="C36" s="63" t="s">
        <v>31</v>
      </c>
      <c r="D36" s="62" t="s">
        <v>65</v>
      </c>
      <c r="E36" s="64"/>
      <c r="F36" s="65">
        <v>1</v>
      </c>
      <c r="G36" s="65">
        <v>1413.96</v>
      </c>
      <c r="H36" s="66">
        <f t="shared" si="4"/>
        <v>1.4139600000000001</v>
      </c>
      <c r="I36" s="13">
        <v>0</v>
      </c>
      <c r="J36" s="24"/>
    </row>
    <row r="37" spans="1:14" ht="15.75" customHeight="1">
      <c r="A37" s="30"/>
      <c r="B37" s="82" t="s">
        <v>5</v>
      </c>
      <c r="C37" s="63"/>
      <c r="D37" s="62"/>
      <c r="E37" s="64"/>
      <c r="F37" s="65"/>
      <c r="G37" s="65"/>
      <c r="H37" s="66" t="s">
        <v>115</v>
      </c>
      <c r="I37" s="13"/>
      <c r="J37" s="24"/>
      <c r="L37" s="19"/>
      <c r="M37" s="20"/>
      <c r="N37" s="21"/>
    </row>
    <row r="38" spans="1:14" ht="15.75" hidden="1" customHeight="1">
      <c r="A38" s="30">
        <v>5</v>
      </c>
      <c r="B38" s="136" t="s">
        <v>26</v>
      </c>
      <c r="C38" s="124" t="s">
        <v>31</v>
      </c>
      <c r="D38" s="123" t="s">
        <v>194</v>
      </c>
      <c r="E38" s="128"/>
      <c r="F38" s="115">
        <v>3</v>
      </c>
      <c r="G38" s="115">
        <v>1930</v>
      </c>
      <c r="H38" s="66">
        <f t="shared" ref="H38:H43" si="6">SUM(F38*G38/1000)</f>
        <v>5.79</v>
      </c>
      <c r="I38" s="13">
        <f>G38*1.3</f>
        <v>2509</v>
      </c>
      <c r="J38" s="24"/>
      <c r="L38" s="19"/>
      <c r="M38" s="20"/>
      <c r="N38" s="21"/>
    </row>
    <row r="39" spans="1:14" ht="31.5" customHeight="1">
      <c r="A39" s="30">
        <v>5</v>
      </c>
      <c r="B39" s="136" t="s">
        <v>116</v>
      </c>
      <c r="C39" s="137" t="s">
        <v>29</v>
      </c>
      <c r="D39" s="123" t="s">
        <v>169</v>
      </c>
      <c r="E39" s="128">
        <v>35.299999999999997</v>
      </c>
      <c r="F39" s="138">
        <f>E39*30/1000</f>
        <v>1.0589999999999999</v>
      </c>
      <c r="G39" s="115">
        <v>3134.93</v>
      </c>
      <c r="H39" s="66">
        <f t="shared" si="6"/>
        <v>3.3198908699999996</v>
      </c>
      <c r="I39" s="13">
        <f t="shared" ref="I39:I41" si="7">F39/6*G39</f>
        <v>553.31514499999992</v>
      </c>
      <c r="J39" s="24"/>
      <c r="L39" s="19"/>
      <c r="M39" s="20"/>
      <c r="N39" s="21"/>
    </row>
    <row r="40" spans="1:14" ht="15.75" customHeight="1">
      <c r="A40" s="30">
        <v>6</v>
      </c>
      <c r="B40" s="123" t="s">
        <v>117</v>
      </c>
      <c r="C40" s="124" t="s">
        <v>29</v>
      </c>
      <c r="D40" s="123" t="s">
        <v>195</v>
      </c>
      <c r="E40" s="128">
        <v>35.299999999999997</v>
      </c>
      <c r="F40" s="138">
        <f>SUM(E40*72/1000)</f>
        <v>2.5415999999999999</v>
      </c>
      <c r="G40" s="115">
        <v>522.92999999999995</v>
      </c>
      <c r="H40" s="66">
        <f t="shared" si="6"/>
        <v>1.3290788879999997</v>
      </c>
      <c r="I40" s="13">
        <f t="shared" si="7"/>
        <v>221.51314799999997</v>
      </c>
      <c r="J40" s="24"/>
      <c r="L40" s="19"/>
      <c r="M40" s="20"/>
      <c r="N40" s="21"/>
    </row>
    <row r="41" spans="1:14" ht="47.25" customHeight="1">
      <c r="A41" s="30">
        <v>7</v>
      </c>
      <c r="B41" s="123" t="s">
        <v>118</v>
      </c>
      <c r="C41" s="124" t="s">
        <v>84</v>
      </c>
      <c r="D41" s="123" t="s">
        <v>171</v>
      </c>
      <c r="E41" s="128">
        <v>35.299999999999997</v>
      </c>
      <c r="F41" s="138">
        <f>SUM(E41*24/1000)</f>
        <v>0.84719999999999995</v>
      </c>
      <c r="G41" s="115">
        <v>8652.07</v>
      </c>
      <c r="H41" s="66">
        <f t="shared" si="6"/>
        <v>7.3300337039999999</v>
      </c>
      <c r="I41" s="13">
        <f t="shared" si="7"/>
        <v>1221.672284</v>
      </c>
      <c r="J41" s="24"/>
      <c r="L41" s="19"/>
      <c r="M41" s="20"/>
      <c r="N41" s="21"/>
    </row>
    <row r="42" spans="1:14" ht="15.75" hidden="1" customHeight="1">
      <c r="A42" s="30">
        <v>9</v>
      </c>
      <c r="B42" s="123" t="s">
        <v>120</v>
      </c>
      <c r="C42" s="124" t="s">
        <v>84</v>
      </c>
      <c r="D42" s="123" t="s">
        <v>82</v>
      </c>
      <c r="E42" s="128">
        <v>35.299999999999997</v>
      </c>
      <c r="F42" s="138">
        <f>SUM(E42*30/1000)</f>
        <v>1.0589999999999999</v>
      </c>
      <c r="G42" s="115">
        <v>639.14</v>
      </c>
      <c r="H42" s="66">
        <f t="shared" si="6"/>
        <v>0.67684926000000001</v>
      </c>
      <c r="I42" s="13">
        <f>(F42/7.5*1.5)*G42</f>
        <v>135.36985199999998</v>
      </c>
      <c r="J42" s="24"/>
      <c r="L42" s="19"/>
      <c r="M42" s="20"/>
      <c r="N42" s="21"/>
    </row>
    <row r="43" spans="1:14" ht="15.75" hidden="1" customHeight="1">
      <c r="A43" s="30">
        <v>10</v>
      </c>
      <c r="B43" s="136" t="s">
        <v>67</v>
      </c>
      <c r="C43" s="137" t="s">
        <v>32</v>
      </c>
      <c r="D43" s="136"/>
      <c r="E43" s="125"/>
      <c r="F43" s="138">
        <v>0.3</v>
      </c>
      <c r="G43" s="138">
        <v>900</v>
      </c>
      <c r="H43" s="66">
        <f t="shared" si="6"/>
        <v>0.27</v>
      </c>
      <c r="I43" s="13">
        <f>(F43/7.5*1.5)*G43</f>
        <v>54</v>
      </c>
      <c r="J43" s="24"/>
      <c r="L43" s="19"/>
      <c r="M43" s="20"/>
      <c r="N43" s="21"/>
    </row>
    <row r="44" spans="1:14" ht="33.75" customHeight="1">
      <c r="A44" s="30">
        <v>8</v>
      </c>
      <c r="B44" s="142" t="s">
        <v>193</v>
      </c>
      <c r="C44" s="137" t="s">
        <v>29</v>
      </c>
      <c r="D44" s="136" t="s">
        <v>196</v>
      </c>
      <c r="E44" s="125">
        <v>1.2</v>
      </c>
      <c r="F44" s="138">
        <f>E44*12/1000</f>
        <v>1.4399999999999998E-2</v>
      </c>
      <c r="G44" s="138">
        <v>20547.34</v>
      </c>
      <c r="H44" s="56"/>
      <c r="I44" s="13">
        <f>G44*F44/6</f>
        <v>49.313615999999996</v>
      </c>
      <c r="J44" s="24"/>
      <c r="L44" s="19"/>
      <c r="M44" s="20"/>
      <c r="N44" s="21"/>
    </row>
    <row r="45" spans="1:14" ht="15.75" hidden="1" customHeight="1">
      <c r="A45" s="180" t="s">
        <v>135</v>
      </c>
      <c r="B45" s="181"/>
      <c r="C45" s="181"/>
      <c r="D45" s="181"/>
      <c r="E45" s="181"/>
      <c r="F45" s="181"/>
      <c r="G45" s="181"/>
      <c r="H45" s="181"/>
      <c r="I45" s="182"/>
      <c r="J45" s="24"/>
      <c r="L45" s="19"/>
      <c r="M45" s="20"/>
      <c r="N45" s="21"/>
    </row>
    <row r="46" spans="1:14" ht="15.75" hidden="1" customHeight="1">
      <c r="A46" s="30">
        <v>11</v>
      </c>
      <c r="B46" s="62" t="s">
        <v>102</v>
      </c>
      <c r="C46" s="63" t="s">
        <v>84</v>
      </c>
      <c r="D46" s="62" t="s">
        <v>42</v>
      </c>
      <c r="E46" s="64">
        <v>907.4</v>
      </c>
      <c r="F46" s="65">
        <f>SUM(E46*2/1000)</f>
        <v>1.8148</v>
      </c>
      <c r="G46" s="13">
        <v>1283.46</v>
      </c>
      <c r="H46" s="66">
        <f t="shared" ref="H46:H55" si="8">SUM(F46*G46/1000)</f>
        <v>2.3292232079999997</v>
      </c>
      <c r="I46" s="13">
        <f>F46/2*G46</f>
        <v>1164.6116039999999</v>
      </c>
      <c r="J46" s="24"/>
      <c r="L46" s="19"/>
      <c r="M46" s="20"/>
      <c r="N46" s="21"/>
    </row>
    <row r="47" spans="1:14" ht="15.75" hidden="1" customHeight="1">
      <c r="A47" s="30">
        <v>12</v>
      </c>
      <c r="B47" s="62" t="s">
        <v>35</v>
      </c>
      <c r="C47" s="63" t="s">
        <v>84</v>
      </c>
      <c r="D47" s="62" t="s">
        <v>42</v>
      </c>
      <c r="E47" s="64">
        <v>27</v>
      </c>
      <c r="F47" s="65">
        <f>SUM(E47*2/1000)</f>
        <v>5.3999999999999999E-2</v>
      </c>
      <c r="G47" s="13">
        <v>4192.6400000000003</v>
      </c>
      <c r="H47" s="66">
        <f t="shared" si="8"/>
        <v>0.22640256000000003</v>
      </c>
      <c r="I47" s="13">
        <f t="shared" ref="I47:I54" si="9">F47/2*G47</f>
        <v>113.20128000000001</v>
      </c>
      <c r="J47" s="24"/>
      <c r="L47" s="19"/>
      <c r="M47" s="20"/>
      <c r="N47" s="21"/>
    </row>
    <row r="48" spans="1:14" ht="15.75" hidden="1" customHeight="1">
      <c r="A48" s="30">
        <v>13</v>
      </c>
      <c r="B48" s="62" t="s">
        <v>36</v>
      </c>
      <c r="C48" s="63" t="s">
        <v>84</v>
      </c>
      <c r="D48" s="62" t="s">
        <v>42</v>
      </c>
      <c r="E48" s="64">
        <v>772</v>
      </c>
      <c r="F48" s="65">
        <f>SUM(E48*2/1000)</f>
        <v>1.544</v>
      </c>
      <c r="G48" s="13">
        <v>1711.28</v>
      </c>
      <c r="H48" s="66">
        <f t="shared" si="8"/>
        <v>2.6422163200000002</v>
      </c>
      <c r="I48" s="13">
        <f t="shared" si="9"/>
        <v>1321.10816</v>
      </c>
      <c r="J48" s="24"/>
      <c r="L48" s="19"/>
      <c r="M48" s="20"/>
      <c r="N48" s="21"/>
    </row>
    <row r="49" spans="1:22" ht="15.75" hidden="1" customHeight="1">
      <c r="A49" s="30">
        <v>14</v>
      </c>
      <c r="B49" s="62" t="s">
        <v>37</v>
      </c>
      <c r="C49" s="63" t="s">
        <v>84</v>
      </c>
      <c r="D49" s="62" t="s">
        <v>42</v>
      </c>
      <c r="E49" s="64">
        <v>959.4</v>
      </c>
      <c r="F49" s="65">
        <f>SUM(E49*2/1000)</f>
        <v>1.9188000000000001</v>
      </c>
      <c r="G49" s="13">
        <v>1179.73</v>
      </c>
      <c r="H49" s="66">
        <f t="shared" si="8"/>
        <v>2.2636659240000001</v>
      </c>
      <c r="I49" s="13">
        <f t="shared" si="9"/>
        <v>1131.832962</v>
      </c>
      <c r="J49" s="24"/>
      <c r="L49" s="19"/>
      <c r="M49" s="20"/>
      <c r="N49" s="21"/>
    </row>
    <row r="50" spans="1:22" ht="15.75" hidden="1" customHeight="1">
      <c r="A50" s="30">
        <v>15</v>
      </c>
      <c r="B50" s="62" t="s">
        <v>33</v>
      </c>
      <c r="C50" s="63" t="s">
        <v>34</v>
      </c>
      <c r="D50" s="62" t="s">
        <v>42</v>
      </c>
      <c r="E50" s="64">
        <v>66.02</v>
      </c>
      <c r="F50" s="65">
        <f>SUM(E50*2/100)</f>
        <v>1.3204</v>
      </c>
      <c r="G50" s="13">
        <v>90.61</v>
      </c>
      <c r="H50" s="66">
        <f t="shared" si="8"/>
        <v>0.11964144400000001</v>
      </c>
      <c r="I50" s="13">
        <f t="shared" si="9"/>
        <v>59.820722000000004</v>
      </c>
      <c r="J50" s="24"/>
      <c r="L50" s="19"/>
      <c r="M50" s="20"/>
      <c r="N50" s="21"/>
    </row>
    <row r="51" spans="1:22" ht="15.75" hidden="1" customHeight="1">
      <c r="A51" s="30">
        <v>16</v>
      </c>
      <c r="B51" s="62" t="s">
        <v>55</v>
      </c>
      <c r="C51" s="63" t="s">
        <v>84</v>
      </c>
      <c r="D51" s="62" t="s">
        <v>134</v>
      </c>
      <c r="E51" s="64">
        <v>1536.4</v>
      </c>
      <c r="F51" s="65">
        <f>SUM(E51*5/1000)</f>
        <v>7.6820000000000004</v>
      </c>
      <c r="G51" s="13">
        <v>1711.28</v>
      </c>
      <c r="H51" s="66">
        <f t="shared" si="8"/>
        <v>13.14605296</v>
      </c>
      <c r="I51" s="13">
        <f>F51/5*G51</f>
        <v>2629.2105919999999</v>
      </c>
      <c r="J51" s="24"/>
      <c r="L51" s="19"/>
      <c r="M51" s="20"/>
      <c r="N51" s="21"/>
    </row>
    <row r="52" spans="1:22" ht="32.25" hidden="1" customHeight="1">
      <c r="A52" s="30">
        <v>12</v>
      </c>
      <c r="B52" s="62" t="s">
        <v>85</v>
      </c>
      <c r="C52" s="63" t="s">
        <v>84</v>
      </c>
      <c r="D52" s="62" t="s">
        <v>42</v>
      </c>
      <c r="E52" s="64">
        <v>1536.4</v>
      </c>
      <c r="F52" s="65">
        <f>SUM(E52*2/1000)</f>
        <v>3.0728</v>
      </c>
      <c r="G52" s="13">
        <v>1510.06</v>
      </c>
      <c r="H52" s="66">
        <f t="shared" si="8"/>
        <v>4.6401123680000005</v>
      </c>
      <c r="I52" s="13">
        <f t="shared" si="9"/>
        <v>2320.056184</v>
      </c>
      <c r="J52" s="24"/>
      <c r="L52" s="19"/>
      <c r="M52" s="20"/>
      <c r="N52" s="21"/>
    </row>
    <row r="53" spans="1:22" ht="32.25" hidden="1" customHeight="1">
      <c r="A53" s="30">
        <v>13</v>
      </c>
      <c r="B53" s="62" t="s">
        <v>86</v>
      </c>
      <c r="C53" s="63" t="s">
        <v>38</v>
      </c>
      <c r="D53" s="62" t="s">
        <v>42</v>
      </c>
      <c r="E53" s="64">
        <v>9</v>
      </c>
      <c r="F53" s="65">
        <f>SUM(E53*2/100)</f>
        <v>0.18</v>
      </c>
      <c r="G53" s="13">
        <v>3850.4</v>
      </c>
      <c r="H53" s="66">
        <f t="shared" si="8"/>
        <v>0.69307200000000002</v>
      </c>
      <c r="I53" s="13">
        <f t="shared" si="9"/>
        <v>346.536</v>
      </c>
      <c r="J53" s="24"/>
      <c r="L53" s="19"/>
      <c r="M53" s="20"/>
      <c r="N53" s="21"/>
    </row>
    <row r="54" spans="1:22" ht="15.75" hidden="1" customHeight="1">
      <c r="A54" s="30">
        <v>14</v>
      </c>
      <c r="B54" s="62" t="s">
        <v>39</v>
      </c>
      <c r="C54" s="63" t="s">
        <v>40</v>
      </c>
      <c r="D54" s="62" t="s">
        <v>42</v>
      </c>
      <c r="E54" s="64">
        <v>1</v>
      </c>
      <c r="F54" s="65">
        <v>0.02</v>
      </c>
      <c r="G54" s="13">
        <v>7033.13</v>
      </c>
      <c r="H54" s="66">
        <f t="shared" si="8"/>
        <v>0.1406626</v>
      </c>
      <c r="I54" s="13">
        <f t="shared" si="9"/>
        <v>70.331299999999999</v>
      </c>
      <c r="J54" s="24"/>
      <c r="L54" s="19"/>
      <c r="M54" s="20"/>
      <c r="N54" s="21"/>
    </row>
    <row r="55" spans="1:22" ht="15.75" hidden="1" customHeight="1">
      <c r="A55" s="30"/>
      <c r="B55" s="62" t="s">
        <v>41</v>
      </c>
      <c r="C55" s="63" t="s">
        <v>103</v>
      </c>
      <c r="D55" s="62" t="s">
        <v>53</v>
      </c>
      <c r="E55" s="64">
        <v>53</v>
      </c>
      <c r="F55" s="65">
        <v>53</v>
      </c>
      <c r="G55" s="13">
        <v>81.73</v>
      </c>
      <c r="H55" s="66">
        <f t="shared" si="8"/>
        <v>4.3316900000000009</v>
      </c>
      <c r="I55" s="13">
        <f>F55/3*G55</f>
        <v>1443.8966666666668</v>
      </c>
      <c r="J55" s="24"/>
      <c r="L55" s="19"/>
    </row>
    <row r="56" spans="1:22" ht="15.75" customHeight="1">
      <c r="A56" s="180" t="s">
        <v>141</v>
      </c>
      <c r="B56" s="181"/>
      <c r="C56" s="181"/>
      <c r="D56" s="181"/>
      <c r="E56" s="181"/>
      <c r="F56" s="181"/>
      <c r="G56" s="181"/>
      <c r="H56" s="181"/>
      <c r="I56" s="182"/>
    </row>
    <row r="57" spans="1:22" ht="15.75" hidden="1" customHeight="1">
      <c r="A57" s="30"/>
      <c r="B57" s="82" t="s">
        <v>43</v>
      </c>
      <c r="C57" s="63"/>
      <c r="D57" s="62"/>
      <c r="E57" s="64"/>
      <c r="F57" s="65"/>
      <c r="G57" s="65"/>
      <c r="H57" s="66"/>
      <c r="I57" s="13"/>
    </row>
    <row r="58" spans="1:22" ht="31.5" hidden="1" customHeight="1">
      <c r="A58" s="30">
        <v>15</v>
      </c>
      <c r="B58" s="62" t="s">
        <v>104</v>
      </c>
      <c r="C58" s="63" t="s">
        <v>81</v>
      </c>
      <c r="D58" s="62" t="s">
        <v>105</v>
      </c>
      <c r="E58" s="64">
        <v>11.5</v>
      </c>
      <c r="F58" s="65">
        <f>SUM(E58*6/100)</f>
        <v>0.69</v>
      </c>
      <c r="G58" s="13">
        <v>2306.62</v>
      </c>
      <c r="H58" s="66">
        <f>SUM(F58*G58/1000)</f>
        <v>1.5915677999999998</v>
      </c>
      <c r="I58" s="13">
        <f t="shared" ref="I58" si="10">F58/6*G58</f>
        <v>265.26129999999995</v>
      </c>
    </row>
    <row r="59" spans="1:22" ht="15.75" hidden="1" customHeight="1">
      <c r="A59" s="30">
        <v>16</v>
      </c>
      <c r="B59" s="62" t="s">
        <v>121</v>
      </c>
      <c r="C59" s="63" t="s">
        <v>122</v>
      </c>
      <c r="D59" s="62" t="s">
        <v>65</v>
      </c>
      <c r="E59" s="64"/>
      <c r="F59" s="65">
        <v>2</v>
      </c>
      <c r="G59" s="85">
        <v>1501</v>
      </c>
      <c r="H59" s="66">
        <f>SUM(F59*G59/1000)</f>
        <v>3.0019999999999998</v>
      </c>
      <c r="I59" s="13">
        <f>G59*(4+1)</f>
        <v>7505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/>
      <c r="B60" s="82" t="s">
        <v>44</v>
      </c>
      <c r="C60" s="63"/>
      <c r="D60" s="62"/>
      <c r="E60" s="64"/>
      <c r="F60" s="65"/>
      <c r="G60" s="86"/>
      <c r="H60" s="66"/>
      <c r="I60" s="13"/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106</v>
      </c>
      <c r="C61" s="63" t="s">
        <v>81</v>
      </c>
      <c r="D61" s="62" t="s">
        <v>53</v>
      </c>
      <c r="E61" s="64">
        <v>148</v>
      </c>
      <c r="F61" s="66">
        <f>E61/100</f>
        <v>1.48</v>
      </c>
      <c r="G61" s="13">
        <v>987.51</v>
      </c>
      <c r="H61" s="71">
        <f>F61*G61/1000</f>
        <v>1.4615148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customHeight="1">
      <c r="A62" s="30">
        <v>9</v>
      </c>
      <c r="B62" s="73" t="s">
        <v>131</v>
      </c>
      <c r="C62" s="72" t="s">
        <v>25</v>
      </c>
      <c r="D62" s="73" t="s">
        <v>161</v>
      </c>
      <c r="E62" s="74">
        <v>140.5</v>
      </c>
      <c r="F62" s="65">
        <v>1320</v>
      </c>
      <c r="G62" s="87">
        <v>1.4</v>
      </c>
      <c r="H62" s="71">
        <f>F62*G62/1000</f>
        <v>1.8479999999999999</v>
      </c>
      <c r="I62" s="13">
        <f>F62/12*G62</f>
        <v>154</v>
      </c>
      <c r="J62" s="5"/>
      <c r="K62" s="5"/>
      <c r="L62" s="5"/>
      <c r="M62" s="5"/>
      <c r="N62" s="5"/>
      <c r="O62" s="5"/>
      <c r="P62" s="5"/>
      <c r="Q62" s="5"/>
      <c r="R62" s="173"/>
      <c r="S62" s="173"/>
      <c r="T62" s="173"/>
      <c r="U62" s="173"/>
    </row>
    <row r="63" spans="1:22" ht="15.75" customHeight="1">
      <c r="A63" s="30"/>
      <c r="B63" s="83" t="s">
        <v>45</v>
      </c>
      <c r="C63" s="72"/>
      <c r="D63" s="73"/>
      <c r="E63" s="74"/>
      <c r="F63" s="75"/>
      <c r="G63" s="75"/>
      <c r="H63" s="76" t="s">
        <v>115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hidden="1" customHeight="1">
      <c r="A64" s="30">
        <v>11</v>
      </c>
      <c r="B64" s="14" t="s">
        <v>46</v>
      </c>
      <c r="C64" s="16" t="s">
        <v>103</v>
      </c>
      <c r="D64" s="14" t="s">
        <v>65</v>
      </c>
      <c r="E64" s="18">
        <v>2</v>
      </c>
      <c r="F64" s="65">
        <f>E64</f>
        <v>2</v>
      </c>
      <c r="G64" s="13">
        <v>276.74</v>
      </c>
      <c r="H64" s="61">
        <f t="shared" ref="H64:H81" si="11">SUM(F64*G64/1000)</f>
        <v>0.55347999999999997</v>
      </c>
      <c r="I64" s="13">
        <f>G64</f>
        <v>276.74</v>
      </c>
    </row>
    <row r="65" spans="1:9" ht="15.75" hidden="1" customHeight="1">
      <c r="A65" s="30"/>
      <c r="B65" s="14" t="s">
        <v>47</v>
      </c>
      <c r="C65" s="16" t="s">
        <v>103</v>
      </c>
      <c r="D65" s="14" t="s">
        <v>65</v>
      </c>
      <c r="E65" s="18">
        <v>1</v>
      </c>
      <c r="F65" s="65">
        <f>E65</f>
        <v>1</v>
      </c>
      <c r="G65" s="13">
        <v>94.89</v>
      </c>
      <c r="H65" s="61">
        <f t="shared" si="11"/>
        <v>9.4890000000000002E-2</v>
      </c>
      <c r="I65" s="13">
        <v>0</v>
      </c>
    </row>
    <row r="66" spans="1:9" ht="15.75" hidden="1" customHeight="1">
      <c r="A66" s="30"/>
      <c r="B66" s="14" t="s">
        <v>48</v>
      </c>
      <c r="C66" s="16" t="s">
        <v>107</v>
      </c>
      <c r="D66" s="14" t="s">
        <v>53</v>
      </c>
      <c r="E66" s="64">
        <v>6307</v>
      </c>
      <c r="F66" s="13">
        <f>SUM(E66/100)</f>
        <v>63.07</v>
      </c>
      <c r="G66" s="13">
        <v>263.99</v>
      </c>
      <c r="H66" s="61">
        <f t="shared" si="11"/>
        <v>16.649849300000003</v>
      </c>
      <c r="I66" s="13">
        <v>0</v>
      </c>
    </row>
    <row r="67" spans="1:9" ht="15.75" hidden="1" customHeight="1">
      <c r="A67" s="30"/>
      <c r="B67" s="14" t="s">
        <v>49</v>
      </c>
      <c r="C67" s="16" t="s">
        <v>108</v>
      </c>
      <c r="D67" s="14"/>
      <c r="E67" s="64">
        <v>6307</v>
      </c>
      <c r="F67" s="13">
        <f>SUM(E67/1000)</f>
        <v>6.3070000000000004</v>
      </c>
      <c r="G67" s="13">
        <v>205.57</v>
      </c>
      <c r="H67" s="61">
        <f t="shared" si="11"/>
        <v>1.29652999</v>
      </c>
      <c r="I67" s="13">
        <v>0</v>
      </c>
    </row>
    <row r="68" spans="1:9" ht="15.75" hidden="1" customHeight="1">
      <c r="A68" s="30"/>
      <c r="B68" s="14" t="s">
        <v>50</v>
      </c>
      <c r="C68" s="16" t="s">
        <v>74</v>
      </c>
      <c r="D68" s="14" t="s">
        <v>53</v>
      </c>
      <c r="E68" s="64">
        <v>1003</v>
      </c>
      <c r="F68" s="13">
        <f>SUM(E68/100)</f>
        <v>10.029999999999999</v>
      </c>
      <c r="G68" s="13">
        <v>2581.5300000000002</v>
      </c>
      <c r="H68" s="61">
        <f t="shared" si="11"/>
        <v>25.892745900000001</v>
      </c>
      <c r="I68" s="13">
        <v>0</v>
      </c>
    </row>
    <row r="69" spans="1:9" ht="15.75" hidden="1" customHeight="1">
      <c r="A69" s="30"/>
      <c r="B69" s="77" t="s">
        <v>109</v>
      </c>
      <c r="C69" s="16" t="s">
        <v>32</v>
      </c>
      <c r="D69" s="14"/>
      <c r="E69" s="64">
        <v>6.6</v>
      </c>
      <c r="F69" s="13">
        <f>SUM(E69)</f>
        <v>6.6</v>
      </c>
      <c r="G69" s="13">
        <v>47.75</v>
      </c>
      <c r="H69" s="61">
        <f t="shared" si="11"/>
        <v>0.31514999999999999</v>
      </c>
      <c r="I69" s="13">
        <v>0</v>
      </c>
    </row>
    <row r="70" spans="1:9" ht="15.75" hidden="1" customHeight="1">
      <c r="A70" s="30"/>
      <c r="B70" s="77" t="s">
        <v>110</v>
      </c>
      <c r="C70" s="16" t="s">
        <v>32</v>
      </c>
      <c r="D70" s="14"/>
      <c r="E70" s="64">
        <v>6.6</v>
      </c>
      <c r="F70" s="13">
        <f>SUM(E70)</f>
        <v>6.6</v>
      </c>
      <c r="G70" s="13">
        <v>44.27</v>
      </c>
      <c r="H70" s="61">
        <f t="shared" si="11"/>
        <v>0.292182</v>
      </c>
      <c r="I70" s="13">
        <v>0</v>
      </c>
    </row>
    <row r="71" spans="1:9" ht="15.75" hidden="1" customHeight="1">
      <c r="A71" s="30">
        <v>19</v>
      </c>
      <c r="B71" s="14" t="s">
        <v>56</v>
      </c>
      <c r="C71" s="16" t="s">
        <v>57</v>
      </c>
      <c r="D71" s="14" t="s">
        <v>53</v>
      </c>
      <c r="E71" s="18">
        <v>3</v>
      </c>
      <c r="F71" s="65">
        <v>3</v>
      </c>
      <c r="G71" s="13">
        <v>62.07</v>
      </c>
      <c r="H71" s="61">
        <f t="shared" si="11"/>
        <v>0.18621000000000001</v>
      </c>
      <c r="I71" s="13">
        <f>F71*G71</f>
        <v>186.21</v>
      </c>
    </row>
    <row r="72" spans="1:9" ht="15.75" customHeight="1">
      <c r="A72" s="30">
        <v>10</v>
      </c>
      <c r="B72" s="139" t="s">
        <v>123</v>
      </c>
      <c r="C72" s="131" t="s">
        <v>124</v>
      </c>
      <c r="D72" s="139" t="s">
        <v>161</v>
      </c>
      <c r="E72" s="17">
        <v>1536.4</v>
      </c>
      <c r="F72" s="140">
        <f>E72*12</f>
        <v>18436.800000000003</v>
      </c>
      <c r="G72" s="34">
        <v>2.6</v>
      </c>
      <c r="H72" s="61">
        <f t="shared" ref="H72" si="12">SUM(F72*G72/1000)</f>
        <v>47.935680000000005</v>
      </c>
      <c r="I72" s="13">
        <f>F72/12*G72</f>
        <v>3994.6400000000008</v>
      </c>
    </row>
    <row r="73" spans="1:9" ht="15.75" customHeight="1">
      <c r="A73" s="30"/>
      <c r="B73" s="109" t="s">
        <v>69</v>
      </c>
      <c r="C73" s="16"/>
      <c r="D73" s="14"/>
      <c r="E73" s="18"/>
      <c r="F73" s="13"/>
      <c r="G73" s="13"/>
      <c r="H73" s="61" t="s">
        <v>115</v>
      </c>
      <c r="I73" s="13"/>
    </row>
    <row r="74" spans="1:9" ht="15.75" hidden="1" customHeight="1">
      <c r="A74" s="30"/>
      <c r="B74" s="14" t="s">
        <v>125</v>
      </c>
      <c r="C74" s="16" t="s">
        <v>126</v>
      </c>
      <c r="D74" s="14" t="s">
        <v>65</v>
      </c>
      <c r="E74" s="18">
        <v>1</v>
      </c>
      <c r="F74" s="13">
        <f>E74</f>
        <v>1</v>
      </c>
      <c r="G74" s="13">
        <v>976.4</v>
      </c>
      <c r="H74" s="61">
        <f t="shared" ref="H74:H75" si="13">SUM(F74*G74/1000)</f>
        <v>0.97639999999999993</v>
      </c>
      <c r="I74" s="13">
        <v>0</v>
      </c>
    </row>
    <row r="75" spans="1:9" ht="15.75" hidden="1" customHeight="1">
      <c r="A75" s="30"/>
      <c r="B75" s="14" t="s">
        <v>127</v>
      </c>
      <c r="C75" s="16" t="s">
        <v>128</v>
      </c>
      <c r="D75" s="14"/>
      <c r="E75" s="18">
        <v>1</v>
      </c>
      <c r="F75" s="13">
        <v>1</v>
      </c>
      <c r="G75" s="13">
        <v>650</v>
      </c>
      <c r="H75" s="61">
        <f t="shared" si="13"/>
        <v>0.65</v>
      </c>
      <c r="I75" s="13">
        <v>0</v>
      </c>
    </row>
    <row r="76" spans="1:9" ht="15.75" hidden="1" customHeight="1">
      <c r="A76" s="30">
        <v>13</v>
      </c>
      <c r="B76" s="14" t="s">
        <v>70</v>
      </c>
      <c r="C76" s="16" t="s">
        <v>72</v>
      </c>
      <c r="D76" s="14"/>
      <c r="E76" s="18">
        <v>3</v>
      </c>
      <c r="F76" s="13">
        <v>0.3</v>
      </c>
      <c r="G76" s="13">
        <v>624.16999999999996</v>
      </c>
      <c r="H76" s="61">
        <f t="shared" si="11"/>
        <v>0.18725099999999997</v>
      </c>
      <c r="I76" s="13">
        <f>G76*0.1</f>
        <v>62.417000000000002</v>
      </c>
    </row>
    <row r="77" spans="1:9" ht="15.75" hidden="1" customHeight="1">
      <c r="A77" s="30"/>
      <c r="B77" s="14" t="s">
        <v>71</v>
      </c>
      <c r="C77" s="16" t="s">
        <v>30</v>
      </c>
      <c r="D77" s="14"/>
      <c r="E77" s="18">
        <v>1</v>
      </c>
      <c r="F77" s="56">
        <v>1</v>
      </c>
      <c r="G77" s="13">
        <v>1061.4100000000001</v>
      </c>
      <c r="H77" s="61">
        <f>F77*G77/1000</f>
        <v>1.0614100000000002</v>
      </c>
      <c r="I77" s="13">
        <v>0</v>
      </c>
    </row>
    <row r="78" spans="1:9" ht="28.5" customHeight="1">
      <c r="A78" s="30">
        <v>11</v>
      </c>
      <c r="B78" s="46" t="s">
        <v>197</v>
      </c>
      <c r="C78" s="47" t="s">
        <v>103</v>
      </c>
      <c r="D78" s="139" t="s">
        <v>173</v>
      </c>
      <c r="E78" s="17">
        <v>2</v>
      </c>
      <c r="F78" s="34">
        <f>E78*12</f>
        <v>24</v>
      </c>
      <c r="G78" s="34">
        <v>420</v>
      </c>
      <c r="H78" s="61">
        <f>G78*F78/1000</f>
        <v>10.08</v>
      </c>
      <c r="I78" s="13">
        <f>G78*2</f>
        <v>840</v>
      </c>
    </row>
    <row r="79" spans="1:9" ht="29.25" customHeight="1">
      <c r="A79" s="30">
        <v>12</v>
      </c>
      <c r="B79" s="46" t="s">
        <v>198</v>
      </c>
      <c r="C79" s="47" t="s">
        <v>30</v>
      </c>
      <c r="D79" s="139" t="s">
        <v>173</v>
      </c>
      <c r="E79" s="17">
        <v>1</v>
      </c>
      <c r="F79" s="34">
        <f>E79*12</f>
        <v>12</v>
      </c>
      <c r="G79" s="34">
        <v>1829</v>
      </c>
      <c r="H79" s="61"/>
      <c r="I79" s="13">
        <f>G79*F79/12</f>
        <v>1829</v>
      </c>
    </row>
    <row r="80" spans="1:9" ht="15.75" hidden="1" customHeight="1">
      <c r="A80" s="30"/>
      <c r="B80" s="79" t="s">
        <v>73</v>
      </c>
      <c r="C80" s="16"/>
      <c r="D80" s="14"/>
      <c r="E80" s="18"/>
      <c r="F80" s="13"/>
      <c r="G80" s="13" t="s">
        <v>115</v>
      </c>
      <c r="H80" s="61" t="s">
        <v>115</v>
      </c>
      <c r="I80" s="13" t="str">
        <f>G80</f>
        <v xml:space="preserve"> </v>
      </c>
    </row>
    <row r="81" spans="1:9" ht="15.75" hidden="1" customHeight="1">
      <c r="A81" s="30"/>
      <c r="B81" s="43" t="s">
        <v>130</v>
      </c>
      <c r="C81" s="16" t="s">
        <v>74</v>
      </c>
      <c r="D81" s="14"/>
      <c r="E81" s="18"/>
      <c r="F81" s="13">
        <v>0.1</v>
      </c>
      <c r="G81" s="13">
        <v>3433.69</v>
      </c>
      <c r="H81" s="61">
        <f t="shared" si="11"/>
        <v>0.34336900000000004</v>
      </c>
      <c r="I81" s="13">
        <v>0</v>
      </c>
    </row>
    <row r="82" spans="1:9" ht="15.75" customHeight="1">
      <c r="A82" s="30"/>
      <c r="B82" s="55" t="s">
        <v>87</v>
      </c>
      <c r="C82" s="79"/>
      <c r="D82" s="31"/>
      <c r="E82" s="32"/>
      <c r="F82" s="68"/>
      <c r="G82" s="68"/>
      <c r="H82" s="80">
        <f>SUM(H58:H81)</f>
        <v>114.41822979000001</v>
      </c>
      <c r="I82" s="13"/>
    </row>
    <row r="83" spans="1:9" ht="15.75" customHeight="1">
      <c r="A83" s="30">
        <v>13</v>
      </c>
      <c r="B83" s="62" t="s">
        <v>111</v>
      </c>
      <c r="C83" s="16"/>
      <c r="D83" s="14"/>
      <c r="E83" s="57"/>
      <c r="F83" s="13">
        <v>1</v>
      </c>
      <c r="G83" s="13">
        <v>4194.6000000000004</v>
      </c>
      <c r="H83" s="61">
        <f>G83*F83/1000</f>
        <v>4.1946000000000003</v>
      </c>
      <c r="I83" s="13">
        <f>G83</f>
        <v>4194.6000000000004</v>
      </c>
    </row>
    <row r="84" spans="1:9" ht="15.75" customHeight="1">
      <c r="A84" s="180" t="s">
        <v>142</v>
      </c>
      <c r="B84" s="181"/>
      <c r="C84" s="181"/>
      <c r="D84" s="181"/>
      <c r="E84" s="181"/>
      <c r="F84" s="181"/>
      <c r="G84" s="181"/>
      <c r="H84" s="181"/>
      <c r="I84" s="182"/>
    </row>
    <row r="85" spans="1:9" ht="15.75" customHeight="1">
      <c r="A85" s="30">
        <v>14</v>
      </c>
      <c r="B85" s="123" t="s">
        <v>112</v>
      </c>
      <c r="C85" s="130" t="s">
        <v>54</v>
      </c>
      <c r="D85" s="141"/>
      <c r="E85" s="34">
        <v>1536.4</v>
      </c>
      <c r="F85" s="34">
        <f>SUM(E85*12)</f>
        <v>18436.800000000003</v>
      </c>
      <c r="G85" s="34">
        <v>3.5</v>
      </c>
      <c r="H85" s="61">
        <f>SUM(F85*G85/1000)</f>
        <v>64.528800000000004</v>
      </c>
      <c r="I85" s="13">
        <f>F85/12*G85</f>
        <v>5377.4000000000015</v>
      </c>
    </row>
    <row r="86" spans="1:9" ht="31.5" customHeight="1">
      <c r="A86" s="30">
        <v>15</v>
      </c>
      <c r="B86" s="123" t="s">
        <v>199</v>
      </c>
      <c r="C86" s="130" t="s">
        <v>54</v>
      </c>
      <c r="D86" s="141"/>
      <c r="E86" s="34">
        <v>1536.4</v>
      </c>
      <c r="F86" s="34">
        <f>E86*12</f>
        <v>18436.800000000003</v>
      </c>
      <c r="G86" s="34">
        <v>3.2</v>
      </c>
      <c r="H86" s="61">
        <f>F86*G86/1000</f>
        <v>58.997760000000007</v>
      </c>
      <c r="I86" s="13">
        <f>F86/12*G86</f>
        <v>4916.4800000000014</v>
      </c>
    </row>
    <row r="87" spans="1:9" ht="15.75" customHeight="1">
      <c r="A87" s="30"/>
      <c r="B87" s="36" t="s">
        <v>77</v>
      </c>
      <c r="C87" s="79"/>
      <c r="D87" s="78"/>
      <c r="E87" s="68"/>
      <c r="F87" s="68"/>
      <c r="G87" s="68"/>
      <c r="H87" s="80">
        <f>H86</f>
        <v>58.997760000000007</v>
      </c>
      <c r="I87" s="68">
        <f>I86+I85+I79+I78+I72+I62+I44+I41+I40+I39+I27+I18+I17+I16+I83</f>
        <v>29620.996212999999</v>
      </c>
    </row>
    <row r="88" spans="1:9" ht="15.75" customHeight="1">
      <c r="A88" s="166" t="s">
        <v>59</v>
      </c>
      <c r="B88" s="167"/>
      <c r="C88" s="167"/>
      <c r="D88" s="167"/>
      <c r="E88" s="167"/>
      <c r="F88" s="167"/>
      <c r="G88" s="167"/>
      <c r="H88" s="167"/>
      <c r="I88" s="168"/>
    </row>
    <row r="89" spans="1:9" ht="18.75" customHeight="1">
      <c r="A89" s="30">
        <v>16</v>
      </c>
      <c r="B89" s="121" t="s">
        <v>259</v>
      </c>
      <c r="C89" s="111" t="s">
        <v>103</v>
      </c>
      <c r="D89" s="101" t="s">
        <v>260</v>
      </c>
      <c r="E89" s="34"/>
      <c r="F89" s="34">
        <v>1</v>
      </c>
      <c r="G89" s="34">
        <v>215.61</v>
      </c>
      <c r="H89" s="13">
        <f t="shared" ref="H89" si="14">G89*F89/1000</f>
        <v>0.21561000000000002</v>
      </c>
      <c r="I89" s="13">
        <f>G89*1</f>
        <v>215.61</v>
      </c>
    </row>
    <row r="90" spans="1:9" ht="15.75" customHeight="1">
      <c r="A90" s="30"/>
      <c r="B90" s="41" t="s">
        <v>51</v>
      </c>
      <c r="C90" s="37"/>
      <c r="D90" s="44"/>
      <c r="E90" s="37">
        <v>1</v>
      </c>
      <c r="F90" s="37"/>
      <c r="G90" s="37"/>
      <c r="H90" s="37"/>
      <c r="I90" s="32">
        <f>SUM(I89:I89)</f>
        <v>215.61</v>
      </c>
    </row>
    <row r="91" spans="1:9" ht="15.75" customHeight="1">
      <c r="A91" s="30"/>
      <c r="B91" s="43" t="s">
        <v>76</v>
      </c>
      <c r="C91" s="15"/>
      <c r="D91" s="15"/>
      <c r="E91" s="38"/>
      <c r="F91" s="38"/>
      <c r="G91" s="39"/>
      <c r="H91" s="39"/>
      <c r="I91" s="17">
        <v>0</v>
      </c>
    </row>
    <row r="92" spans="1:9">
      <c r="A92" s="45"/>
      <c r="B92" s="42" t="s">
        <v>153</v>
      </c>
      <c r="C92" s="33"/>
      <c r="D92" s="33"/>
      <c r="E92" s="33"/>
      <c r="F92" s="33"/>
      <c r="G92" s="33"/>
      <c r="H92" s="33"/>
      <c r="I92" s="40">
        <f>I87+I90</f>
        <v>29836.606212999999</v>
      </c>
    </row>
    <row r="93" spans="1:9" ht="15.75">
      <c r="A93" s="175" t="s">
        <v>268</v>
      </c>
      <c r="B93" s="175"/>
      <c r="C93" s="175"/>
      <c r="D93" s="175"/>
      <c r="E93" s="175"/>
      <c r="F93" s="175"/>
      <c r="G93" s="175"/>
      <c r="H93" s="175"/>
      <c r="I93" s="175"/>
    </row>
    <row r="94" spans="1:9" ht="15.75" customHeight="1">
      <c r="A94" s="54"/>
      <c r="B94" s="176" t="s">
        <v>269</v>
      </c>
      <c r="C94" s="176"/>
      <c r="D94" s="176"/>
      <c r="E94" s="176"/>
      <c r="F94" s="176"/>
      <c r="G94" s="176"/>
      <c r="H94" s="60"/>
      <c r="I94" s="3"/>
    </row>
    <row r="95" spans="1:9">
      <c r="A95" s="106"/>
      <c r="B95" s="171" t="s">
        <v>6</v>
      </c>
      <c r="C95" s="171"/>
      <c r="D95" s="171"/>
      <c r="E95" s="171"/>
      <c r="F95" s="171"/>
      <c r="G95" s="171"/>
      <c r="H95" s="25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77" t="s">
        <v>7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 customHeight="1">
      <c r="A98" s="177" t="s">
        <v>8</v>
      </c>
      <c r="B98" s="177"/>
      <c r="C98" s="177"/>
      <c r="D98" s="177"/>
      <c r="E98" s="177"/>
      <c r="F98" s="177"/>
      <c r="G98" s="177"/>
      <c r="H98" s="177"/>
      <c r="I98" s="177"/>
    </row>
    <row r="99" spans="1:9" ht="15.75">
      <c r="A99" s="178" t="s">
        <v>60</v>
      </c>
      <c r="B99" s="178"/>
      <c r="C99" s="178"/>
      <c r="D99" s="178"/>
      <c r="E99" s="178"/>
      <c r="F99" s="178"/>
      <c r="G99" s="178"/>
      <c r="H99" s="178"/>
      <c r="I99" s="178"/>
    </row>
    <row r="100" spans="1:9" ht="15.75">
      <c r="A100" s="11"/>
    </row>
    <row r="101" spans="1:9" ht="15.75">
      <c r="A101" s="169" t="s">
        <v>9</v>
      </c>
      <c r="B101" s="169"/>
      <c r="C101" s="169"/>
      <c r="D101" s="169"/>
      <c r="E101" s="169"/>
      <c r="F101" s="169"/>
      <c r="G101" s="169"/>
      <c r="H101" s="169"/>
      <c r="I101" s="169"/>
    </row>
    <row r="102" spans="1:9" ht="15.75">
      <c r="A102" s="4"/>
    </row>
    <row r="103" spans="1:9" ht="15.75">
      <c r="B103" s="107" t="s">
        <v>10</v>
      </c>
      <c r="C103" s="170" t="s">
        <v>270</v>
      </c>
      <c r="D103" s="170"/>
      <c r="E103" s="170"/>
      <c r="F103" s="58"/>
      <c r="I103" s="105"/>
    </row>
    <row r="104" spans="1:9">
      <c r="A104" s="106"/>
      <c r="C104" s="171" t="s">
        <v>11</v>
      </c>
      <c r="D104" s="171"/>
      <c r="E104" s="171"/>
      <c r="F104" s="25"/>
      <c r="I104" s="104" t="s">
        <v>12</v>
      </c>
    </row>
    <row r="105" spans="1:9" ht="15.75">
      <c r="A105" s="26"/>
      <c r="C105" s="12"/>
      <c r="D105" s="12"/>
      <c r="G105" s="12"/>
      <c r="H105" s="12"/>
    </row>
    <row r="106" spans="1:9" ht="15.75" customHeight="1">
      <c r="B106" s="107" t="s">
        <v>13</v>
      </c>
      <c r="C106" s="172"/>
      <c r="D106" s="172"/>
      <c r="E106" s="172"/>
      <c r="F106" s="59"/>
      <c r="I106" s="105"/>
    </row>
    <row r="107" spans="1:9" ht="15.75" customHeight="1">
      <c r="A107" s="106"/>
      <c r="C107" s="173" t="s">
        <v>11</v>
      </c>
      <c r="D107" s="173"/>
      <c r="E107" s="173"/>
      <c r="F107" s="106"/>
      <c r="I107" s="104" t="s">
        <v>12</v>
      </c>
    </row>
    <row r="108" spans="1:9" ht="15.75" customHeight="1">
      <c r="A108" s="4" t="s">
        <v>14</v>
      </c>
    </row>
    <row r="109" spans="1:9">
      <c r="A109" s="174" t="s">
        <v>15</v>
      </c>
      <c r="B109" s="174"/>
      <c r="C109" s="174"/>
      <c r="D109" s="174"/>
      <c r="E109" s="174"/>
      <c r="F109" s="174"/>
      <c r="G109" s="174"/>
      <c r="H109" s="174"/>
      <c r="I109" s="174"/>
    </row>
    <row r="110" spans="1:9" ht="45" customHeight="1">
      <c r="A110" s="165" t="s">
        <v>16</v>
      </c>
      <c r="B110" s="165"/>
      <c r="C110" s="165"/>
      <c r="D110" s="165"/>
      <c r="E110" s="165"/>
      <c r="F110" s="165"/>
      <c r="G110" s="165"/>
      <c r="H110" s="165"/>
      <c r="I110" s="165"/>
    </row>
    <row r="111" spans="1:9" ht="30" customHeight="1">
      <c r="A111" s="165" t="s">
        <v>17</v>
      </c>
      <c r="B111" s="165"/>
      <c r="C111" s="165"/>
      <c r="D111" s="165"/>
      <c r="E111" s="165"/>
      <c r="F111" s="165"/>
      <c r="G111" s="165"/>
      <c r="H111" s="165"/>
      <c r="I111" s="165"/>
    </row>
    <row r="112" spans="1:9" ht="30" customHeight="1">
      <c r="A112" s="165" t="s">
        <v>21</v>
      </c>
      <c r="B112" s="165"/>
      <c r="C112" s="165"/>
      <c r="D112" s="165"/>
      <c r="E112" s="165"/>
      <c r="F112" s="165"/>
      <c r="G112" s="165"/>
      <c r="H112" s="165"/>
      <c r="I112" s="165"/>
    </row>
    <row r="113" spans="1:9" ht="15" customHeight="1">
      <c r="A113" s="165" t="s">
        <v>20</v>
      </c>
      <c r="B113" s="165"/>
      <c r="C113" s="165"/>
      <c r="D113" s="165"/>
      <c r="E113" s="165"/>
      <c r="F113" s="165"/>
      <c r="G113" s="165"/>
      <c r="H113" s="165"/>
      <c r="I113" s="165"/>
    </row>
  </sheetData>
  <autoFilter ref="I12:I57"/>
  <mergeCells count="29">
    <mergeCell ref="A14:I14"/>
    <mergeCell ref="A15:I15"/>
    <mergeCell ref="A29:I29"/>
    <mergeCell ref="A45:I45"/>
    <mergeCell ref="A56:I56"/>
    <mergeCell ref="A3:I3"/>
    <mergeCell ref="A4:I4"/>
    <mergeCell ref="A5:I5"/>
    <mergeCell ref="A8:I8"/>
    <mergeCell ref="A10:I10"/>
    <mergeCell ref="R62:U62"/>
    <mergeCell ref="C107:E107"/>
    <mergeCell ref="A88:I88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4:I84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2"/>
  <sheetViews>
    <sheetView tabSelected="1" topLeftCell="A64" workbookViewId="0">
      <selection activeCell="G103" sqref="G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83" t="s">
        <v>157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132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261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108"/>
      <c r="C6" s="108"/>
      <c r="D6" s="108"/>
      <c r="E6" s="108"/>
      <c r="F6" s="108"/>
      <c r="G6" s="108"/>
      <c r="H6" s="108"/>
      <c r="I6" s="84">
        <v>44196</v>
      </c>
      <c r="J6" s="2"/>
      <c r="K6" s="2"/>
      <c r="L6" s="2"/>
      <c r="M6" s="2"/>
    </row>
    <row r="7" spans="1:13" ht="15.75">
      <c r="B7" s="107"/>
      <c r="C7" s="107"/>
      <c r="D7" s="10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249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7" t="s">
        <v>149</v>
      </c>
      <c r="B10" s="187"/>
      <c r="C10" s="187"/>
      <c r="D10" s="187"/>
      <c r="E10" s="187"/>
      <c r="F10" s="187"/>
      <c r="G10" s="187"/>
      <c r="H10" s="187"/>
      <c r="I10" s="18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123" t="s">
        <v>80</v>
      </c>
      <c r="C16" s="124" t="s">
        <v>81</v>
      </c>
      <c r="D16" s="123" t="s">
        <v>165</v>
      </c>
      <c r="E16" s="128">
        <v>54.9</v>
      </c>
      <c r="F16" s="115">
        <f>SUM(E16*156/100)</f>
        <v>85.643999999999991</v>
      </c>
      <c r="G16" s="115">
        <v>261.45</v>
      </c>
      <c r="H16" s="135">
        <f t="shared" ref="H16:H17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23" t="s">
        <v>113</v>
      </c>
      <c r="C17" s="124" t="s">
        <v>81</v>
      </c>
      <c r="D17" s="123" t="s">
        <v>166</v>
      </c>
      <c r="E17" s="128">
        <v>109.8</v>
      </c>
      <c r="F17" s="115">
        <f>SUM(E17*104/100)</f>
        <v>114.19199999999999</v>
      </c>
      <c r="G17" s="115">
        <v>261.45</v>
      </c>
      <c r="H17" s="135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23" t="s">
        <v>114</v>
      </c>
      <c r="C18" s="124" t="s">
        <v>81</v>
      </c>
      <c r="D18" s="123" t="s">
        <v>161</v>
      </c>
      <c r="E18" s="128">
        <f>SUM(E16+E17)</f>
        <v>164.7</v>
      </c>
      <c r="F18" s="115">
        <f>SUM(E18*18/100)</f>
        <v>29.646000000000001</v>
      </c>
      <c r="G18" s="115">
        <v>752.16</v>
      </c>
      <c r="H18" s="135">
        <f t="shared" ref="H18:H26" si="1">SUM(F18*G18/1000)</f>
        <v>22.298535359999999</v>
      </c>
      <c r="I18" s="34">
        <f>F18/18*G18</f>
        <v>1238.8075200000001</v>
      </c>
      <c r="J18" s="23"/>
      <c r="K18" s="8"/>
      <c r="L18" s="8"/>
      <c r="M18" s="8"/>
    </row>
    <row r="19" spans="1:13" ht="15.75" hidden="1" customHeight="1">
      <c r="A19" s="30"/>
      <c r="B19" s="62" t="s">
        <v>88</v>
      </c>
      <c r="C19" s="63" t="s">
        <v>89</v>
      </c>
      <c r="D19" s="62" t="s">
        <v>90</v>
      </c>
      <c r="E19" s="64">
        <v>21.6</v>
      </c>
      <c r="F19" s="65">
        <f>SUM(E19/10)</f>
        <v>2.16</v>
      </c>
      <c r="G19" s="65">
        <v>211.74</v>
      </c>
      <c r="H19" s="66">
        <f t="shared" si="1"/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91</v>
      </c>
      <c r="C20" s="63" t="s">
        <v>81</v>
      </c>
      <c r="D20" s="62" t="s">
        <v>161</v>
      </c>
      <c r="E20" s="64">
        <v>9.18</v>
      </c>
      <c r="F20" s="65">
        <f>SUM(E20*2/100)</f>
        <v>0.18359999999999999</v>
      </c>
      <c r="G20" s="146">
        <v>324.83999999999997</v>
      </c>
      <c r="H20" s="66">
        <f t="shared" si="1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92</v>
      </c>
      <c r="C21" s="63" t="s">
        <v>81</v>
      </c>
      <c r="D21" s="62" t="s">
        <v>161</v>
      </c>
      <c r="E21" s="64">
        <v>8.1</v>
      </c>
      <c r="F21" s="65">
        <f>SUM(E21*2/100)</f>
        <v>0.16200000000000001</v>
      </c>
      <c r="G21" s="146">
        <v>322.20999999999998</v>
      </c>
      <c r="H21" s="66">
        <f t="shared" si="1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hidden="1" customHeight="1">
      <c r="A22" s="30"/>
      <c r="B22" s="62" t="s">
        <v>93</v>
      </c>
      <c r="C22" s="63" t="s">
        <v>52</v>
      </c>
      <c r="D22" s="62" t="s">
        <v>90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94</v>
      </c>
      <c r="C23" s="63" t="s">
        <v>52</v>
      </c>
      <c r="D23" s="62" t="s">
        <v>90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95</v>
      </c>
      <c r="C24" s="63" t="s">
        <v>52</v>
      </c>
      <c r="D24" s="62" t="s">
        <v>96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97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98</v>
      </c>
      <c r="C26" s="63" t="s">
        <v>52</v>
      </c>
      <c r="D26" s="62" t="s">
        <v>90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123" t="s">
        <v>164</v>
      </c>
      <c r="C27" s="124" t="s">
        <v>25</v>
      </c>
      <c r="D27" s="123" t="s">
        <v>168</v>
      </c>
      <c r="E27" s="125">
        <v>2.91</v>
      </c>
      <c r="F27" s="115">
        <f>E27*258</f>
        <v>750.78000000000009</v>
      </c>
      <c r="G27" s="115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hidden="1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80" t="s">
        <v>150</v>
      </c>
      <c r="B29" s="181"/>
      <c r="C29" s="181"/>
      <c r="D29" s="181"/>
      <c r="E29" s="181"/>
      <c r="F29" s="181"/>
      <c r="G29" s="181"/>
      <c r="H29" s="181"/>
      <c r="I29" s="182"/>
      <c r="J29" s="24"/>
    </row>
    <row r="30" spans="1:13" ht="15.75" hidden="1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6</v>
      </c>
      <c r="B31" s="62" t="s">
        <v>101</v>
      </c>
      <c r="C31" s="63" t="s">
        <v>84</v>
      </c>
      <c r="D31" s="62" t="s">
        <v>151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3">SUM(F31*G31/1000)</f>
        <v>0.62031605999999995</v>
      </c>
      <c r="I31" s="13">
        <f t="shared" ref="I31:I32" si="4">F31/6*G31</f>
        <v>103.38601</v>
      </c>
      <c r="J31" s="23"/>
      <c r="K31" s="8"/>
      <c r="L31" s="8"/>
      <c r="M31" s="8"/>
    </row>
    <row r="32" spans="1:13" ht="31.5" hidden="1" customHeight="1">
      <c r="A32" s="30">
        <v>7</v>
      </c>
      <c r="B32" s="62" t="s">
        <v>100</v>
      </c>
      <c r="C32" s="63" t="s">
        <v>84</v>
      </c>
      <c r="D32" s="62" t="s">
        <v>152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3"/>
        <v>0.88609918799999987</v>
      </c>
      <c r="I32" s="13">
        <f t="shared" si="4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84</v>
      </c>
      <c r="D33" s="62" t="s">
        <v>53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3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8</v>
      </c>
      <c r="B34" s="62" t="s">
        <v>99</v>
      </c>
      <c r="C34" s="63" t="s">
        <v>30</v>
      </c>
      <c r="D34" s="62" t="s">
        <v>62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3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63</v>
      </c>
      <c r="C35" s="63" t="s">
        <v>32</v>
      </c>
      <c r="D35" s="62" t="s">
        <v>65</v>
      </c>
      <c r="E35" s="64"/>
      <c r="F35" s="65">
        <v>1</v>
      </c>
      <c r="G35" s="65">
        <v>238.07</v>
      </c>
      <c r="H35" s="66">
        <f t="shared" si="3"/>
        <v>0.23807</v>
      </c>
      <c r="I35" s="13">
        <v>0</v>
      </c>
      <c r="J35" s="24"/>
    </row>
    <row r="36" spans="1:14" ht="15.75" hidden="1" customHeight="1">
      <c r="A36" s="30"/>
      <c r="B36" s="62" t="s">
        <v>64</v>
      </c>
      <c r="C36" s="63" t="s">
        <v>31</v>
      </c>
      <c r="D36" s="62" t="s">
        <v>65</v>
      </c>
      <c r="E36" s="64"/>
      <c r="F36" s="65">
        <v>1</v>
      </c>
      <c r="G36" s="65">
        <v>1413.96</v>
      </c>
      <c r="H36" s="66">
        <f t="shared" si="3"/>
        <v>1.4139600000000001</v>
      </c>
      <c r="I36" s="13">
        <v>0</v>
      </c>
      <c r="J36" s="24"/>
    </row>
    <row r="37" spans="1:14" ht="15.75" customHeight="1">
      <c r="A37" s="30"/>
      <c r="B37" s="82" t="s">
        <v>5</v>
      </c>
      <c r="C37" s="63"/>
      <c r="D37" s="62"/>
      <c r="E37" s="64"/>
      <c r="F37" s="65"/>
      <c r="G37" s="65"/>
      <c r="H37" s="66" t="s">
        <v>115</v>
      </c>
      <c r="I37" s="13"/>
      <c r="J37" s="24"/>
      <c r="L37" s="19"/>
      <c r="M37" s="20"/>
      <c r="N37" s="21"/>
    </row>
    <row r="38" spans="1:14" ht="15.75" customHeight="1">
      <c r="A38" s="30">
        <v>5</v>
      </c>
      <c r="B38" s="62" t="s">
        <v>26</v>
      </c>
      <c r="C38" s="63" t="s">
        <v>31</v>
      </c>
      <c r="D38" s="62" t="s">
        <v>262</v>
      </c>
      <c r="E38" s="64"/>
      <c r="F38" s="65">
        <v>3</v>
      </c>
      <c r="G38" s="146">
        <v>1930</v>
      </c>
      <c r="H38" s="66">
        <f t="shared" ref="H38:H43" si="5">SUM(F38*G38/1000)</f>
        <v>5.79</v>
      </c>
      <c r="I38" s="13">
        <f>G38*0.8</f>
        <v>1544</v>
      </c>
      <c r="J38" s="24"/>
      <c r="L38" s="19"/>
      <c r="M38" s="20"/>
      <c r="N38" s="21"/>
    </row>
    <row r="39" spans="1:14" ht="31.5" customHeight="1">
      <c r="A39" s="30">
        <v>6</v>
      </c>
      <c r="B39" s="136" t="s">
        <v>116</v>
      </c>
      <c r="C39" s="137" t="s">
        <v>29</v>
      </c>
      <c r="D39" s="123" t="s">
        <v>169</v>
      </c>
      <c r="E39" s="128">
        <v>35.299999999999997</v>
      </c>
      <c r="F39" s="138">
        <f>E39*30/1000</f>
        <v>1.0589999999999999</v>
      </c>
      <c r="G39" s="115">
        <v>3134.93</v>
      </c>
      <c r="H39" s="66">
        <f t="shared" si="5"/>
        <v>3.3198908699999996</v>
      </c>
      <c r="I39" s="13">
        <f t="shared" ref="I39:I41" si="6">F39/6*G39</f>
        <v>553.31514499999992</v>
      </c>
      <c r="J39" s="24"/>
      <c r="L39" s="19"/>
      <c r="M39" s="20"/>
      <c r="N39" s="21"/>
    </row>
    <row r="40" spans="1:14" ht="15.75" customHeight="1">
      <c r="A40" s="30">
        <v>7</v>
      </c>
      <c r="B40" s="123" t="s">
        <v>117</v>
      </c>
      <c r="C40" s="124" t="s">
        <v>29</v>
      </c>
      <c r="D40" s="123" t="s">
        <v>195</v>
      </c>
      <c r="E40" s="128">
        <v>35.299999999999997</v>
      </c>
      <c r="F40" s="138">
        <f>SUM(E40*72/1000)</f>
        <v>2.5415999999999999</v>
      </c>
      <c r="G40" s="115">
        <v>522.92999999999995</v>
      </c>
      <c r="H40" s="66">
        <f t="shared" si="5"/>
        <v>1.3290788879999997</v>
      </c>
      <c r="I40" s="13">
        <f t="shared" si="6"/>
        <v>221.51314799999997</v>
      </c>
      <c r="J40" s="24"/>
      <c r="L40" s="19"/>
      <c r="M40" s="20"/>
      <c r="N40" s="21"/>
    </row>
    <row r="41" spans="1:14" ht="47.25" customHeight="1">
      <c r="A41" s="30">
        <v>8</v>
      </c>
      <c r="B41" s="123" t="s">
        <v>118</v>
      </c>
      <c r="C41" s="124" t="s">
        <v>84</v>
      </c>
      <c r="D41" s="123" t="s">
        <v>171</v>
      </c>
      <c r="E41" s="128">
        <v>35.299999999999997</v>
      </c>
      <c r="F41" s="138">
        <f>SUM(E41*24/1000)</f>
        <v>0.84719999999999995</v>
      </c>
      <c r="G41" s="115">
        <v>8652.07</v>
      </c>
      <c r="H41" s="66">
        <f t="shared" si="5"/>
        <v>7.3300337039999999</v>
      </c>
      <c r="I41" s="13">
        <f t="shared" si="6"/>
        <v>1221.672284</v>
      </c>
      <c r="J41" s="24"/>
      <c r="L41" s="19"/>
      <c r="M41" s="20"/>
      <c r="N41" s="21"/>
    </row>
    <row r="42" spans="1:14" ht="15.75" hidden="1" customHeight="1">
      <c r="A42" s="30">
        <v>9</v>
      </c>
      <c r="B42" s="123" t="s">
        <v>120</v>
      </c>
      <c r="C42" s="124" t="s">
        <v>84</v>
      </c>
      <c r="D42" s="123" t="s">
        <v>82</v>
      </c>
      <c r="E42" s="128">
        <v>35.299999999999997</v>
      </c>
      <c r="F42" s="138">
        <f>SUM(E42*30/1000)</f>
        <v>1.0589999999999999</v>
      </c>
      <c r="G42" s="115">
        <v>639.14</v>
      </c>
      <c r="H42" s="66">
        <f t="shared" si="5"/>
        <v>0.67684926000000001</v>
      </c>
      <c r="I42" s="13">
        <f>(F42/7.5*1.5)*G42</f>
        <v>135.36985199999998</v>
      </c>
      <c r="J42" s="24"/>
      <c r="L42" s="19"/>
      <c r="M42" s="20"/>
      <c r="N42" s="21"/>
    </row>
    <row r="43" spans="1:14" ht="15.75" hidden="1" customHeight="1">
      <c r="A43" s="30">
        <v>10</v>
      </c>
      <c r="B43" s="136" t="s">
        <v>67</v>
      </c>
      <c r="C43" s="137" t="s">
        <v>32</v>
      </c>
      <c r="D43" s="136"/>
      <c r="E43" s="125"/>
      <c r="F43" s="138">
        <v>0.3</v>
      </c>
      <c r="G43" s="138">
        <v>900</v>
      </c>
      <c r="H43" s="66">
        <f t="shared" si="5"/>
        <v>0.27</v>
      </c>
      <c r="I43" s="13">
        <f>(F43/7.5*1.5)*G43</f>
        <v>54</v>
      </c>
      <c r="J43" s="24"/>
      <c r="L43" s="19"/>
      <c r="M43" s="20"/>
      <c r="N43" s="21"/>
    </row>
    <row r="44" spans="1:14" ht="34.5" customHeight="1">
      <c r="A44" s="162">
        <v>9</v>
      </c>
      <c r="B44" s="142" t="s">
        <v>193</v>
      </c>
      <c r="C44" s="137" t="s">
        <v>29</v>
      </c>
      <c r="D44" s="136" t="s">
        <v>196</v>
      </c>
      <c r="E44" s="125">
        <v>1.2</v>
      </c>
      <c r="F44" s="138">
        <f>E44*12/1000</f>
        <v>1.4399999999999998E-2</v>
      </c>
      <c r="G44" s="138">
        <v>20547.34</v>
      </c>
      <c r="H44" s="56"/>
      <c r="I44" s="13">
        <f>G44*F44/6</f>
        <v>49.313615999999996</v>
      </c>
      <c r="J44" s="24"/>
      <c r="L44" s="19"/>
      <c r="M44" s="20"/>
      <c r="N44" s="21"/>
    </row>
    <row r="45" spans="1:14" ht="15.75" customHeight="1">
      <c r="A45" s="180" t="s">
        <v>135</v>
      </c>
      <c r="B45" s="181"/>
      <c r="C45" s="181"/>
      <c r="D45" s="181"/>
      <c r="E45" s="181"/>
      <c r="F45" s="181"/>
      <c r="G45" s="181"/>
      <c r="H45" s="181"/>
      <c r="I45" s="182"/>
      <c r="J45" s="24"/>
      <c r="L45" s="19"/>
      <c r="M45" s="20"/>
      <c r="N45" s="21"/>
    </row>
    <row r="46" spans="1:14" ht="15.75" hidden="1" customHeight="1">
      <c r="A46" s="30">
        <v>11</v>
      </c>
      <c r="B46" s="62" t="s">
        <v>102</v>
      </c>
      <c r="C46" s="63" t="s">
        <v>84</v>
      </c>
      <c r="D46" s="62" t="s">
        <v>42</v>
      </c>
      <c r="E46" s="64">
        <v>907.4</v>
      </c>
      <c r="F46" s="65">
        <f>SUM(E46*2/1000)</f>
        <v>1.8148</v>
      </c>
      <c r="G46" s="13">
        <v>1283.46</v>
      </c>
      <c r="H46" s="66">
        <f t="shared" ref="H46:H55" si="7">SUM(F46*G46/1000)</f>
        <v>2.3292232079999997</v>
      </c>
      <c r="I46" s="13">
        <f>F46/2*G46</f>
        <v>1164.6116039999999</v>
      </c>
      <c r="J46" s="24"/>
      <c r="L46" s="19"/>
      <c r="M46" s="20"/>
      <c r="N46" s="21"/>
    </row>
    <row r="47" spans="1:14" ht="15.75" hidden="1" customHeight="1">
      <c r="A47" s="30">
        <v>12</v>
      </c>
      <c r="B47" s="62" t="s">
        <v>35</v>
      </c>
      <c r="C47" s="63" t="s">
        <v>84</v>
      </c>
      <c r="D47" s="62" t="s">
        <v>42</v>
      </c>
      <c r="E47" s="64">
        <v>27</v>
      </c>
      <c r="F47" s="65">
        <f>SUM(E47*2/1000)</f>
        <v>5.3999999999999999E-2</v>
      </c>
      <c r="G47" s="13">
        <v>4192.6400000000003</v>
      </c>
      <c r="H47" s="66">
        <f t="shared" si="7"/>
        <v>0.22640256000000003</v>
      </c>
      <c r="I47" s="13">
        <f t="shared" ref="I47:I54" si="8">F47/2*G47</f>
        <v>113.20128000000001</v>
      </c>
      <c r="J47" s="24"/>
      <c r="L47" s="19"/>
      <c r="M47" s="20"/>
      <c r="N47" s="21"/>
    </row>
    <row r="48" spans="1:14" ht="15.75" hidden="1" customHeight="1">
      <c r="A48" s="30">
        <v>13</v>
      </c>
      <c r="B48" s="62" t="s">
        <v>36</v>
      </c>
      <c r="C48" s="63" t="s">
        <v>84</v>
      </c>
      <c r="D48" s="62" t="s">
        <v>42</v>
      </c>
      <c r="E48" s="64">
        <v>772</v>
      </c>
      <c r="F48" s="65">
        <f>SUM(E48*2/1000)</f>
        <v>1.544</v>
      </c>
      <c r="G48" s="13">
        <v>1711.28</v>
      </c>
      <c r="H48" s="66">
        <f t="shared" si="7"/>
        <v>2.6422163200000002</v>
      </c>
      <c r="I48" s="13">
        <f t="shared" si="8"/>
        <v>1321.10816</v>
      </c>
      <c r="J48" s="24"/>
      <c r="L48" s="19"/>
      <c r="M48" s="20"/>
      <c r="N48" s="21"/>
    </row>
    <row r="49" spans="1:22" ht="15.75" hidden="1" customHeight="1">
      <c r="A49" s="30">
        <v>14</v>
      </c>
      <c r="B49" s="62" t="s">
        <v>37</v>
      </c>
      <c r="C49" s="63" t="s">
        <v>84</v>
      </c>
      <c r="D49" s="62" t="s">
        <v>42</v>
      </c>
      <c r="E49" s="64">
        <v>959.4</v>
      </c>
      <c r="F49" s="65">
        <f>SUM(E49*2/1000)</f>
        <v>1.9188000000000001</v>
      </c>
      <c r="G49" s="13">
        <v>1179.73</v>
      </c>
      <c r="H49" s="66">
        <f t="shared" si="7"/>
        <v>2.2636659240000001</v>
      </c>
      <c r="I49" s="13">
        <f t="shared" si="8"/>
        <v>1131.832962</v>
      </c>
      <c r="J49" s="24"/>
      <c r="L49" s="19"/>
      <c r="M49" s="20"/>
      <c r="N49" s="21"/>
    </row>
    <row r="50" spans="1:22" ht="15.75" hidden="1" customHeight="1">
      <c r="A50" s="30">
        <v>15</v>
      </c>
      <c r="B50" s="62" t="s">
        <v>33</v>
      </c>
      <c r="C50" s="63" t="s">
        <v>34</v>
      </c>
      <c r="D50" s="62" t="s">
        <v>42</v>
      </c>
      <c r="E50" s="64">
        <v>66.02</v>
      </c>
      <c r="F50" s="65">
        <f>SUM(E50*2/100)</f>
        <v>1.3204</v>
      </c>
      <c r="G50" s="13">
        <v>90.61</v>
      </c>
      <c r="H50" s="66">
        <f t="shared" si="7"/>
        <v>0.11964144400000001</v>
      </c>
      <c r="I50" s="13">
        <f t="shared" si="8"/>
        <v>59.820722000000004</v>
      </c>
      <c r="J50" s="24"/>
      <c r="L50" s="19"/>
      <c r="M50" s="20"/>
      <c r="N50" s="21"/>
    </row>
    <row r="51" spans="1:22" ht="15.75" customHeight="1">
      <c r="A51" s="30">
        <v>10</v>
      </c>
      <c r="B51" s="62" t="s">
        <v>55</v>
      </c>
      <c r="C51" s="63" t="s">
        <v>84</v>
      </c>
      <c r="D51" s="163" t="s">
        <v>263</v>
      </c>
      <c r="E51" s="164">
        <v>702.5</v>
      </c>
      <c r="F51" s="146">
        <f>SUM(E51*5/1000)</f>
        <v>3.5125000000000002</v>
      </c>
      <c r="G51" s="120">
        <v>1809.27</v>
      </c>
      <c r="H51" s="66">
        <f t="shared" si="7"/>
        <v>6.3550608750000004</v>
      </c>
      <c r="I51" s="13">
        <f>F51/5*G51</f>
        <v>1271.0121750000001</v>
      </c>
      <c r="J51" s="24"/>
      <c r="L51" s="19"/>
      <c r="M51" s="20"/>
      <c r="N51" s="21"/>
    </row>
    <row r="52" spans="1:22" ht="32.25" hidden="1" customHeight="1">
      <c r="A52" s="30">
        <v>12</v>
      </c>
      <c r="B52" s="62" t="s">
        <v>85</v>
      </c>
      <c r="C52" s="63" t="s">
        <v>84</v>
      </c>
      <c r="D52" s="62" t="s">
        <v>42</v>
      </c>
      <c r="E52" s="64">
        <v>1536.4</v>
      </c>
      <c r="F52" s="65">
        <f>SUM(E52*2/1000)</f>
        <v>3.0728</v>
      </c>
      <c r="G52" s="13">
        <v>1510.06</v>
      </c>
      <c r="H52" s="66">
        <f t="shared" si="7"/>
        <v>4.6401123680000005</v>
      </c>
      <c r="I52" s="13">
        <f t="shared" si="8"/>
        <v>2320.056184</v>
      </c>
      <c r="J52" s="24"/>
      <c r="L52" s="19"/>
      <c r="M52" s="20"/>
      <c r="N52" s="21"/>
    </row>
    <row r="53" spans="1:22" ht="32.25" hidden="1" customHeight="1">
      <c r="A53" s="30">
        <v>13</v>
      </c>
      <c r="B53" s="62" t="s">
        <v>86</v>
      </c>
      <c r="C53" s="63" t="s">
        <v>38</v>
      </c>
      <c r="D53" s="62" t="s">
        <v>42</v>
      </c>
      <c r="E53" s="64">
        <v>9</v>
      </c>
      <c r="F53" s="65">
        <f>SUM(E53*2/100)</f>
        <v>0.18</v>
      </c>
      <c r="G53" s="13">
        <v>3850.4</v>
      </c>
      <c r="H53" s="66">
        <f t="shared" si="7"/>
        <v>0.69307200000000002</v>
      </c>
      <c r="I53" s="13">
        <f t="shared" si="8"/>
        <v>346.536</v>
      </c>
      <c r="J53" s="24"/>
      <c r="L53" s="19"/>
      <c r="M53" s="20"/>
      <c r="N53" s="21"/>
    </row>
    <row r="54" spans="1:22" ht="15.75" hidden="1" customHeight="1">
      <c r="A54" s="30">
        <v>14</v>
      </c>
      <c r="B54" s="62" t="s">
        <v>39</v>
      </c>
      <c r="C54" s="63" t="s">
        <v>40</v>
      </c>
      <c r="D54" s="62" t="s">
        <v>42</v>
      </c>
      <c r="E54" s="64">
        <v>1</v>
      </c>
      <c r="F54" s="65">
        <v>0.02</v>
      </c>
      <c r="G54" s="13">
        <v>7033.13</v>
      </c>
      <c r="H54" s="66">
        <f t="shared" si="7"/>
        <v>0.1406626</v>
      </c>
      <c r="I54" s="13">
        <f t="shared" si="8"/>
        <v>70.331299999999999</v>
      </c>
      <c r="J54" s="24"/>
      <c r="L54" s="19"/>
      <c r="M54" s="20"/>
      <c r="N54" s="21"/>
    </row>
    <row r="55" spans="1:22" ht="15.75" customHeight="1">
      <c r="A55" s="30">
        <v>11</v>
      </c>
      <c r="B55" s="62" t="s">
        <v>41</v>
      </c>
      <c r="C55" s="63" t="s">
        <v>103</v>
      </c>
      <c r="D55" s="62" t="s">
        <v>53</v>
      </c>
      <c r="E55" s="64">
        <v>53</v>
      </c>
      <c r="F55" s="65">
        <v>53</v>
      </c>
      <c r="G55" s="160">
        <v>97.93</v>
      </c>
      <c r="H55" s="66">
        <f t="shared" si="7"/>
        <v>5.1902900000000001</v>
      </c>
      <c r="I55" s="13">
        <f>F55/3*G55</f>
        <v>1730.0966666666668</v>
      </c>
      <c r="J55" s="24"/>
      <c r="L55" s="19"/>
    </row>
    <row r="56" spans="1:22" ht="15.75" customHeight="1">
      <c r="A56" s="180" t="s">
        <v>136</v>
      </c>
      <c r="B56" s="181"/>
      <c r="C56" s="181"/>
      <c r="D56" s="181"/>
      <c r="E56" s="181"/>
      <c r="F56" s="181"/>
      <c r="G56" s="181"/>
      <c r="H56" s="181"/>
      <c r="I56" s="182"/>
    </row>
    <row r="57" spans="1:22" ht="15.75" hidden="1" customHeight="1">
      <c r="A57" s="30"/>
      <c r="B57" s="82" t="s">
        <v>43</v>
      </c>
      <c r="C57" s="63"/>
      <c r="D57" s="62"/>
      <c r="E57" s="64"/>
      <c r="F57" s="65"/>
      <c r="G57" s="65"/>
      <c r="H57" s="66"/>
      <c r="I57" s="13"/>
    </row>
    <row r="58" spans="1:22" ht="31.5" hidden="1" customHeight="1">
      <c r="A58" s="30">
        <v>13</v>
      </c>
      <c r="B58" s="62" t="s">
        <v>104</v>
      </c>
      <c r="C58" s="63" t="s">
        <v>81</v>
      </c>
      <c r="D58" s="62" t="s">
        <v>105</v>
      </c>
      <c r="E58" s="64">
        <v>11.5</v>
      </c>
      <c r="F58" s="65">
        <f>SUM(E58*6/100)</f>
        <v>0.69</v>
      </c>
      <c r="G58" s="13">
        <v>2306.62</v>
      </c>
      <c r="H58" s="66">
        <f>SUM(F58*G58/1000)</f>
        <v>1.5915677999999998</v>
      </c>
      <c r="I58" s="13">
        <f t="shared" ref="I58" si="9">F58/6*G58</f>
        <v>265.26129999999995</v>
      </c>
    </row>
    <row r="59" spans="1:22" ht="15.75" hidden="1" customHeight="1">
      <c r="A59" s="30">
        <v>16</v>
      </c>
      <c r="B59" s="62" t="s">
        <v>121</v>
      </c>
      <c r="C59" s="63" t="s">
        <v>122</v>
      </c>
      <c r="D59" s="62" t="s">
        <v>65</v>
      </c>
      <c r="E59" s="64"/>
      <c r="F59" s="65">
        <v>2</v>
      </c>
      <c r="G59" s="85">
        <v>1501</v>
      </c>
      <c r="H59" s="66">
        <f>SUM(F59*G59/1000)</f>
        <v>3.0019999999999998</v>
      </c>
      <c r="I59" s="13">
        <f>G59*(4+1)</f>
        <v>7505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/>
      <c r="B60" s="82" t="s">
        <v>44</v>
      </c>
      <c r="C60" s="63"/>
      <c r="D60" s="62"/>
      <c r="E60" s="64"/>
      <c r="F60" s="65"/>
      <c r="G60" s="86"/>
      <c r="H60" s="66"/>
      <c r="I60" s="13"/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106</v>
      </c>
      <c r="C61" s="63" t="s">
        <v>81</v>
      </c>
      <c r="D61" s="62" t="s">
        <v>53</v>
      </c>
      <c r="E61" s="64">
        <v>148</v>
      </c>
      <c r="F61" s="66">
        <f>E61/100</f>
        <v>1.48</v>
      </c>
      <c r="G61" s="13">
        <v>987.51</v>
      </c>
      <c r="H61" s="71">
        <f>F61*G61/1000</f>
        <v>1.4615148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customHeight="1">
      <c r="A62" s="30">
        <v>12</v>
      </c>
      <c r="B62" s="73" t="s">
        <v>131</v>
      </c>
      <c r="C62" s="72" t="s">
        <v>25</v>
      </c>
      <c r="D62" s="73" t="s">
        <v>161</v>
      </c>
      <c r="E62" s="74">
        <v>140.5</v>
      </c>
      <c r="F62" s="65">
        <v>1320</v>
      </c>
      <c r="G62" s="87">
        <v>1.4</v>
      </c>
      <c r="H62" s="71">
        <f>F62*G62/1000</f>
        <v>1.8479999999999999</v>
      </c>
      <c r="I62" s="13">
        <f>F62/12*G62</f>
        <v>154</v>
      </c>
      <c r="J62" s="5"/>
      <c r="K62" s="5"/>
      <c r="L62" s="5"/>
      <c r="M62" s="5"/>
      <c r="N62" s="5"/>
      <c r="O62" s="5"/>
      <c r="P62" s="5"/>
      <c r="Q62" s="5"/>
      <c r="R62" s="173"/>
      <c r="S62" s="173"/>
      <c r="T62" s="173"/>
      <c r="U62" s="173"/>
    </row>
    <row r="63" spans="1:22" ht="15.75" customHeight="1">
      <c r="A63" s="30"/>
      <c r="B63" s="83" t="s">
        <v>45</v>
      </c>
      <c r="C63" s="72"/>
      <c r="D63" s="73"/>
      <c r="E63" s="74"/>
      <c r="F63" s="75"/>
      <c r="G63" s="75"/>
      <c r="H63" s="76" t="s">
        <v>115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customHeight="1">
      <c r="A64" s="30">
        <v>13</v>
      </c>
      <c r="B64" s="14" t="s">
        <v>46</v>
      </c>
      <c r="C64" s="16" t="s">
        <v>103</v>
      </c>
      <c r="D64" s="14" t="s">
        <v>161</v>
      </c>
      <c r="E64" s="18">
        <v>2</v>
      </c>
      <c r="F64" s="65">
        <f>E64</f>
        <v>2</v>
      </c>
      <c r="G64" s="120">
        <v>331.57</v>
      </c>
      <c r="H64" s="61">
        <f t="shared" ref="H64:H81" si="10">SUM(F64*G64/1000)</f>
        <v>0.66313999999999995</v>
      </c>
      <c r="I64" s="13">
        <f>G64</f>
        <v>331.57</v>
      </c>
    </row>
    <row r="65" spans="1:9" ht="15.75" hidden="1" customHeight="1">
      <c r="A65" s="30"/>
      <c r="B65" s="14" t="s">
        <v>47</v>
      </c>
      <c r="C65" s="16" t="s">
        <v>103</v>
      </c>
      <c r="D65" s="14" t="s">
        <v>65</v>
      </c>
      <c r="E65" s="18">
        <v>1</v>
      </c>
      <c r="F65" s="65">
        <f>E65</f>
        <v>1</v>
      </c>
      <c r="G65" s="13">
        <v>94.89</v>
      </c>
      <c r="H65" s="61">
        <f t="shared" si="10"/>
        <v>9.4890000000000002E-2</v>
      </c>
      <c r="I65" s="13">
        <v>0</v>
      </c>
    </row>
    <row r="66" spans="1:9" ht="15.75" hidden="1" customHeight="1">
      <c r="A66" s="30"/>
      <c r="B66" s="14" t="s">
        <v>48</v>
      </c>
      <c r="C66" s="16" t="s">
        <v>107</v>
      </c>
      <c r="D66" s="14" t="s">
        <v>53</v>
      </c>
      <c r="E66" s="64">
        <v>6307</v>
      </c>
      <c r="F66" s="13">
        <f>SUM(E66/100)</f>
        <v>63.07</v>
      </c>
      <c r="G66" s="13">
        <v>263.99</v>
      </c>
      <c r="H66" s="61">
        <f t="shared" si="10"/>
        <v>16.649849300000003</v>
      </c>
      <c r="I66" s="13">
        <v>0</v>
      </c>
    </row>
    <row r="67" spans="1:9" ht="15.75" hidden="1" customHeight="1">
      <c r="A67" s="30"/>
      <c r="B67" s="14" t="s">
        <v>49</v>
      </c>
      <c r="C67" s="16" t="s">
        <v>108</v>
      </c>
      <c r="D67" s="14"/>
      <c r="E67" s="64">
        <v>6307</v>
      </c>
      <c r="F67" s="13">
        <f>SUM(E67/1000)</f>
        <v>6.3070000000000004</v>
      </c>
      <c r="G67" s="13">
        <v>205.57</v>
      </c>
      <c r="H67" s="61">
        <f t="shared" si="10"/>
        <v>1.29652999</v>
      </c>
      <c r="I67" s="13">
        <v>0</v>
      </c>
    </row>
    <row r="68" spans="1:9" ht="15.75" hidden="1" customHeight="1">
      <c r="A68" s="30"/>
      <c r="B68" s="14" t="s">
        <v>50</v>
      </c>
      <c r="C68" s="16" t="s">
        <v>74</v>
      </c>
      <c r="D68" s="14" t="s">
        <v>53</v>
      </c>
      <c r="E68" s="64">
        <v>1003</v>
      </c>
      <c r="F68" s="13">
        <f>SUM(E68/100)</f>
        <v>10.029999999999999</v>
      </c>
      <c r="G68" s="13">
        <v>2581.5300000000002</v>
      </c>
      <c r="H68" s="61">
        <f t="shared" si="10"/>
        <v>25.892745900000001</v>
      </c>
      <c r="I68" s="13">
        <v>0</v>
      </c>
    </row>
    <row r="69" spans="1:9" ht="15.75" hidden="1" customHeight="1">
      <c r="A69" s="30"/>
      <c r="B69" s="77" t="s">
        <v>109</v>
      </c>
      <c r="C69" s="16" t="s">
        <v>32</v>
      </c>
      <c r="D69" s="14"/>
      <c r="E69" s="64">
        <v>6.6</v>
      </c>
      <c r="F69" s="13">
        <f>SUM(E69)</f>
        <v>6.6</v>
      </c>
      <c r="G69" s="13">
        <v>47.75</v>
      </c>
      <c r="H69" s="61">
        <f t="shared" si="10"/>
        <v>0.31514999999999999</v>
      </c>
      <c r="I69" s="13">
        <v>0</v>
      </c>
    </row>
    <row r="70" spans="1:9" ht="15.75" hidden="1" customHeight="1">
      <c r="A70" s="30"/>
      <c r="B70" s="77" t="s">
        <v>110</v>
      </c>
      <c r="C70" s="16" t="s">
        <v>32</v>
      </c>
      <c r="D70" s="14"/>
      <c r="E70" s="64">
        <v>6.6</v>
      </c>
      <c r="F70" s="13">
        <f>SUM(E70)</f>
        <v>6.6</v>
      </c>
      <c r="G70" s="13">
        <v>44.27</v>
      </c>
      <c r="H70" s="61">
        <f t="shared" si="10"/>
        <v>0.292182</v>
      </c>
      <c r="I70" s="13">
        <v>0</v>
      </c>
    </row>
    <row r="71" spans="1:9" ht="15.75" hidden="1" customHeight="1">
      <c r="A71" s="30">
        <v>19</v>
      </c>
      <c r="B71" s="14" t="s">
        <v>56</v>
      </c>
      <c r="C71" s="16" t="s">
        <v>57</v>
      </c>
      <c r="D71" s="14" t="s">
        <v>53</v>
      </c>
      <c r="E71" s="18">
        <v>3</v>
      </c>
      <c r="F71" s="65">
        <v>3</v>
      </c>
      <c r="G71" s="13">
        <v>62.07</v>
      </c>
      <c r="H71" s="61">
        <f t="shared" si="10"/>
        <v>0.18621000000000001</v>
      </c>
      <c r="I71" s="13">
        <f>F71*G71</f>
        <v>186.21</v>
      </c>
    </row>
    <row r="72" spans="1:9" ht="15.75" customHeight="1">
      <c r="A72" s="30">
        <v>14</v>
      </c>
      <c r="B72" s="139" t="s">
        <v>123</v>
      </c>
      <c r="C72" s="131" t="s">
        <v>124</v>
      </c>
      <c r="D72" s="139" t="s">
        <v>161</v>
      </c>
      <c r="E72" s="17">
        <v>1536.4</v>
      </c>
      <c r="F72" s="140">
        <f>E72*12</f>
        <v>18436.800000000003</v>
      </c>
      <c r="G72" s="34">
        <v>2.6</v>
      </c>
      <c r="H72" s="61">
        <f t="shared" ref="H72" si="11">SUM(F72*G72/1000)</f>
        <v>47.935680000000005</v>
      </c>
      <c r="I72" s="13">
        <f>F72/12*G72</f>
        <v>3994.6400000000008</v>
      </c>
    </row>
    <row r="73" spans="1:9" ht="15.75" customHeight="1">
      <c r="A73" s="30"/>
      <c r="B73" s="109" t="s">
        <v>69</v>
      </c>
      <c r="C73" s="16"/>
      <c r="D73" s="14"/>
      <c r="E73" s="18"/>
      <c r="F73" s="13"/>
      <c r="G73" s="13"/>
      <c r="H73" s="61" t="s">
        <v>115</v>
      </c>
      <c r="I73" s="13"/>
    </row>
    <row r="74" spans="1:9" ht="15.75" hidden="1" customHeight="1">
      <c r="A74" s="30"/>
      <c r="B74" s="14" t="s">
        <v>125</v>
      </c>
      <c r="C74" s="16" t="s">
        <v>126</v>
      </c>
      <c r="D74" s="14" t="s">
        <v>65</v>
      </c>
      <c r="E74" s="18">
        <v>1</v>
      </c>
      <c r="F74" s="13">
        <f>E74</f>
        <v>1</v>
      </c>
      <c r="G74" s="13">
        <v>976.4</v>
      </c>
      <c r="H74" s="61">
        <f t="shared" ref="H74:H75" si="12">SUM(F74*G74/1000)</f>
        <v>0.97639999999999993</v>
      </c>
      <c r="I74" s="13">
        <v>0</v>
      </c>
    </row>
    <row r="75" spans="1:9" ht="15.75" hidden="1" customHeight="1">
      <c r="A75" s="30"/>
      <c r="B75" s="14" t="s">
        <v>127</v>
      </c>
      <c r="C75" s="16" t="s">
        <v>128</v>
      </c>
      <c r="D75" s="14"/>
      <c r="E75" s="18">
        <v>1</v>
      </c>
      <c r="F75" s="13">
        <v>1</v>
      </c>
      <c r="G75" s="13">
        <v>650</v>
      </c>
      <c r="H75" s="61">
        <f t="shared" si="12"/>
        <v>0.65</v>
      </c>
      <c r="I75" s="13">
        <v>0</v>
      </c>
    </row>
    <row r="76" spans="1:9" ht="15.75" hidden="1" customHeight="1">
      <c r="A76" s="30">
        <v>13</v>
      </c>
      <c r="B76" s="14" t="s">
        <v>70</v>
      </c>
      <c r="C76" s="16" t="s">
        <v>72</v>
      </c>
      <c r="D76" s="14"/>
      <c r="E76" s="18">
        <v>3</v>
      </c>
      <c r="F76" s="13">
        <v>0.3</v>
      </c>
      <c r="G76" s="13">
        <v>624.16999999999996</v>
      </c>
      <c r="H76" s="61">
        <f t="shared" si="10"/>
        <v>0.18725099999999997</v>
      </c>
      <c r="I76" s="13">
        <f>G76*0.1</f>
        <v>62.417000000000002</v>
      </c>
    </row>
    <row r="77" spans="1:9" ht="15.75" hidden="1" customHeight="1">
      <c r="A77" s="30"/>
      <c r="B77" s="14" t="s">
        <v>71</v>
      </c>
      <c r="C77" s="16" t="s">
        <v>30</v>
      </c>
      <c r="D77" s="14"/>
      <c r="E77" s="18">
        <v>1</v>
      </c>
      <c r="F77" s="56">
        <v>1</v>
      </c>
      <c r="G77" s="13">
        <v>1061.4100000000001</v>
      </c>
      <c r="H77" s="61">
        <f>F77*G77/1000</f>
        <v>1.0614100000000002</v>
      </c>
      <c r="I77" s="13">
        <v>0</v>
      </c>
    </row>
    <row r="78" spans="1:9" ht="32.25" customHeight="1">
      <c r="A78" s="30">
        <v>15</v>
      </c>
      <c r="B78" s="46" t="s">
        <v>197</v>
      </c>
      <c r="C78" s="47" t="s">
        <v>103</v>
      </c>
      <c r="D78" s="139" t="s">
        <v>173</v>
      </c>
      <c r="E78" s="17">
        <v>2</v>
      </c>
      <c r="F78" s="34">
        <f>E78*12</f>
        <v>24</v>
      </c>
      <c r="G78" s="34">
        <v>420</v>
      </c>
      <c r="H78" s="61">
        <f>G78*F78/1000</f>
        <v>10.08</v>
      </c>
      <c r="I78" s="13">
        <f>G78*2</f>
        <v>840</v>
      </c>
    </row>
    <row r="79" spans="1:9" ht="32.25" customHeight="1">
      <c r="A79" s="30">
        <v>16</v>
      </c>
      <c r="B79" s="46" t="s">
        <v>198</v>
      </c>
      <c r="C79" s="47" t="s">
        <v>30</v>
      </c>
      <c r="D79" s="139" t="s">
        <v>173</v>
      </c>
      <c r="E79" s="17">
        <v>1</v>
      </c>
      <c r="F79" s="34">
        <f>E79*12</f>
        <v>12</v>
      </c>
      <c r="G79" s="34">
        <v>1829</v>
      </c>
      <c r="H79" s="61"/>
      <c r="I79" s="13">
        <f>G79*F79/12</f>
        <v>1829</v>
      </c>
    </row>
    <row r="80" spans="1:9" ht="15.75" hidden="1" customHeight="1">
      <c r="A80" s="30"/>
      <c r="B80" s="79" t="s">
        <v>73</v>
      </c>
      <c r="C80" s="16"/>
      <c r="D80" s="14"/>
      <c r="E80" s="18"/>
      <c r="F80" s="13"/>
      <c r="G80" s="13" t="s">
        <v>115</v>
      </c>
      <c r="H80" s="61" t="s">
        <v>115</v>
      </c>
      <c r="I80" s="13" t="str">
        <f>G80</f>
        <v xml:space="preserve"> </v>
      </c>
    </row>
    <row r="81" spans="1:9" ht="15.75" hidden="1" customHeight="1">
      <c r="A81" s="30"/>
      <c r="B81" s="43" t="s">
        <v>130</v>
      </c>
      <c r="C81" s="16" t="s">
        <v>74</v>
      </c>
      <c r="D81" s="14"/>
      <c r="E81" s="18"/>
      <c r="F81" s="13">
        <v>0.1</v>
      </c>
      <c r="G81" s="13">
        <v>3433.69</v>
      </c>
      <c r="H81" s="61">
        <f t="shared" si="10"/>
        <v>0.34336900000000004</v>
      </c>
      <c r="I81" s="13">
        <v>0</v>
      </c>
    </row>
    <row r="82" spans="1:9" ht="15.75" hidden="1" customHeight="1">
      <c r="A82" s="30"/>
      <c r="B82" s="55" t="s">
        <v>87</v>
      </c>
      <c r="C82" s="79"/>
      <c r="D82" s="31"/>
      <c r="E82" s="32"/>
      <c r="F82" s="68"/>
      <c r="G82" s="68"/>
      <c r="H82" s="80">
        <f>SUM(H58:H81)</f>
        <v>114.52788979</v>
      </c>
      <c r="I82" s="13"/>
    </row>
    <row r="83" spans="1:9" ht="15.75" hidden="1" customHeight="1">
      <c r="A83" s="30">
        <v>19</v>
      </c>
      <c r="B83" s="62" t="s">
        <v>111</v>
      </c>
      <c r="C83" s="16"/>
      <c r="D83" s="14"/>
      <c r="E83" s="57"/>
      <c r="F83" s="13">
        <v>1</v>
      </c>
      <c r="G83" s="13">
        <v>6105.8</v>
      </c>
      <c r="H83" s="61">
        <f>G83*F83/1000</f>
        <v>6.1058000000000003</v>
      </c>
      <c r="I83" s="13">
        <f>G83</f>
        <v>6105.8</v>
      </c>
    </row>
    <row r="84" spans="1:9" ht="15.75" customHeight="1">
      <c r="A84" s="180" t="s">
        <v>137</v>
      </c>
      <c r="B84" s="181"/>
      <c r="C84" s="181"/>
      <c r="D84" s="181"/>
      <c r="E84" s="181"/>
      <c r="F84" s="181"/>
      <c r="G84" s="181"/>
      <c r="H84" s="181"/>
      <c r="I84" s="182"/>
    </row>
    <row r="85" spans="1:9" ht="15.75" customHeight="1">
      <c r="A85" s="30">
        <v>17</v>
      </c>
      <c r="B85" s="123" t="s">
        <v>112</v>
      </c>
      <c r="C85" s="130" t="s">
        <v>54</v>
      </c>
      <c r="D85" s="141"/>
      <c r="E85" s="34">
        <v>1536.4</v>
      </c>
      <c r="F85" s="34">
        <f>SUM(E85*12)</f>
        <v>18436.800000000003</v>
      </c>
      <c r="G85" s="34">
        <v>3.5</v>
      </c>
      <c r="H85" s="61">
        <f>SUM(F85*G85/1000)</f>
        <v>64.528800000000004</v>
      </c>
      <c r="I85" s="13">
        <f>F85/12*G85</f>
        <v>5377.4000000000015</v>
      </c>
    </row>
    <row r="86" spans="1:9" ht="31.5" customHeight="1">
      <c r="A86" s="30">
        <v>18</v>
      </c>
      <c r="B86" s="123" t="s">
        <v>199</v>
      </c>
      <c r="C86" s="130" t="s">
        <v>54</v>
      </c>
      <c r="D86" s="141"/>
      <c r="E86" s="34">
        <v>1536.4</v>
      </c>
      <c r="F86" s="34">
        <f>E86*12</f>
        <v>18436.800000000003</v>
      </c>
      <c r="G86" s="34">
        <v>3.2</v>
      </c>
      <c r="H86" s="61">
        <f>F86*G86/1000</f>
        <v>58.997760000000007</v>
      </c>
      <c r="I86" s="13">
        <f>F86/12*G86</f>
        <v>4916.4800000000014</v>
      </c>
    </row>
    <row r="87" spans="1:9" ht="15.75" customHeight="1">
      <c r="A87" s="30"/>
      <c r="B87" s="36" t="s">
        <v>77</v>
      </c>
      <c r="C87" s="79"/>
      <c r="D87" s="78"/>
      <c r="E87" s="68"/>
      <c r="F87" s="68"/>
      <c r="G87" s="68"/>
      <c r="H87" s="80">
        <f>H86</f>
        <v>58.997760000000007</v>
      </c>
      <c r="I87" s="68">
        <f>I86+I85+I79+I78+I72+I64+I62+I55+I51+I44+I41+I40+I39+I38+I27+I18+I17+I16</f>
        <v>30303.075054666668</v>
      </c>
    </row>
    <row r="88" spans="1:9" ht="15.75" customHeight="1">
      <c r="A88" s="166" t="s">
        <v>59</v>
      </c>
      <c r="B88" s="167"/>
      <c r="C88" s="167"/>
      <c r="D88" s="167"/>
      <c r="E88" s="167"/>
      <c r="F88" s="167"/>
      <c r="G88" s="167"/>
      <c r="H88" s="167"/>
      <c r="I88" s="168"/>
    </row>
    <row r="89" spans="1:9" ht="15.75" customHeight="1">
      <c r="A89" s="30"/>
      <c r="B89" s="41" t="s">
        <v>51</v>
      </c>
      <c r="C89" s="37"/>
      <c r="D89" s="44"/>
      <c r="E89" s="37">
        <v>1</v>
      </c>
      <c r="F89" s="37"/>
      <c r="G89" s="37"/>
      <c r="H89" s="37"/>
      <c r="I89" s="32">
        <v>0</v>
      </c>
    </row>
    <row r="90" spans="1:9" ht="15.75" customHeight="1">
      <c r="A90" s="30"/>
      <c r="B90" s="43" t="s">
        <v>76</v>
      </c>
      <c r="C90" s="15"/>
      <c r="D90" s="15"/>
      <c r="E90" s="38"/>
      <c r="F90" s="38"/>
      <c r="G90" s="39"/>
      <c r="H90" s="39"/>
      <c r="I90" s="17">
        <v>0</v>
      </c>
    </row>
    <row r="91" spans="1:9">
      <c r="A91" s="45"/>
      <c r="B91" s="42" t="s">
        <v>153</v>
      </c>
      <c r="C91" s="33"/>
      <c r="D91" s="33"/>
      <c r="E91" s="33"/>
      <c r="F91" s="33"/>
      <c r="G91" s="33"/>
      <c r="H91" s="33"/>
      <c r="I91" s="40">
        <f>I87+I89</f>
        <v>30303.075054666668</v>
      </c>
    </row>
    <row r="92" spans="1:9" ht="15.75">
      <c r="A92" s="175" t="s">
        <v>264</v>
      </c>
      <c r="B92" s="175"/>
      <c r="C92" s="175"/>
      <c r="D92" s="175"/>
      <c r="E92" s="175"/>
      <c r="F92" s="175"/>
      <c r="G92" s="175"/>
      <c r="H92" s="175"/>
      <c r="I92" s="175"/>
    </row>
    <row r="93" spans="1:9" ht="15.75" customHeight="1">
      <c r="A93" s="54"/>
      <c r="B93" s="176" t="s">
        <v>265</v>
      </c>
      <c r="C93" s="176"/>
      <c r="D93" s="176"/>
      <c r="E93" s="176"/>
      <c r="F93" s="176"/>
      <c r="G93" s="176"/>
      <c r="H93" s="60"/>
      <c r="I93" s="3"/>
    </row>
    <row r="94" spans="1:9">
      <c r="A94" s="106"/>
      <c r="B94" s="171" t="s">
        <v>6</v>
      </c>
      <c r="C94" s="171"/>
      <c r="D94" s="171"/>
      <c r="E94" s="171"/>
      <c r="F94" s="171"/>
      <c r="G94" s="171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77" t="s">
        <v>7</v>
      </c>
      <c r="B96" s="177"/>
      <c r="C96" s="177"/>
      <c r="D96" s="177"/>
      <c r="E96" s="177"/>
      <c r="F96" s="177"/>
      <c r="G96" s="177"/>
      <c r="H96" s="177"/>
      <c r="I96" s="177"/>
    </row>
    <row r="97" spans="1:9" ht="15.75" customHeight="1">
      <c r="A97" s="177" t="s">
        <v>8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>
      <c r="A98" s="178" t="s">
        <v>60</v>
      </c>
      <c r="B98" s="178"/>
      <c r="C98" s="178"/>
      <c r="D98" s="178"/>
      <c r="E98" s="178"/>
      <c r="F98" s="178"/>
      <c r="G98" s="178"/>
      <c r="H98" s="178"/>
      <c r="I98" s="178"/>
    </row>
    <row r="99" spans="1:9" ht="15.75">
      <c r="A99" s="11"/>
    </row>
    <row r="100" spans="1:9" ht="15.75">
      <c r="A100" s="169" t="s">
        <v>9</v>
      </c>
      <c r="B100" s="169"/>
      <c r="C100" s="169"/>
      <c r="D100" s="169"/>
      <c r="E100" s="169"/>
      <c r="F100" s="169"/>
      <c r="G100" s="169"/>
      <c r="H100" s="169"/>
      <c r="I100" s="169"/>
    </row>
    <row r="101" spans="1:9" ht="15.75">
      <c r="A101" s="4"/>
    </row>
    <row r="102" spans="1:9" ht="15.75">
      <c r="B102" s="107" t="s">
        <v>10</v>
      </c>
      <c r="C102" s="170" t="s">
        <v>256</v>
      </c>
      <c r="D102" s="170"/>
      <c r="E102" s="170"/>
      <c r="F102" s="58"/>
      <c r="I102" s="105"/>
    </row>
    <row r="103" spans="1:9">
      <c r="A103" s="106"/>
      <c r="C103" s="171" t="s">
        <v>11</v>
      </c>
      <c r="D103" s="171"/>
      <c r="E103" s="171"/>
      <c r="F103" s="25"/>
      <c r="I103" s="104" t="s">
        <v>12</v>
      </c>
    </row>
    <row r="104" spans="1:9" ht="15.75">
      <c r="A104" s="26"/>
      <c r="C104" s="12"/>
      <c r="D104" s="12"/>
      <c r="G104" s="12"/>
      <c r="H104" s="12"/>
    </row>
    <row r="105" spans="1:9" ht="15.75" customHeight="1">
      <c r="B105" s="107" t="s">
        <v>13</v>
      </c>
      <c r="C105" s="172"/>
      <c r="D105" s="172"/>
      <c r="E105" s="172"/>
      <c r="F105" s="59"/>
      <c r="I105" s="105"/>
    </row>
    <row r="106" spans="1:9" ht="15.75" customHeight="1">
      <c r="A106" s="106"/>
      <c r="C106" s="173" t="s">
        <v>11</v>
      </c>
      <c r="D106" s="173"/>
      <c r="E106" s="173"/>
      <c r="F106" s="106"/>
      <c r="I106" s="104" t="s">
        <v>12</v>
      </c>
    </row>
    <row r="107" spans="1:9" ht="15.75" customHeight="1">
      <c r="A107" s="4" t="s">
        <v>14</v>
      </c>
    </row>
    <row r="108" spans="1:9">
      <c r="A108" s="174" t="s">
        <v>15</v>
      </c>
      <c r="B108" s="174"/>
      <c r="C108" s="174"/>
      <c r="D108" s="174"/>
      <c r="E108" s="174"/>
      <c r="F108" s="174"/>
      <c r="G108" s="174"/>
      <c r="H108" s="174"/>
      <c r="I108" s="174"/>
    </row>
    <row r="109" spans="1:9" ht="45" customHeight="1">
      <c r="A109" s="165" t="s">
        <v>16</v>
      </c>
      <c r="B109" s="165"/>
      <c r="C109" s="165"/>
      <c r="D109" s="165"/>
      <c r="E109" s="165"/>
      <c r="F109" s="165"/>
      <c r="G109" s="165"/>
      <c r="H109" s="165"/>
      <c r="I109" s="165"/>
    </row>
    <row r="110" spans="1:9" ht="30" customHeight="1">
      <c r="A110" s="165" t="s">
        <v>17</v>
      </c>
      <c r="B110" s="165"/>
      <c r="C110" s="165"/>
      <c r="D110" s="165"/>
      <c r="E110" s="165"/>
      <c r="F110" s="165"/>
      <c r="G110" s="165"/>
      <c r="H110" s="165"/>
      <c r="I110" s="165"/>
    </row>
    <row r="111" spans="1:9" ht="30" customHeight="1">
      <c r="A111" s="165" t="s">
        <v>21</v>
      </c>
      <c r="B111" s="165"/>
      <c r="C111" s="165"/>
      <c r="D111" s="165"/>
      <c r="E111" s="165"/>
      <c r="F111" s="165"/>
      <c r="G111" s="165"/>
      <c r="H111" s="165"/>
      <c r="I111" s="165"/>
    </row>
    <row r="112" spans="1:9" ht="15" customHeight="1">
      <c r="A112" s="165" t="s">
        <v>20</v>
      </c>
      <c r="B112" s="165"/>
      <c r="C112" s="165"/>
      <c r="D112" s="165"/>
      <c r="E112" s="165"/>
      <c r="F112" s="165"/>
      <c r="G112" s="165"/>
      <c r="H112" s="165"/>
      <c r="I112" s="165"/>
    </row>
  </sheetData>
  <autoFilter ref="I12:I57"/>
  <mergeCells count="29">
    <mergeCell ref="A14:I14"/>
    <mergeCell ref="A15:I15"/>
    <mergeCell ref="A29:I29"/>
    <mergeCell ref="A45:I45"/>
    <mergeCell ref="A56:I56"/>
    <mergeCell ref="A3:I3"/>
    <mergeCell ref="A4:I4"/>
    <mergeCell ref="A5:I5"/>
    <mergeCell ref="A8:I8"/>
    <mergeCell ref="A10:I10"/>
    <mergeCell ref="R62:U62"/>
    <mergeCell ref="C106:E106"/>
    <mergeCell ref="A88:I88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4:I84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J96" sqref="J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83" t="s">
        <v>139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132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188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43890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159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7" t="s">
        <v>149</v>
      </c>
      <c r="B10" s="187"/>
      <c r="C10" s="187"/>
      <c r="D10" s="187"/>
      <c r="E10" s="187"/>
      <c r="F10" s="187"/>
      <c r="G10" s="187"/>
      <c r="H10" s="187"/>
      <c r="I10" s="18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62" t="s">
        <v>80</v>
      </c>
      <c r="C16" s="63" t="s">
        <v>81</v>
      </c>
      <c r="D16" s="62" t="s">
        <v>165</v>
      </c>
      <c r="E16" s="64">
        <v>54.9</v>
      </c>
      <c r="F16" s="65">
        <f>SUM(E16*156/100)</f>
        <v>85.643999999999991</v>
      </c>
      <c r="G16" s="65">
        <v>218.21</v>
      </c>
      <c r="H16" s="66">
        <f t="shared" ref="H16:H26" si="0">SUM(F16*G16/1000)</f>
        <v>18.688377239999998</v>
      </c>
      <c r="I16" s="13">
        <f>F16/12*G16</f>
        <v>1557.3647699999999</v>
      </c>
      <c r="J16" s="22"/>
      <c r="K16" s="8"/>
      <c r="L16" s="8"/>
      <c r="M16" s="8"/>
    </row>
    <row r="17" spans="1:13" ht="15.75" customHeight="1">
      <c r="A17" s="30">
        <v>2</v>
      </c>
      <c r="B17" s="62" t="s">
        <v>113</v>
      </c>
      <c r="C17" s="63" t="s">
        <v>81</v>
      </c>
      <c r="D17" s="62" t="s">
        <v>166</v>
      </c>
      <c r="E17" s="64">
        <v>109.8</v>
      </c>
      <c r="F17" s="65">
        <f>SUM(E17*104/100)</f>
        <v>114.19199999999999</v>
      </c>
      <c r="G17" s="65">
        <v>218.21</v>
      </c>
      <c r="H17" s="66">
        <f t="shared" si="0"/>
        <v>24.917836319999999</v>
      </c>
      <c r="I17" s="13">
        <f>F17/12*G17</f>
        <v>2076.4863599999999</v>
      </c>
      <c r="J17" s="23"/>
      <c r="K17" s="8"/>
      <c r="L17" s="8"/>
      <c r="M17" s="8"/>
    </row>
    <row r="18" spans="1:13" ht="15.75" customHeight="1">
      <c r="A18" s="30">
        <v>3</v>
      </c>
      <c r="B18" s="62" t="s">
        <v>114</v>
      </c>
      <c r="C18" s="63" t="s">
        <v>81</v>
      </c>
      <c r="D18" s="62" t="s">
        <v>167</v>
      </c>
      <c r="E18" s="64">
        <f>SUM(E16+E17)</f>
        <v>164.7</v>
      </c>
      <c r="F18" s="65">
        <f>SUM(E18*24/100)</f>
        <v>39.527999999999999</v>
      </c>
      <c r="G18" s="65">
        <v>627.77</v>
      </c>
      <c r="H18" s="66">
        <f t="shared" si="0"/>
        <v>24.814492559999998</v>
      </c>
      <c r="I18" s="13">
        <f>F18/12*G18</f>
        <v>2067.8743799999997</v>
      </c>
      <c r="J18" s="23"/>
      <c r="K18" s="8"/>
      <c r="L18" s="8"/>
      <c r="M18" s="8"/>
    </row>
    <row r="19" spans="1:13" ht="15.75" hidden="1" customHeight="1">
      <c r="A19" s="30"/>
      <c r="B19" s="62" t="s">
        <v>88</v>
      </c>
      <c r="C19" s="63" t="s">
        <v>89</v>
      </c>
      <c r="D19" s="62" t="s">
        <v>90</v>
      </c>
      <c r="E19" s="64">
        <v>21.6</v>
      </c>
      <c r="F19" s="65">
        <f>SUM(E19/10)</f>
        <v>2.16</v>
      </c>
      <c r="G19" s="65">
        <v>211.74</v>
      </c>
      <c r="H19" s="66">
        <f t="shared" si="0"/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91</v>
      </c>
      <c r="C20" s="63" t="s">
        <v>81</v>
      </c>
      <c r="D20" s="62" t="s">
        <v>42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0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92</v>
      </c>
      <c r="C21" s="63" t="s">
        <v>81</v>
      </c>
      <c r="D21" s="62" t="s">
        <v>42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0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93</v>
      </c>
      <c r="C22" s="63" t="s">
        <v>52</v>
      </c>
      <c r="D22" s="62" t="s">
        <v>90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0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94</v>
      </c>
      <c r="C23" s="63" t="s">
        <v>52</v>
      </c>
      <c r="D23" s="62" t="s">
        <v>90</v>
      </c>
      <c r="E23" s="67">
        <v>17.64</v>
      </c>
      <c r="F23" s="65">
        <f>SUM(E23/100)</f>
        <v>0.1764</v>
      </c>
      <c r="G23" s="65">
        <v>55.1</v>
      </c>
      <c r="H23" s="66">
        <f t="shared" si="0"/>
        <v>9.7196399999999999E-3</v>
      </c>
      <c r="I23" s="13">
        <f t="shared" ref="I23:I26" si="1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95</v>
      </c>
      <c r="C24" s="63" t="s">
        <v>52</v>
      </c>
      <c r="D24" s="62" t="s">
        <v>96</v>
      </c>
      <c r="E24" s="64">
        <v>7.2</v>
      </c>
      <c r="F24" s="65">
        <f>E24/100</f>
        <v>7.2000000000000008E-2</v>
      </c>
      <c r="G24" s="65">
        <v>484.94</v>
      </c>
      <c r="H24" s="66">
        <f t="shared" si="0"/>
        <v>3.4915680000000004E-2</v>
      </c>
      <c r="I24" s="13">
        <f t="shared" si="1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97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0"/>
        <v>2.5412939999999998E-2</v>
      </c>
      <c r="I25" s="13">
        <f t="shared" si="1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98</v>
      </c>
      <c r="C26" s="63" t="s">
        <v>52</v>
      </c>
      <c r="D26" s="62" t="s">
        <v>90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0"/>
        <v>7.387740000000001E-2</v>
      </c>
      <c r="I26" s="13">
        <f t="shared" si="1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123" t="s">
        <v>164</v>
      </c>
      <c r="C27" s="124" t="s">
        <v>25</v>
      </c>
      <c r="D27" s="123" t="s">
        <v>168</v>
      </c>
      <c r="E27" s="125">
        <v>2.91</v>
      </c>
      <c r="F27" s="115">
        <f>E27*258</f>
        <v>750.78000000000009</v>
      </c>
      <c r="G27" s="115">
        <v>10.39</v>
      </c>
      <c r="H27" s="66">
        <f>SUM(F27*G27/1000)</f>
        <v>7.8006042000000013</v>
      </c>
      <c r="I27" s="13">
        <f>F27/12*G27</f>
        <v>650.05035000000009</v>
      </c>
      <c r="J27" s="23"/>
      <c r="K27" s="8"/>
    </row>
    <row r="28" spans="1:13" ht="15.75" customHeight="1">
      <c r="A28" s="180" t="s">
        <v>150</v>
      </c>
      <c r="B28" s="181"/>
      <c r="C28" s="181"/>
      <c r="D28" s="181"/>
      <c r="E28" s="181"/>
      <c r="F28" s="181"/>
      <c r="G28" s="181"/>
      <c r="H28" s="181"/>
      <c r="I28" s="182"/>
      <c r="J28" s="24"/>
    </row>
    <row r="29" spans="1:13" ht="15.75" hidden="1" customHeight="1">
      <c r="A29" s="30"/>
      <c r="B29" s="82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hidden="1" customHeight="1">
      <c r="A30" s="30">
        <v>8</v>
      </c>
      <c r="B30" s="62" t="s">
        <v>101</v>
      </c>
      <c r="C30" s="63" t="s">
        <v>84</v>
      </c>
      <c r="D30" s="62" t="s">
        <v>151</v>
      </c>
      <c r="E30" s="65">
        <v>61.5</v>
      </c>
      <c r="F30" s="65">
        <f>SUM(E30*52/1000)</f>
        <v>3.198</v>
      </c>
      <c r="G30" s="65">
        <v>193.97</v>
      </c>
      <c r="H30" s="66">
        <f t="shared" ref="H30:H35" si="2">SUM(F30*G30/1000)</f>
        <v>0.62031605999999995</v>
      </c>
      <c r="I30" s="13">
        <f t="shared" ref="I30:I31" si="3">F30/6*G30</f>
        <v>103.38601</v>
      </c>
      <c r="J30" s="23"/>
      <c r="K30" s="8"/>
      <c r="L30" s="8"/>
      <c r="M30" s="8"/>
    </row>
    <row r="31" spans="1:13" ht="31.5" hidden="1" customHeight="1">
      <c r="A31" s="30">
        <v>9</v>
      </c>
      <c r="B31" s="62" t="s">
        <v>100</v>
      </c>
      <c r="C31" s="63" t="s">
        <v>84</v>
      </c>
      <c r="D31" s="62" t="s">
        <v>152</v>
      </c>
      <c r="E31" s="65">
        <v>35.299999999999997</v>
      </c>
      <c r="F31" s="65">
        <f>SUM(E31*78/1000)</f>
        <v>2.7533999999999996</v>
      </c>
      <c r="G31" s="65">
        <v>321.82</v>
      </c>
      <c r="H31" s="66">
        <f t="shared" si="2"/>
        <v>0.88609918799999987</v>
      </c>
      <c r="I31" s="13">
        <f t="shared" si="3"/>
        <v>147.68319799999998</v>
      </c>
      <c r="J31" s="23"/>
      <c r="K31" s="8"/>
      <c r="L31" s="8"/>
      <c r="M31" s="8"/>
    </row>
    <row r="32" spans="1:13" ht="15.75" hidden="1" customHeight="1">
      <c r="A32" s="30"/>
      <c r="B32" s="62" t="s">
        <v>27</v>
      </c>
      <c r="C32" s="63" t="s">
        <v>84</v>
      </c>
      <c r="D32" s="62" t="s">
        <v>53</v>
      </c>
      <c r="E32" s="65">
        <v>61.5</v>
      </c>
      <c r="F32" s="65">
        <f>SUM(E32/1000)</f>
        <v>6.1499999999999999E-2</v>
      </c>
      <c r="G32" s="65">
        <v>3758.28</v>
      </c>
      <c r="H32" s="66">
        <f t="shared" si="2"/>
        <v>0.23113422</v>
      </c>
      <c r="I32" s="13">
        <f>F32*G32</f>
        <v>231.13422</v>
      </c>
      <c r="J32" s="23"/>
      <c r="K32" s="8"/>
      <c r="L32" s="8"/>
      <c r="M32" s="8"/>
    </row>
    <row r="33" spans="1:14" ht="15.75" hidden="1" customHeight="1">
      <c r="A33" s="30">
        <v>10</v>
      </c>
      <c r="B33" s="62" t="s">
        <v>99</v>
      </c>
      <c r="C33" s="63" t="s">
        <v>30</v>
      </c>
      <c r="D33" s="62" t="s">
        <v>62</v>
      </c>
      <c r="E33" s="69">
        <f>1/3</f>
        <v>0.33333333333333331</v>
      </c>
      <c r="F33" s="65">
        <f>155/3</f>
        <v>51.666666666666664</v>
      </c>
      <c r="G33" s="65">
        <v>70.540000000000006</v>
      </c>
      <c r="H33" s="66">
        <f t="shared" si="2"/>
        <v>3.6445666666666665</v>
      </c>
      <c r="I33" s="13">
        <f>F33/6*G33</f>
        <v>607.42777777777781</v>
      </c>
      <c r="J33" s="23"/>
      <c r="K33" s="8"/>
      <c r="L33" s="8"/>
      <c r="M33" s="8"/>
    </row>
    <row r="34" spans="1:14" ht="15.75" hidden="1" customHeight="1">
      <c r="A34" s="30"/>
      <c r="B34" s="62" t="s">
        <v>63</v>
      </c>
      <c r="C34" s="63" t="s">
        <v>32</v>
      </c>
      <c r="D34" s="62" t="s">
        <v>65</v>
      </c>
      <c r="E34" s="64"/>
      <c r="F34" s="65">
        <v>1</v>
      </c>
      <c r="G34" s="65">
        <v>238.07</v>
      </c>
      <c r="H34" s="66">
        <f t="shared" si="2"/>
        <v>0.23807</v>
      </c>
      <c r="I34" s="13">
        <v>0</v>
      </c>
      <c r="J34" s="24"/>
    </row>
    <row r="35" spans="1:14" ht="15.75" hidden="1" customHeight="1">
      <c r="A35" s="30"/>
      <c r="B35" s="62" t="s">
        <v>64</v>
      </c>
      <c r="C35" s="63" t="s">
        <v>31</v>
      </c>
      <c r="D35" s="62" t="s">
        <v>65</v>
      </c>
      <c r="E35" s="64"/>
      <c r="F35" s="65">
        <v>1</v>
      </c>
      <c r="G35" s="65">
        <v>1413.96</v>
      </c>
      <c r="H35" s="66">
        <f t="shared" si="2"/>
        <v>1.4139600000000001</v>
      </c>
      <c r="I35" s="13">
        <v>0</v>
      </c>
      <c r="J35" s="24"/>
    </row>
    <row r="36" spans="1:14" ht="15.75" customHeight="1">
      <c r="A36" s="30"/>
      <c r="B36" s="82" t="s">
        <v>5</v>
      </c>
      <c r="C36" s="63"/>
      <c r="D36" s="62"/>
      <c r="E36" s="64"/>
      <c r="F36" s="65"/>
      <c r="G36" s="65"/>
      <c r="H36" s="66" t="s">
        <v>115</v>
      </c>
      <c r="I36" s="13"/>
      <c r="J36" s="24"/>
      <c r="L36" s="19"/>
      <c r="M36" s="20"/>
      <c r="N36" s="21"/>
    </row>
    <row r="37" spans="1:14" ht="15.75" customHeight="1">
      <c r="A37" s="30">
        <v>5</v>
      </c>
      <c r="B37" s="62" t="s">
        <v>26</v>
      </c>
      <c r="C37" s="63" t="s">
        <v>31</v>
      </c>
      <c r="D37" s="62"/>
      <c r="E37" s="64"/>
      <c r="F37" s="65">
        <v>3</v>
      </c>
      <c r="G37" s="65">
        <v>1900.37</v>
      </c>
      <c r="H37" s="66">
        <f t="shared" ref="H37:H42" si="4">SUM(F37*G37/1000)</f>
        <v>5.7011099999999999</v>
      </c>
      <c r="I37" s="13">
        <f>G37*0.8</f>
        <v>1520.296</v>
      </c>
      <c r="J37" s="24"/>
      <c r="L37" s="19"/>
      <c r="M37" s="20"/>
      <c r="N37" s="21"/>
    </row>
    <row r="38" spans="1:14" ht="31.5" customHeight="1">
      <c r="A38" s="30">
        <v>6</v>
      </c>
      <c r="B38" s="62" t="s">
        <v>116</v>
      </c>
      <c r="C38" s="63" t="s">
        <v>29</v>
      </c>
      <c r="D38" s="62" t="s">
        <v>169</v>
      </c>
      <c r="E38" s="64">
        <v>35.299999999999997</v>
      </c>
      <c r="F38" s="65">
        <f>E38*30/1000</f>
        <v>1.0589999999999999</v>
      </c>
      <c r="G38" s="65">
        <v>2616.4899999999998</v>
      </c>
      <c r="H38" s="66">
        <f t="shared" si="4"/>
        <v>2.77086291</v>
      </c>
      <c r="I38" s="13">
        <f t="shared" ref="I38:I40" si="5">F38/6*G38</f>
        <v>461.81048499999991</v>
      </c>
      <c r="J38" s="24"/>
      <c r="L38" s="19"/>
      <c r="M38" s="20"/>
      <c r="N38" s="21"/>
    </row>
    <row r="39" spans="1:14" ht="15.75" customHeight="1">
      <c r="A39" s="30">
        <v>7</v>
      </c>
      <c r="B39" s="62" t="s">
        <v>117</v>
      </c>
      <c r="C39" s="63" t="s">
        <v>29</v>
      </c>
      <c r="D39" s="62" t="s">
        <v>170</v>
      </c>
      <c r="E39" s="64">
        <v>35.299999999999997</v>
      </c>
      <c r="F39" s="65">
        <f>SUM(E39*155/1000)</f>
        <v>5.4714999999999998</v>
      </c>
      <c r="G39" s="65">
        <v>436.45</v>
      </c>
      <c r="H39" s="66">
        <f t="shared" si="4"/>
        <v>2.3880361749999999</v>
      </c>
      <c r="I39" s="13">
        <f t="shared" si="5"/>
        <v>398.00602916666662</v>
      </c>
      <c r="J39" s="24"/>
      <c r="L39" s="19"/>
      <c r="M39" s="20"/>
      <c r="N39" s="21"/>
    </row>
    <row r="40" spans="1:14" ht="47.25" customHeight="1">
      <c r="A40" s="30">
        <v>8</v>
      </c>
      <c r="B40" s="62" t="s">
        <v>118</v>
      </c>
      <c r="C40" s="63" t="s">
        <v>84</v>
      </c>
      <c r="D40" s="62" t="s">
        <v>171</v>
      </c>
      <c r="E40" s="64">
        <v>35.299999999999997</v>
      </c>
      <c r="F40" s="65">
        <f>SUM(E40*24/1000)</f>
        <v>0.84719999999999995</v>
      </c>
      <c r="G40" s="65">
        <v>7221.21</v>
      </c>
      <c r="H40" s="66">
        <f t="shared" si="4"/>
        <v>6.1178091119999998</v>
      </c>
      <c r="I40" s="13">
        <f t="shared" si="5"/>
        <v>1019.6348519999999</v>
      </c>
      <c r="J40" s="24"/>
      <c r="L40" s="19"/>
      <c r="M40" s="20"/>
      <c r="N40" s="21"/>
    </row>
    <row r="41" spans="1:14" ht="15.75" hidden="1" customHeight="1">
      <c r="A41" s="30">
        <v>9</v>
      </c>
      <c r="B41" s="62" t="s">
        <v>120</v>
      </c>
      <c r="C41" s="63" t="s">
        <v>84</v>
      </c>
      <c r="D41" s="62" t="s">
        <v>172</v>
      </c>
      <c r="E41" s="64">
        <v>35.299999999999997</v>
      </c>
      <c r="F41" s="65">
        <f>SUM(E41*45/1000)</f>
        <v>1.5884999999999998</v>
      </c>
      <c r="G41" s="65">
        <v>533.45000000000005</v>
      </c>
      <c r="H41" s="66">
        <f t="shared" si="4"/>
        <v>0.84738532499999997</v>
      </c>
      <c r="I41" s="13">
        <f>F41/7.5*G41</f>
        <v>112.98470999999999</v>
      </c>
      <c r="J41" s="24"/>
      <c r="L41" s="19"/>
      <c r="M41" s="20"/>
      <c r="N41" s="21"/>
    </row>
    <row r="42" spans="1:14" ht="15.75" hidden="1" customHeight="1">
      <c r="A42" s="30">
        <v>10</v>
      </c>
      <c r="B42" s="62" t="s">
        <v>67</v>
      </c>
      <c r="C42" s="63" t="s">
        <v>32</v>
      </c>
      <c r="D42" s="62"/>
      <c r="E42" s="64"/>
      <c r="F42" s="65">
        <v>0.3</v>
      </c>
      <c r="G42" s="65">
        <v>992.97</v>
      </c>
      <c r="H42" s="66">
        <f t="shared" si="4"/>
        <v>0.29789100000000002</v>
      </c>
      <c r="I42" s="13">
        <f>F42/7.5*G42</f>
        <v>39.718800000000002</v>
      </c>
      <c r="J42" s="24"/>
      <c r="L42" s="19"/>
      <c r="M42" s="20"/>
      <c r="N42" s="21"/>
    </row>
    <row r="43" spans="1:14" ht="15.75" customHeight="1">
      <c r="A43" s="180" t="s">
        <v>135</v>
      </c>
      <c r="B43" s="181"/>
      <c r="C43" s="181"/>
      <c r="D43" s="181"/>
      <c r="E43" s="181"/>
      <c r="F43" s="181"/>
      <c r="G43" s="181"/>
      <c r="H43" s="181"/>
      <c r="I43" s="182"/>
      <c r="J43" s="24"/>
      <c r="L43" s="19"/>
      <c r="M43" s="20"/>
      <c r="N43" s="21"/>
    </row>
    <row r="44" spans="1:14" ht="15.75" hidden="1" customHeight="1">
      <c r="A44" s="30">
        <v>11</v>
      </c>
      <c r="B44" s="62" t="s">
        <v>102</v>
      </c>
      <c r="C44" s="63" t="s">
        <v>84</v>
      </c>
      <c r="D44" s="62" t="s">
        <v>42</v>
      </c>
      <c r="E44" s="64">
        <v>907.4</v>
      </c>
      <c r="F44" s="65">
        <f>SUM(E44*2/1000)</f>
        <v>1.8148</v>
      </c>
      <c r="G44" s="13">
        <v>1283.46</v>
      </c>
      <c r="H44" s="66">
        <f t="shared" ref="H44:H53" si="6">SUM(F44*G44/1000)</f>
        <v>2.3292232079999997</v>
      </c>
      <c r="I44" s="13">
        <f>F44/2*G44</f>
        <v>1164.6116039999999</v>
      </c>
      <c r="J44" s="24"/>
      <c r="L44" s="19"/>
      <c r="M44" s="20"/>
      <c r="N44" s="21"/>
    </row>
    <row r="45" spans="1:14" ht="15.75" hidden="1" customHeight="1">
      <c r="A45" s="30">
        <v>12</v>
      </c>
      <c r="B45" s="62" t="s">
        <v>35</v>
      </c>
      <c r="C45" s="63" t="s">
        <v>84</v>
      </c>
      <c r="D45" s="62" t="s">
        <v>42</v>
      </c>
      <c r="E45" s="64">
        <v>27</v>
      </c>
      <c r="F45" s="65">
        <f>SUM(E45*2/1000)</f>
        <v>5.3999999999999999E-2</v>
      </c>
      <c r="G45" s="13">
        <v>4192.6400000000003</v>
      </c>
      <c r="H45" s="66">
        <f t="shared" si="6"/>
        <v>0.22640256000000003</v>
      </c>
      <c r="I45" s="13">
        <f t="shared" ref="I45:I52" si="7">F45/2*G45</f>
        <v>113.20128000000001</v>
      </c>
      <c r="J45" s="24"/>
      <c r="L45" s="19"/>
      <c r="M45" s="20"/>
      <c r="N45" s="21"/>
    </row>
    <row r="46" spans="1:14" ht="15.75" hidden="1" customHeight="1">
      <c r="A46" s="30">
        <v>13</v>
      </c>
      <c r="B46" s="62" t="s">
        <v>36</v>
      </c>
      <c r="C46" s="63" t="s">
        <v>84</v>
      </c>
      <c r="D46" s="62" t="s">
        <v>42</v>
      </c>
      <c r="E46" s="64">
        <v>772</v>
      </c>
      <c r="F46" s="65">
        <f>SUM(E46*2/1000)</f>
        <v>1.544</v>
      </c>
      <c r="G46" s="13">
        <v>1711.28</v>
      </c>
      <c r="H46" s="66">
        <f t="shared" si="6"/>
        <v>2.6422163200000002</v>
      </c>
      <c r="I46" s="13">
        <f t="shared" si="7"/>
        <v>1321.10816</v>
      </c>
      <c r="J46" s="24"/>
      <c r="L46" s="19"/>
      <c r="M46" s="20"/>
      <c r="N46" s="21"/>
    </row>
    <row r="47" spans="1:14" ht="15.75" hidden="1" customHeight="1">
      <c r="A47" s="30">
        <v>14</v>
      </c>
      <c r="B47" s="62" t="s">
        <v>37</v>
      </c>
      <c r="C47" s="63" t="s">
        <v>84</v>
      </c>
      <c r="D47" s="62" t="s">
        <v>42</v>
      </c>
      <c r="E47" s="64">
        <v>959.4</v>
      </c>
      <c r="F47" s="65">
        <f>SUM(E47*2/1000)</f>
        <v>1.9188000000000001</v>
      </c>
      <c r="G47" s="13">
        <v>1179.73</v>
      </c>
      <c r="H47" s="66">
        <f t="shared" si="6"/>
        <v>2.2636659240000001</v>
      </c>
      <c r="I47" s="13">
        <f t="shared" si="7"/>
        <v>1131.832962</v>
      </c>
      <c r="J47" s="24"/>
      <c r="L47" s="19"/>
      <c r="M47" s="20"/>
      <c r="N47" s="21"/>
    </row>
    <row r="48" spans="1:14" ht="15.75" hidden="1" customHeight="1">
      <c r="A48" s="30">
        <v>15</v>
      </c>
      <c r="B48" s="62" t="s">
        <v>33</v>
      </c>
      <c r="C48" s="63" t="s">
        <v>34</v>
      </c>
      <c r="D48" s="62" t="s">
        <v>42</v>
      </c>
      <c r="E48" s="64">
        <v>66.02</v>
      </c>
      <c r="F48" s="65">
        <f>SUM(E48*2/100)</f>
        <v>1.3204</v>
      </c>
      <c r="G48" s="13">
        <v>90.61</v>
      </c>
      <c r="H48" s="66">
        <f t="shared" si="6"/>
        <v>0.11964144400000001</v>
      </c>
      <c r="I48" s="13">
        <f t="shared" si="7"/>
        <v>59.820722000000004</v>
      </c>
      <c r="J48" s="24"/>
      <c r="L48" s="19"/>
      <c r="M48" s="20"/>
      <c r="N48" s="21"/>
    </row>
    <row r="49" spans="1:22" ht="15.75" customHeight="1">
      <c r="A49" s="30">
        <v>9</v>
      </c>
      <c r="B49" s="62" t="s">
        <v>55</v>
      </c>
      <c r="C49" s="63" t="s">
        <v>84</v>
      </c>
      <c r="D49" s="62" t="s">
        <v>161</v>
      </c>
      <c r="E49" s="64">
        <v>1536.4</v>
      </c>
      <c r="F49" s="65">
        <f>SUM(E49*5/1000)</f>
        <v>7.6820000000000004</v>
      </c>
      <c r="G49" s="13">
        <v>1711.28</v>
      </c>
      <c r="H49" s="66">
        <f t="shared" si="6"/>
        <v>13.14605296</v>
      </c>
      <c r="I49" s="13">
        <f>F49/5*G49</f>
        <v>2629.2105919999999</v>
      </c>
      <c r="J49" s="24"/>
      <c r="L49" s="19"/>
      <c r="M49" s="20"/>
      <c r="N49" s="21"/>
    </row>
    <row r="50" spans="1:22" ht="32.25" hidden="1" customHeight="1">
      <c r="A50" s="30"/>
      <c r="B50" s="62" t="s">
        <v>85</v>
      </c>
      <c r="C50" s="63" t="s">
        <v>84</v>
      </c>
      <c r="D50" s="62" t="s">
        <v>42</v>
      </c>
      <c r="E50" s="64">
        <v>1536.4</v>
      </c>
      <c r="F50" s="65">
        <f>SUM(E50*2/1000)</f>
        <v>3.0728</v>
      </c>
      <c r="G50" s="13">
        <v>1510.06</v>
      </c>
      <c r="H50" s="66">
        <f t="shared" si="6"/>
        <v>4.6401123680000005</v>
      </c>
      <c r="I50" s="13">
        <f t="shared" si="7"/>
        <v>2320.056184</v>
      </c>
      <c r="J50" s="24"/>
      <c r="L50" s="19"/>
      <c r="M50" s="20"/>
      <c r="N50" s="21"/>
    </row>
    <row r="51" spans="1:22" ht="32.25" hidden="1" customHeight="1">
      <c r="A51" s="30"/>
      <c r="B51" s="62" t="s">
        <v>86</v>
      </c>
      <c r="C51" s="63" t="s">
        <v>38</v>
      </c>
      <c r="D51" s="62" t="s">
        <v>42</v>
      </c>
      <c r="E51" s="64">
        <v>9</v>
      </c>
      <c r="F51" s="65">
        <f>SUM(E51*2/100)</f>
        <v>0.18</v>
      </c>
      <c r="G51" s="13">
        <v>3850.4</v>
      </c>
      <c r="H51" s="66">
        <f t="shared" si="6"/>
        <v>0.69307200000000002</v>
      </c>
      <c r="I51" s="13">
        <f t="shared" si="7"/>
        <v>346.536</v>
      </c>
      <c r="J51" s="24"/>
      <c r="L51" s="19"/>
      <c r="M51" s="20"/>
      <c r="N51" s="21"/>
    </row>
    <row r="52" spans="1:22" ht="15.75" hidden="1" customHeight="1">
      <c r="A52" s="30"/>
      <c r="B52" s="62" t="s">
        <v>39</v>
      </c>
      <c r="C52" s="63" t="s">
        <v>40</v>
      </c>
      <c r="D52" s="62" t="s">
        <v>42</v>
      </c>
      <c r="E52" s="64">
        <v>1</v>
      </c>
      <c r="F52" s="65">
        <v>0.02</v>
      </c>
      <c r="G52" s="13">
        <v>7033.13</v>
      </c>
      <c r="H52" s="66">
        <f t="shared" si="6"/>
        <v>0.1406626</v>
      </c>
      <c r="I52" s="13">
        <f t="shared" si="7"/>
        <v>70.331299999999999</v>
      </c>
      <c r="J52" s="24"/>
      <c r="L52" s="19"/>
      <c r="M52" s="20"/>
      <c r="N52" s="21"/>
    </row>
    <row r="53" spans="1:22" ht="19.5" hidden="1" customHeight="1">
      <c r="A53" s="30">
        <v>12</v>
      </c>
      <c r="B53" s="62" t="s">
        <v>41</v>
      </c>
      <c r="C53" s="63" t="s">
        <v>103</v>
      </c>
      <c r="D53" s="126">
        <v>43497</v>
      </c>
      <c r="E53" s="64">
        <v>53</v>
      </c>
      <c r="F53" s="65">
        <v>53</v>
      </c>
      <c r="G53" s="13">
        <v>81.73</v>
      </c>
      <c r="H53" s="66">
        <f t="shared" si="6"/>
        <v>4.3316900000000009</v>
      </c>
      <c r="I53" s="13">
        <f>G53*F53/3</f>
        <v>1443.8966666666668</v>
      </c>
      <c r="J53" s="24"/>
      <c r="L53" s="19"/>
    </row>
    <row r="54" spans="1:22" ht="15.75" customHeight="1">
      <c r="A54" s="180" t="s">
        <v>136</v>
      </c>
      <c r="B54" s="181"/>
      <c r="C54" s="181"/>
      <c r="D54" s="181"/>
      <c r="E54" s="181"/>
      <c r="F54" s="181"/>
      <c r="G54" s="181"/>
      <c r="H54" s="181"/>
      <c r="I54" s="182"/>
    </row>
    <row r="55" spans="1:22" ht="15.75" hidden="1" customHeight="1">
      <c r="A55" s="30"/>
      <c r="B55" s="82" t="s">
        <v>43</v>
      </c>
      <c r="C55" s="63"/>
      <c r="D55" s="62"/>
      <c r="E55" s="64"/>
      <c r="F55" s="65"/>
      <c r="G55" s="65"/>
      <c r="H55" s="66"/>
      <c r="I55" s="13"/>
    </row>
    <row r="56" spans="1:22" ht="31.5" hidden="1" customHeight="1">
      <c r="A56" s="30">
        <v>13</v>
      </c>
      <c r="B56" s="62" t="s">
        <v>104</v>
      </c>
      <c r="C56" s="63" t="s">
        <v>81</v>
      </c>
      <c r="D56" s="62" t="s">
        <v>105</v>
      </c>
      <c r="E56" s="64">
        <v>11.5</v>
      </c>
      <c r="F56" s="65">
        <f>SUM(E56*6/100)</f>
        <v>0.69</v>
      </c>
      <c r="G56" s="13">
        <v>2306.62</v>
      </c>
      <c r="H56" s="66">
        <f>SUM(F56*G56/1000)</f>
        <v>1.5915677999999998</v>
      </c>
      <c r="I56" s="13">
        <f>G56*0.18</f>
        <v>415.19159999999994</v>
      </c>
    </row>
    <row r="57" spans="1:22" ht="15.75" hidden="1" customHeight="1">
      <c r="A57" s="30"/>
      <c r="B57" s="62" t="s">
        <v>121</v>
      </c>
      <c r="C57" s="63" t="s">
        <v>122</v>
      </c>
      <c r="D57" s="62" t="s">
        <v>65</v>
      </c>
      <c r="E57" s="64"/>
      <c r="F57" s="65">
        <v>2</v>
      </c>
      <c r="G57" s="85">
        <v>1501</v>
      </c>
      <c r="H57" s="66">
        <f>SUM(F57*G57/1000)</f>
        <v>3.0019999999999998</v>
      </c>
      <c r="I57" s="13">
        <v>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customHeight="1">
      <c r="A58" s="30"/>
      <c r="B58" s="82" t="s">
        <v>44</v>
      </c>
      <c r="C58" s="63"/>
      <c r="D58" s="62"/>
      <c r="E58" s="64"/>
      <c r="F58" s="65"/>
      <c r="G58" s="86"/>
      <c r="H58" s="66"/>
      <c r="I58" s="13"/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/>
      <c r="B59" s="62" t="s">
        <v>106</v>
      </c>
      <c r="C59" s="63" t="s">
        <v>81</v>
      </c>
      <c r="D59" s="62" t="s">
        <v>53</v>
      </c>
      <c r="E59" s="64">
        <v>148</v>
      </c>
      <c r="F59" s="66">
        <f>E59/100</f>
        <v>1.48</v>
      </c>
      <c r="G59" s="13">
        <v>987.51</v>
      </c>
      <c r="H59" s="71">
        <f>F59*G59/1000</f>
        <v>1.4615148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customHeight="1">
      <c r="A60" s="30">
        <v>10</v>
      </c>
      <c r="B60" s="112" t="s">
        <v>131</v>
      </c>
      <c r="C60" s="113" t="s">
        <v>25</v>
      </c>
      <c r="D60" s="112" t="s">
        <v>161</v>
      </c>
      <c r="E60" s="114">
        <v>110</v>
      </c>
      <c r="F60" s="115">
        <f>E60*12</f>
        <v>1320</v>
      </c>
      <c r="G60" s="116">
        <v>1.4</v>
      </c>
      <c r="H60" s="71">
        <f>F60*G60/1000</f>
        <v>1.8479999999999999</v>
      </c>
      <c r="I60" s="13">
        <f>F60/12*G60</f>
        <v>154</v>
      </c>
      <c r="J60" s="5"/>
      <c r="K60" s="5"/>
      <c r="L60" s="5"/>
      <c r="M60" s="5"/>
      <c r="N60" s="5"/>
      <c r="O60" s="5"/>
      <c r="P60" s="5"/>
      <c r="Q60" s="5"/>
      <c r="R60" s="173"/>
      <c r="S60" s="173"/>
      <c r="T60" s="173"/>
      <c r="U60" s="173"/>
    </row>
    <row r="61" spans="1:22" ht="15.75" customHeight="1">
      <c r="A61" s="30"/>
      <c r="B61" s="83" t="s">
        <v>45</v>
      </c>
      <c r="C61" s="72"/>
      <c r="D61" s="73"/>
      <c r="E61" s="74"/>
      <c r="F61" s="75"/>
      <c r="G61" s="75"/>
      <c r="H61" s="76" t="s">
        <v>115</v>
      </c>
      <c r="I61" s="13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ht="15.75" hidden="1" customHeight="1">
      <c r="A62" s="30">
        <v>16</v>
      </c>
      <c r="B62" s="14" t="s">
        <v>46</v>
      </c>
      <c r="C62" s="16" t="s">
        <v>103</v>
      </c>
      <c r="D62" s="14" t="s">
        <v>65</v>
      </c>
      <c r="E62" s="18">
        <v>2</v>
      </c>
      <c r="F62" s="65">
        <f>E62</f>
        <v>2</v>
      </c>
      <c r="G62" s="13">
        <v>276.74</v>
      </c>
      <c r="H62" s="61">
        <f t="shared" ref="H62:H78" si="8">SUM(F62*G62/1000)</f>
        <v>0.55347999999999997</v>
      </c>
      <c r="I62" s="13">
        <f>G62</f>
        <v>276.74</v>
      </c>
    </row>
    <row r="63" spans="1:22" ht="15.75" hidden="1" customHeight="1">
      <c r="A63" s="30"/>
      <c r="B63" s="14" t="s">
        <v>47</v>
      </c>
      <c r="C63" s="16" t="s">
        <v>103</v>
      </c>
      <c r="D63" s="14" t="s">
        <v>65</v>
      </c>
      <c r="E63" s="18">
        <v>1</v>
      </c>
      <c r="F63" s="65">
        <f>E63</f>
        <v>1</v>
      </c>
      <c r="G63" s="13">
        <v>94.89</v>
      </c>
      <c r="H63" s="61">
        <f t="shared" si="8"/>
        <v>9.4890000000000002E-2</v>
      </c>
      <c r="I63" s="13">
        <v>0</v>
      </c>
    </row>
    <row r="64" spans="1:22" ht="15.75" hidden="1" customHeight="1">
      <c r="A64" s="30"/>
      <c r="B64" s="14" t="s">
        <v>48</v>
      </c>
      <c r="C64" s="16" t="s">
        <v>107</v>
      </c>
      <c r="D64" s="14" t="s">
        <v>53</v>
      </c>
      <c r="E64" s="64">
        <v>6307</v>
      </c>
      <c r="F64" s="13">
        <f>SUM(E64/100)</f>
        <v>63.07</v>
      </c>
      <c r="G64" s="13">
        <v>263.99</v>
      </c>
      <c r="H64" s="61">
        <f t="shared" si="8"/>
        <v>16.649849300000003</v>
      </c>
      <c r="I64" s="13">
        <v>0</v>
      </c>
    </row>
    <row r="65" spans="1:9" ht="15.75" hidden="1" customHeight="1">
      <c r="A65" s="30"/>
      <c r="B65" s="14" t="s">
        <v>49</v>
      </c>
      <c r="C65" s="16" t="s">
        <v>108</v>
      </c>
      <c r="D65" s="14"/>
      <c r="E65" s="64">
        <v>6307</v>
      </c>
      <c r="F65" s="13">
        <f>SUM(E65/1000)</f>
        <v>6.3070000000000004</v>
      </c>
      <c r="G65" s="13">
        <v>205.57</v>
      </c>
      <c r="H65" s="61">
        <f t="shared" si="8"/>
        <v>1.29652999</v>
      </c>
      <c r="I65" s="13">
        <v>0</v>
      </c>
    </row>
    <row r="66" spans="1:9" ht="15.75" hidden="1" customHeight="1">
      <c r="A66" s="30"/>
      <c r="B66" s="14" t="s">
        <v>50</v>
      </c>
      <c r="C66" s="16" t="s">
        <v>74</v>
      </c>
      <c r="D66" s="14" t="s">
        <v>53</v>
      </c>
      <c r="E66" s="64">
        <v>1003</v>
      </c>
      <c r="F66" s="13">
        <f>SUM(E66/100)</f>
        <v>10.029999999999999</v>
      </c>
      <c r="G66" s="13">
        <v>2581.5300000000002</v>
      </c>
      <c r="H66" s="61">
        <f t="shared" si="8"/>
        <v>25.892745900000001</v>
      </c>
      <c r="I66" s="13">
        <v>0</v>
      </c>
    </row>
    <row r="67" spans="1:9" ht="15.75" hidden="1" customHeight="1">
      <c r="A67" s="30"/>
      <c r="B67" s="77" t="s">
        <v>109</v>
      </c>
      <c r="C67" s="16" t="s">
        <v>32</v>
      </c>
      <c r="D67" s="14"/>
      <c r="E67" s="64">
        <v>6.6</v>
      </c>
      <c r="F67" s="13">
        <f>SUM(E67)</f>
        <v>6.6</v>
      </c>
      <c r="G67" s="13">
        <v>47.75</v>
      </c>
      <c r="H67" s="61">
        <f t="shared" si="8"/>
        <v>0.31514999999999999</v>
      </c>
      <c r="I67" s="13">
        <v>0</v>
      </c>
    </row>
    <row r="68" spans="1:9" ht="15.75" hidden="1" customHeight="1">
      <c r="A68" s="30"/>
      <c r="B68" s="77" t="s">
        <v>110</v>
      </c>
      <c r="C68" s="16" t="s">
        <v>32</v>
      </c>
      <c r="D68" s="14"/>
      <c r="E68" s="64">
        <v>6.6</v>
      </c>
      <c r="F68" s="13">
        <f>SUM(E68)</f>
        <v>6.6</v>
      </c>
      <c r="G68" s="13">
        <v>44.27</v>
      </c>
      <c r="H68" s="61">
        <f t="shared" si="8"/>
        <v>0.292182</v>
      </c>
      <c r="I68" s="13">
        <v>0</v>
      </c>
    </row>
    <row r="69" spans="1:9" ht="15.75" hidden="1" customHeight="1">
      <c r="A69" s="30">
        <v>19</v>
      </c>
      <c r="B69" s="14" t="s">
        <v>56</v>
      </c>
      <c r="C69" s="16" t="s">
        <v>57</v>
      </c>
      <c r="D69" s="14" t="s">
        <v>53</v>
      </c>
      <c r="E69" s="18">
        <v>3</v>
      </c>
      <c r="F69" s="65">
        <v>3</v>
      </c>
      <c r="G69" s="13">
        <v>62.07</v>
      </c>
      <c r="H69" s="61">
        <f t="shared" si="8"/>
        <v>0.18621000000000001</v>
      </c>
      <c r="I69" s="13">
        <f>F69*G69</f>
        <v>186.21</v>
      </c>
    </row>
    <row r="70" spans="1:9" ht="15.75" customHeight="1">
      <c r="A70" s="30">
        <v>11</v>
      </c>
      <c r="B70" s="14" t="s">
        <v>123</v>
      </c>
      <c r="C70" s="30" t="s">
        <v>124</v>
      </c>
      <c r="D70" s="14"/>
      <c r="E70" s="18">
        <v>1536.4</v>
      </c>
      <c r="F70" s="56">
        <f>E70*12</f>
        <v>18436.800000000003</v>
      </c>
      <c r="G70" s="13">
        <v>2.16</v>
      </c>
      <c r="H70" s="61">
        <f t="shared" si="8"/>
        <v>39.823488000000012</v>
      </c>
      <c r="I70" s="13">
        <f>F70/12*G70</f>
        <v>3318.6240000000007</v>
      </c>
    </row>
    <row r="71" spans="1:9" ht="15.75" customHeight="1">
      <c r="A71" s="30"/>
      <c r="B71" s="93" t="s">
        <v>69</v>
      </c>
      <c r="C71" s="16"/>
      <c r="D71" s="14"/>
      <c r="E71" s="18"/>
      <c r="F71" s="13"/>
      <c r="G71" s="13"/>
      <c r="H71" s="61" t="s">
        <v>115</v>
      </c>
      <c r="I71" s="13"/>
    </row>
    <row r="72" spans="1:9" ht="20.25" hidden="1" customHeight="1">
      <c r="A72" s="30">
        <v>15</v>
      </c>
      <c r="B72" s="14" t="s">
        <v>125</v>
      </c>
      <c r="C72" s="16" t="s">
        <v>126</v>
      </c>
      <c r="D72" s="14" t="s">
        <v>174</v>
      </c>
      <c r="E72" s="18">
        <v>1</v>
      </c>
      <c r="F72" s="13">
        <f>E72</f>
        <v>1</v>
      </c>
      <c r="G72" s="13">
        <v>976.4</v>
      </c>
      <c r="H72" s="61">
        <f t="shared" ref="H72:H73" si="9">SUM(F72*G72/1000)</f>
        <v>0.97639999999999993</v>
      </c>
      <c r="I72" s="13">
        <f>G72*1</f>
        <v>976.4</v>
      </c>
    </row>
    <row r="73" spans="1:9" ht="19.5" hidden="1" customHeight="1">
      <c r="A73" s="30">
        <v>16</v>
      </c>
      <c r="B73" s="14" t="s">
        <v>127</v>
      </c>
      <c r="C73" s="16" t="s">
        <v>128</v>
      </c>
      <c r="D73" s="14"/>
      <c r="E73" s="18">
        <v>1</v>
      </c>
      <c r="F73" s="13">
        <v>1</v>
      </c>
      <c r="G73" s="13">
        <v>650</v>
      </c>
      <c r="H73" s="61">
        <f t="shared" si="9"/>
        <v>0.65</v>
      </c>
      <c r="I73" s="13">
        <f>G73*1</f>
        <v>650</v>
      </c>
    </row>
    <row r="74" spans="1:9" ht="18" hidden="1" customHeight="1">
      <c r="A74" s="30"/>
      <c r="B74" s="14" t="s">
        <v>70</v>
      </c>
      <c r="C74" s="16" t="s">
        <v>72</v>
      </c>
      <c r="D74" s="14"/>
      <c r="E74" s="18">
        <v>3</v>
      </c>
      <c r="F74" s="13">
        <v>0.3</v>
      </c>
      <c r="G74" s="13">
        <v>624.16999999999996</v>
      </c>
      <c r="H74" s="61">
        <f t="shared" si="8"/>
        <v>0.18725099999999997</v>
      </c>
      <c r="I74" s="13">
        <v>0</v>
      </c>
    </row>
    <row r="75" spans="1:9" ht="16.5" hidden="1" customHeight="1">
      <c r="A75" s="30"/>
      <c r="B75" s="14" t="s">
        <v>71</v>
      </c>
      <c r="C75" s="16" t="s">
        <v>30</v>
      </c>
      <c r="D75" s="14"/>
      <c r="E75" s="18">
        <v>1</v>
      </c>
      <c r="F75" s="56">
        <v>1</v>
      </c>
      <c r="G75" s="13">
        <v>1061.4100000000001</v>
      </c>
      <c r="H75" s="61">
        <f>F75*G75/1000</f>
        <v>1.0614100000000002</v>
      </c>
      <c r="I75" s="13">
        <v>0</v>
      </c>
    </row>
    <row r="76" spans="1:9" ht="15.75" customHeight="1">
      <c r="A76" s="30">
        <v>12</v>
      </c>
      <c r="B76" s="46" t="s">
        <v>129</v>
      </c>
      <c r="C76" s="47" t="s">
        <v>103</v>
      </c>
      <c r="D76" s="14" t="s">
        <v>173</v>
      </c>
      <c r="E76" s="18">
        <v>1</v>
      </c>
      <c r="F76" s="13">
        <f>E76*12</f>
        <v>12</v>
      </c>
      <c r="G76" s="13">
        <v>50.69</v>
      </c>
      <c r="H76" s="61">
        <f>G76*F76/1000</f>
        <v>0.60827999999999993</v>
      </c>
      <c r="I76" s="13">
        <f>G76</f>
        <v>50.69</v>
      </c>
    </row>
    <row r="77" spans="1:9" ht="15.75" hidden="1" customHeight="1">
      <c r="A77" s="30"/>
      <c r="B77" s="79" t="s">
        <v>73</v>
      </c>
      <c r="C77" s="16"/>
      <c r="D77" s="14"/>
      <c r="E77" s="18"/>
      <c r="F77" s="13"/>
      <c r="G77" s="13" t="s">
        <v>115</v>
      </c>
      <c r="H77" s="61" t="s">
        <v>115</v>
      </c>
      <c r="I77" s="13" t="str">
        <f>G77</f>
        <v xml:space="preserve"> </v>
      </c>
    </row>
    <row r="78" spans="1:9" ht="15.75" hidden="1" customHeight="1">
      <c r="A78" s="30"/>
      <c r="B78" s="43" t="s">
        <v>130</v>
      </c>
      <c r="C78" s="16" t="s">
        <v>74</v>
      </c>
      <c r="D78" s="14"/>
      <c r="E78" s="18"/>
      <c r="F78" s="13">
        <v>0.1</v>
      </c>
      <c r="G78" s="13">
        <v>3433.69</v>
      </c>
      <c r="H78" s="61">
        <f t="shared" si="8"/>
        <v>0.34336900000000004</v>
      </c>
      <c r="I78" s="13">
        <v>0</v>
      </c>
    </row>
    <row r="79" spans="1:9" ht="15.75" hidden="1" customHeight="1">
      <c r="A79" s="30"/>
      <c r="B79" s="55" t="s">
        <v>87</v>
      </c>
      <c r="C79" s="79"/>
      <c r="D79" s="31"/>
      <c r="E79" s="32"/>
      <c r="F79" s="68"/>
      <c r="G79" s="68"/>
      <c r="H79" s="80">
        <f>SUM(H56:H78)</f>
        <v>96.834317790000014</v>
      </c>
      <c r="I79" s="13"/>
    </row>
    <row r="80" spans="1:9" ht="15.75" hidden="1" customHeight="1">
      <c r="A80" s="30"/>
      <c r="B80" s="62" t="s">
        <v>111</v>
      </c>
      <c r="C80" s="16"/>
      <c r="D80" s="14"/>
      <c r="E80" s="57"/>
      <c r="F80" s="13">
        <v>1</v>
      </c>
      <c r="G80" s="35">
        <v>6105.8</v>
      </c>
      <c r="H80" s="61">
        <f>G80*F80/1000</f>
        <v>6.1058000000000003</v>
      </c>
      <c r="I80" s="13">
        <v>0</v>
      </c>
    </row>
    <row r="81" spans="1:9" ht="15.75" customHeight="1">
      <c r="A81" s="180" t="s">
        <v>137</v>
      </c>
      <c r="B81" s="181"/>
      <c r="C81" s="181"/>
      <c r="D81" s="181"/>
      <c r="E81" s="181"/>
      <c r="F81" s="181"/>
      <c r="G81" s="181"/>
      <c r="H81" s="181"/>
      <c r="I81" s="182"/>
    </row>
    <row r="82" spans="1:9" ht="15.75" customHeight="1">
      <c r="A82" s="30">
        <v>13</v>
      </c>
      <c r="B82" s="62" t="s">
        <v>112</v>
      </c>
      <c r="C82" s="16" t="s">
        <v>54</v>
      </c>
      <c r="D82" s="81"/>
      <c r="E82" s="13">
        <v>1536.4</v>
      </c>
      <c r="F82" s="13">
        <f>SUM(E82*12)</f>
        <v>18436.800000000003</v>
      </c>
      <c r="G82" s="13">
        <v>2.95</v>
      </c>
      <c r="H82" s="61">
        <f>SUM(F82*G82/1000)</f>
        <v>54.388560000000012</v>
      </c>
      <c r="I82" s="13">
        <f>F82/12*G82</f>
        <v>4532.380000000001</v>
      </c>
    </row>
    <row r="83" spans="1:9" ht="31.5" customHeight="1">
      <c r="A83" s="30">
        <v>14</v>
      </c>
      <c r="B83" s="14" t="s">
        <v>75</v>
      </c>
      <c r="C83" s="16"/>
      <c r="D83" s="81"/>
      <c r="E83" s="64">
        <f>E82</f>
        <v>1536.4</v>
      </c>
      <c r="F83" s="13">
        <f>E83*12</f>
        <v>18436.800000000003</v>
      </c>
      <c r="G83" s="13">
        <v>3.05</v>
      </c>
      <c r="H83" s="61">
        <f>F83*G83/1000</f>
        <v>56.232240000000004</v>
      </c>
      <c r="I83" s="13">
        <f>F83/12*G83</f>
        <v>4686.0200000000004</v>
      </c>
    </row>
    <row r="84" spans="1:9" ht="15.75" customHeight="1">
      <c r="A84" s="30"/>
      <c r="B84" s="36" t="s">
        <v>77</v>
      </c>
      <c r="C84" s="79"/>
      <c r="D84" s="78"/>
      <c r="E84" s="68"/>
      <c r="F84" s="68"/>
      <c r="G84" s="68"/>
      <c r="H84" s="80">
        <f>H83</f>
        <v>56.232240000000004</v>
      </c>
      <c r="I84" s="68">
        <f>I83+I82+I76+I70+I60+I49+I40+I39+I38+I37+I27+I18+I17+I16</f>
        <v>25122.447818166667</v>
      </c>
    </row>
    <row r="85" spans="1:9" ht="15.75" customHeight="1">
      <c r="A85" s="166" t="s">
        <v>59</v>
      </c>
      <c r="B85" s="167"/>
      <c r="C85" s="167"/>
      <c r="D85" s="167"/>
      <c r="E85" s="167"/>
      <c r="F85" s="167"/>
      <c r="G85" s="167"/>
      <c r="H85" s="167"/>
      <c r="I85" s="168"/>
    </row>
    <row r="86" spans="1:9" s="100" customFormat="1" ht="18.75" customHeight="1">
      <c r="A86" s="30">
        <v>15</v>
      </c>
      <c r="B86" s="110" t="s">
        <v>177</v>
      </c>
      <c r="C86" s="111" t="s">
        <v>78</v>
      </c>
      <c r="D86" s="43"/>
      <c r="E86" s="13"/>
      <c r="F86" s="13">
        <v>234</v>
      </c>
      <c r="G86" s="34">
        <v>222.63</v>
      </c>
      <c r="H86" s="13">
        <f t="shared" ref="H86:H87" si="10">G86*F86/1000</f>
        <v>52.095419999999997</v>
      </c>
      <c r="I86" s="13">
        <f>G86*1</f>
        <v>222.63</v>
      </c>
    </row>
    <row r="87" spans="1:9" s="100" customFormat="1" ht="15" customHeight="1">
      <c r="A87" s="30">
        <v>16</v>
      </c>
      <c r="B87" s="110" t="s">
        <v>162</v>
      </c>
      <c r="C87" s="111" t="s">
        <v>29</v>
      </c>
      <c r="D87" s="118"/>
      <c r="E87" s="17"/>
      <c r="F87" s="119">
        <v>1</v>
      </c>
      <c r="G87" s="34">
        <v>1207.24</v>
      </c>
      <c r="H87" s="102">
        <f t="shared" si="10"/>
        <v>1.2072400000000001</v>
      </c>
      <c r="I87" s="13">
        <f>G87*0.06</f>
        <v>72.434399999999997</v>
      </c>
    </row>
    <row r="88" spans="1:9" s="100" customFormat="1" ht="30" customHeight="1">
      <c r="A88" s="30">
        <v>17</v>
      </c>
      <c r="B88" s="110" t="s">
        <v>160</v>
      </c>
      <c r="C88" s="111" t="s">
        <v>29</v>
      </c>
      <c r="D88" s="118"/>
      <c r="E88" s="17"/>
      <c r="F88" s="119"/>
      <c r="G88" s="34">
        <v>20547.34</v>
      </c>
      <c r="H88" s="102"/>
      <c r="I88" s="13">
        <f>G88*0.599*6/1000</f>
        <v>73.847139960000007</v>
      </c>
    </row>
    <row r="89" spans="1:9" ht="15.75" customHeight="1">
      <c r="A89" s="30"/>
      <c r="B89" s="41" t="s">
        <v>51</v>
      </c>
      <c r="C89" s="37"/>
      <c r="D89" s="44"/>
      <c r="E89" s="37">
        <v>1</v>
      </c>
      <c r="F89" s="37"/>
      <c r="G89" s="37"/>
      <c r="H89" s="37"/>
      <c r="I89" s="32">
        <f>SUM(I86:I88)</f>
        <v>368.91153995999997</v>
      </c>
    </row>
    <row r="90" spans="1:9" ht="15.75" customHeight="1">
      <c r="A90" s="30"/>
      <c r="B90" s="43" t="s">
        <v>76</v>
      </c>
      <c r="C90" s="15"/>
      <c r="D90" s="15"/>
      <c r="E90" s="38"/>
      <c r="F90" s="38"/>
      <c r="G90" s="39"/>
      <c r="H90" s="39"/>
      <c r="I90" s="17">
        <v>0</v>
      </c>
    </row>
    <row r="91" spans="1:9">
      <c r="A91" s="45"/>
      <c r="B91" s="42" t="s">
        <v>153</v>
      </c>
      <c r="C91" s="33"/>
      <c r="D91" s="33"/>
      <c r="E91" s="33"/>
      <c r="F91" s="33"/>
      <c r="G91" s="33"/>
      <c r="H91" s="33"/>
      <c r="I91" s="40">
        <f>I84+I89</f>
        <v>25491.359358126669</v>
      </c>
    </row>
    <row r="92" spans="1:9" ht="15.75">
      <c r="A92" s="175" t="s">
        <v>190</v>
      </c>
      <c r="B92" s="175"/>
      <c r="C92" s="175"/>
      <c r="D92" s="175"/>
      <c r="E92" s="175"/>
      <c r="F92" s="175"/>
      <c r="G92" s="175"/>
      <c r="H92" s="175"/>
      <c r="I92" s="175"/>
    </row>
    <row r="93" spans="1:9" ht="15.75" customHeight="1">
      <c r="A93" s="54"/>
      <c r="B93" s="176" t="s">
        <v>189</v>
      </c>
      <c r="C93" s="176"/>
      <c r="D93" s="176"/>
      <c r="E93" s="176"/>
      <c r="F93" s="176"/>
      <c r="G93" s="176"/>
      <c r="H93" s="60"/>
      <c r="I93" s="3"/>
    </row>
    <row r="94" spans="1:9">
      <c r="A94" s="91"/>
      <c r="B94" s="171" t="s">
        <v>6</v>
      </c>
      <c r="C94" s="171"/>
      <c r="D94" s="171"/>
      <c r="E94" s="171"/>
      <c r="F94" s="171"/>
      <c r="G94" s="171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77" t="s">
        <v>7</v>
      </c>
      <c r="B96" s="177"/>
      <c r="C96" s="177"/>
      <c r="D96" s="177"/>
      <c r="E96" s="177"/>
      <c r="F96" s="177"/>
      <c r="G96" s="177"/>
      <c r="H96" s="177"/>
      <c r="I96" s="177"/>
    </row>
    <row r="97" spans="1:9" ht="15.75" customHeight="1">
      <c r="A97" s="177" t="s">
        <v>8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>
      <c r="A98" s="178" t="s">
        <v>60</v>
      </c>
      <c r="B98" s="178"/>
      <c r="C98" s="178"/>
      <c r="D98" s="178"/>
      <c r="E98" s="178"/>
      <c r="F98" s="178"/>
      <c r="G98" s="178"/>
      <c r="H98" s="178"/>
      <c r="I98" s="178"/>
    </row>
    <row r="99" spans="1:9" ht="15.75">
      <c r="A99" s="11"/>
    </row>
    <row r="100" spans="1:9" ht="15.75">
      <c r="A100" s="169" t="s">
        <v>9</v>
      </c>
      <c r="B100" s="169"/>
      <c r="C100" s="169"/>
      <c r="D100" s="169"/>
      <c r="E100" s="169"/>
      <c r="F100" s="169"/>
      <c r="G100" s="169"/>
      <c r="H100" s="169"/>
      <c r="I100" s="169"/>
    </row>
    <row r="101" spans="1:9" ht="15.75">
      <c r="A101" s="4"/>
    </row>
    <row r="102" spans="1:9" ht="15.75">
      <c r="B102" s="88" t="s">
        <v>10</v>
      </c>
      <c r="C102" s="170" t="s">
        <v>133</v>
      </c>
      <c r="D102" s="170"/>
      <c r="E102" s="170"/>
      <c r="F102" s="58"/>
      <c r="I102" s="90"/>
    </row>
    <row r="103" spans="1:9">
      <c r="A103" s="91"/>
      <c r="C103" s="171" t="s">
        <v>11</v>
      </c>
      <c r="D103" s="171"/>
      <c r="E103" s="171"/>
      <c r="F103" s="25"/>
      <c r="I103" s="89" t="s">
        <v>12</v>
      </c>
    </row>
    <row r="104" spans="1:9" ht="15.75">
      <c r="A104" s="26"/>
      <c r="C104" s="12"/>
      <c r="D104" s="12"/>
      <c r="G104" s="12"/>
      <c r="H104" s="12"/>
    </row>
    <row r="105" spans="1:9" ht="15.75" customHeight="1">
      <c r="B105" s="88" t="s">
        <v>13</v>
      </c>
      <c r="C105" s="172"/>
      <c r="D105" s="172"/>
      <c r="E105" s="172"/>
      <c r="F105" s="59"/>
      <c r="I105" s="90"/>
    </row>
    <row r="106" spans="1:9" ht="15.75" customHeight="1">
      <c r="A106" s="91"/>
      <c r="C106" s="173" t="s">
        <v>11</v>
      </c>
      <c r="D106" s="173"/>
      <c r="E106" s="173"/>
      <c r="F106" s="91"/>
      <c r="I106" s="89" t="s">
        <v>12</v>
      </c>
    </row>
    <row r="107" spans="1:9" ht="15.75" customHeight="1">
      <c r="A107" s="4" t="s">
        <v>14</v>
      </c>
    </row>
    <row r="108" spans="1:9">
      <c r="A108" s="174" t="s">
        <v>15</v>
      </c>
      <c r="B108" s="174"/>
      <c r="C108" s="174"/>
      <c r="D108" s="174"/>
      <c r="E108" s="174"/>
      <c r="F108" s="174"/>
      <c r="G108" s="174"/>
      <c r="H108" s="174"/>
      <c r="I108" s="174"/>
    </row>
    <row r="109" spans="1:9" ht="45" customHeight="1">
      <c r="A109" s="165" t="s">
        <v>16</v>
      </c>
      <c r="B109" s="165"/>
      <c r="C109" s="165"/>
      <c r="D109" s="165"/>
      <c r="E109" s="165"/>
      <c r="F109" s="165"/>
      <c r="G109" s="165"/>
      <c r="H109" s="165"/>
      <c r="I109" s="165"/>
    </row>
    <row r="110" spans="1:9" ht="30" customHeight="1">
      <c r="A110" s="165" t="s">
        <v>17</v>
      </c>
      <c r="B110" s="165"/>
      <c r="C110" s="165"/>
      <c r="D110" s="165"/>
      <c r="E110" s="165"/>
      <c r="F110" s="165"/>
      <c r="G110" s="165"/>
      <c r="H110" s="165"/>
      <c r="I110" s="165"/>
    </row>
    <row r="111" spans="1:9" ht="30" customHeight="1">
      <c r="A111" s="165" t="s">
        <v>21</v>
      </c>
      <c r="B111" s="165"/>
      <c r="C111" s="165"/>
      <c r="D111" s="165"/>
      <c r="E111" s="165"/>
      <c r="F111" s="165"/>
      <c r="G111" s="165"/>
      <c r="H111" s="165"/>
      <c r="I111" s="165"/>
    </row>
    <row r="112" spans="1:9" ht="15" customHeight="1">
      <c r="A112" s="165" t="s">
        <v>20</v>
      </c>
      <c r="B112" s="165"/>
      <c r="C112" s="165"/>
      <c r="D112" s="165"/>
      <c r="E112" s="165"/>
      <c r="F112" s="165"/>
      <c r="G112" s="165"/>
      <c r="H112" s="165"/>
      <c r="I112" s="165"/>
    </row>
  </sheetData>
  <autoFilter ref="I12:I55"/>
  <mergeCells count="29">
    <mergeCell ref="A14:I14"/>
    <mergeCell ref="A15:I15"/>
    <mergeCell ref="A28:I28"/>
    <mergeCell ref="A43:I43"/>
    <mergeCell ref="A54:I54"/>
    <mergeCell ref="A3:I3"/>
    <mergeCell ref="A4:I4"/>
    <mergeCell ref="A5:I5"/>
    <mergeCell ref="A8:I8"/>
    <mergeCell ref="A10:I10"/>
    <mergeCell ref="R60:U60"/>
    <mergeCell ref="C106:E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108:I108"/>
    <mergeCell ref="A109:I109"/>
    <mergeCell ref="A110:I110"/>
    <mergeCell ref="A111:I111"/>
    <mergeCell ref="A112:I112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4"/>
  <sheetViews>
    <sheetView topLeftCell="A16" workbookViewId="0">
      <selection activeCell="B38" sqref="B38:I4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6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83" t="s">
        <v>140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132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191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43921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192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7" t="s">
        <v>149</v>
      </c>
      <c r="B10" s="187"/>
      <c r="C10" s="187"/>
      <c r="D10" s="187"/>
      <c r="E10" s="187"/>
      <c r="F10" s="187"/>
      <c r="G10" s="187"/>
      <c r="H10" s="187"/>
      <c r="I10" s="18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123" t="s">
        <v>80</v>
      </c>
      <c r="C16" s="124" t="s">
        <v>81</v>
      </c>
      <c r="D16" s="123" t="s">
        <v>165</v>
      </c>
      <c r="E16" s="128">
        <v>54.9</v>
      </c>
      <c r="F16" s="115">
        <f>SUM(E16*156/100)</f>
        <v>85.643999999999991</v>
      </c>
      <c r="G16" s="115">
        <v>261.45</v>
      </c>
      <c r="H16" s="135">
        <f t="shared" ref="H16:H18" si="0">SUM(F16*G16/1000)</f>
        <v>22.391623799999998</v>
      </c>
      <c r="I16" s="34">
        <f>F16/12*G16</f>
        <v>1865.9686499999998</v>
      </c>
      <c r="J16" s="134"/>
      <c r="K16" s="134"/>
      <c r="L16" s="8"/>
      <c r="M16" s="8"/>
    </row>
    <row r="17" spans="1:13" ht="15.75" customHeight="1">
      <c r="A17" s="30">
        <v>2</v>
      </c>
      <c r="B17" s="123" t="s">
        <v>113</v>
      </c>
      <c r="C17" s="124" t="s">
        <v>81</v>
      </c>
      <c r="D17" s="123" t="s">
        <v>166</v>
      </c>
      <c r="E17" s="128">
        <v>109.8</v>
      </c>
      <c r="F17" s="115">
        <f>SUM(E17*104/100)</f>
        <v>114.19199999999999</v>
      </c>
      <c r="G17" s="115">
        <v>261.45</v>
      </c>
      <c r="H17" s="135">
        <f t="shared" si="0"/>
        <v>29.855498399999998</v>
      </c>
      <c r="I17" s="34">
        <f>F17/12*G17</f>
        <v>2487.9582</v>
      </c>
      <c r="J17" s="134"/>
      <c r="K17" s="134"/>
      <c r="L17" s="8"/>
      <c r="M17" s="8"/>
    </row>
    <row r="18" spans="1:13" ht="15.75" customHeight="1">
      <c r="A18" s="30">
        <v>3</v>
      </c>
      <c r="B18" s="123" t="s">
        <v>114</v>
      </c>
      <c r="C18" s="124" t="s">
        <v>81</v>
      </c>
      <c r="D18" s="123" t="s">
        <v>161</v>
      </c>
      <c r="E18" s="128">
        <f>SUM(E16+E17)</f>
        <v>164.7</v>
      </c>
      <c r="F18" s="115">
        <f>SUM(E18*18/100)</f>
        <v>29.646000000000001</v>
      </c>
      <c r="G18" s="115">
        <v>752.16</v>
      </c>
      <c r="H18" s="135">
        <f t="shared" si="0"/>
        <v>22.298535359999999</v>
      </c>
      <c r="I18" s="34">
        <f>F18/18*G18</f>
        <v>1238.8075200000001</v>
      </c>
      <c r="J18" s="134"/>
      <c r="K18" s="134"/>
      <c r="L18" s="8"/>
      <c r="M18" s="8"/>
    </row>
    <row r="19" spans="1:13" ht="15.75" hidden="1" customHeight="1">
      <c r="A19" s="30"/>
      <c r="B19" s="62" t="s">
        <v>88</v>
      </c>
      <c r="C19" s="63" t="s">
        <v>89</v>
      </c>
      <c r="D19" s="62" t="s">
        <v>90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91</v>
      </c>
      <c r="C20" s="63" t="s">
        <v>81</v>
      </c>
      <c r="D20" s="62" t="s">
        <v>42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1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92</v>
      </c>
      <c r="C21" s="63" t="s">
        <v>81</v>
      </c>
      <c r="D21" s="62" t="s">
        <v>42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1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93</v>
      </c>
      <c r="C22" s="63" t="s">
        <v>52</v>
      </c>
      <c r="D22" s="62" t="s">
        <v>90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94</v>
      </c>
      <c r="C23" s="63" t="s">
        <v>52</v>
      </c>
      <c r="D23" s="62" t="s">
        <v>90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95</v>
      </c>
      <c r="C24" s="63" t="s">
        <v>52</v>
      </c>
      <c r="D24" s="62" t="s">
        <v>96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97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98</v>
      </c>
      <c r="C26" s="63" t="s">
        <v>52</v>
      </c>
      <c r="D26" s="62" t="s">
        <v>90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123" t="s">
        <v>164</v>
      </c>
      <c r="C27" s="124" t="s">
        <v>25</v>
      </c>
      <c r="D27" s="123" t="s">
        <v>168</v>
      </c>
      <c r="E27" s="125">
        <v>2.91</v>
      </c>
      <c r="F27" s="115">
        <f>E27*258</f>
        <v>750.78000000000009</v>
      </c>
      <c r="G27" s="115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hidden="1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80" t="s">
        <v>150</v>
      </c>
      <c r="B29" s="181"/>
      <c r="C29" s="181"/>
      <c r="D29" s="181"/>
      <c r="E29" s="181"/>
      <c r="F29" s="181"/>
      <c r="G29" s="181"/>
      <c r="H29" s="181"/>
      <c r="I29" s="182"/>
      <c r="J29" s="24"/>
    </row>
    <row r="30" spans="1:13" ht="15.75" hidden="1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8</v>
      </c>
      <c r="B31" s="62" t="s">
        <v>101</v>
      </c>
      <c r="C31" s="63" t="s">
        <v>84</v>
      </c>
      <c r="D31" s="62" t="s">
        <v>151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3">SUM(F31*G31/1000)</f>
        <v>0.62031605999999995</v>
      </c>
      <c r="I31" s="13">
        <f t="shared" ref="I31:I32" si="4">F31/6*G31</f>
        <v>103.38601</v>
      </c>
      <c r="J31" s="23"/>
      <c r="K31" s="8"/>
      <c r="L31" s="8"/>
      <c r="M31" s="8"/>
    </row>
    <row r="32" spans="1:13" ht="31.5" hidden="1" customHeight="1">
      <c r="A32" s="30">
        <v>9</v>
      </c>
      <c r="B32" s="62" t="s">
        <v>100</v>
      </c>
      <c r="C32" s="63" t="s">
        <v>84</v>
      </c>
      <c r="D32" s="62" t="s">
        <v>152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3"/>
        <v>0.88609918799999987</v>
      </c>
      <c r="I32" s="13">
        <f t="shared" si="4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84</v>
      </c>
      <c r="D33" s="62" t="s">
        <v>53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3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10</v>
      </c>
      <c r="B34" s="62" t="s">
        <v>99</v>
      </c>
      <c r="C34" s="63" t="s">
        <v>30</v>
      </c>
      <c r="D34" s="62" t="s">
        <v>62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3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63</v>
      </c>
      <c r="C35" s="63" t="s">
        <v>32</v>
      </c>
      <c r="D35" s="62" t="s">
        <v>65</v>
      </c>
      <c r="E35" s="64"/>
      <c r="F35" s="65">
        <v>1</v>
      </c>
      <c r="G35" s="65">
        <v>238.07</v>
      </c>
      <c r="H35" s="66">
        <f t="shared" si="3"/>
        <v>0.23807</v>
      </c>
      <c r="I35" s="13">
        <v>0</v>
      </c>
      <c r="J35" s="24"/>
    </row>
    <row r="36" spans="1:14" ht="15.75" hidden="1" customHeight="1">
      <c r="A36" s="30"/>
      <c r="B36" s="62" t="s">
        <v>64</v>
      </c>
      <c r="C36" s="63" t="s">
        <v>31</v>
      </c>
      <c r="D36" s="62" t="s">
        <v>65</v>
      </c>
      <c r="E36" s="64"/>
      <c r="F36" s="65">
        <v>1</v>
      </c>
      <c r="G36" s="65">
        <v>1413.96</v>
      </c>
      <c r="H36" s="66">
        <f t="shared" si="3"/>
        <v>1.4139600000000001</v>
      </c>
      <c r="I36" s="13">
        <v>0</v>
      </c>
      <c r="J36" s="24"/>
    </row>
    <row r="37" spans="1:14" ht="15.75" customHeight="1">
      <c r="A37" s="30"/>
      <c r="B37" s="82" t="s">
        <v>5</v>
      </c>
      <c r="C37" s="63"/>
      <c r="D37" s="62"/>
      <c r="E37" s="64"/>
      <c r="F37" s="65"/>
      <c r="G37" s="65"/>
      <c r="H37" s="66" t="s">
        <v>115</v>
      </c>
      <c r="I37" s="13"/>
      <c r="J37" s="24"/>
      <c r="L37" s="19"/>
      <c r="M37" s="20"/>
      <c r="N37" s="21"/>
    </row>
    <row r="38" spans="1:14" ht="15.75" customHeight="1">
      <c r="A38" s="30">
        <v>5</v>
      </c>
      <c r="B38" s="136" t="s">
        <v>26</v>
      </c>
      <c r="C38" s="124" t="s">
        <v>31</v>
      </c>
      <c r="D38" s="123" t="s">
        <v>194</v>
      </c>
      <c r="E38" s="128"/>
      <c r="F38" s="115">
        <v>3</v>
      </c>
      <c r="G38" s="115">
        <v>1930</v>
      </c>
      <c r="H38" s="66">
        <f t="shared" ref="H38:H43" si="5">SUM(F38*G38/1000)</f>
        <v>5.79</v>
      </c>
      <c r="I38" s="13">
        <f>G38*1.3</f>
        <v>2509</v>
      </c>
      <c r="J38" s="24"/>
      <c r="L38" s="19"/>
      <c r="M38" s="20"/>
      <c r="N38" s="21"/>
    </row>
    <row r="39" spans="1:14" ht="31.5" customHeight="1">
      <c r="A39" s="30">
        <v>6</v>
      </c>
      <c r="B39" s="136" t="s">
        <v>116</v>
      </c>
      <c r="C39" s="137" t="s">
        <v>29</v>
      </c>
      <c r="D39" s="123" t="s">
        <v>169</v>
      </c>
      <c r="E39" s="128">
        <v>35.299999999999997</v>
      </c>
      <c r="F39" s="138">
        <f>E39*30/1000</f>
        <v>1.0589999999999999</v>
      </c>
      <c r="G39" s="115">
        <v>3134.93</v>
      </c>
      <c r="H39" s="66">
        <f t="shared" si="5"/>
        <v>3.3198908699999996</v>
      </c>
      <c r="I39" s="13">
        <f t="shared" ref="I39:I41" si="6">F39/6*G39</f>
        <v>553.31514499999992</v>
      </c>
      <c r="J39" s="24"/>
      <c r="L39" s="19"/>
      <c r="M39" s="20"/>
      <c r="N39" s="21"/>
    </row>
    <row r="40" spans="1:14" ht="15.75" customHeight="1">
      <c r="A40" s="30">
        <v>7</v>
      </c>
      <c r="B40" s="123" t="s">
        <v>117</v>
      </c>
      <c r="C40" s="124" t="s">
        <v>29</v>
      </c>
      <c r="D40" s="123" t="s">
        <v>195</v>
      </c>
      <c r="E40" s="128">
        <v>35.299999999999997</v>
      </c>
      <c r="F40" s="138">
        <f>SUM(E40*72/1000)</f>
        <v>2.5415999999999999</v>
      </c>
      <c r="G40" s="115">
        <v>522.92999999999995</v>
      </c>
      <c r="H40" s="66">
        <f t="shared" si="5"/>
        <v>1.3290788879999997</v>
      </c>
      <c r="I40" s="13">
        <f t="shared" si="6"/>
        <v>221.51314799999997</v>
      </c>
      <c r="J40" s="24"/>
      <c r="L40" s="19"/>
      <c r="M40" s="20"/>
      <c r="N40" s="21"/>
    </row>
    <row r="41" spans="1:14" ht="47.25" customHeight="1">
      <c r="A41" s="30">
        <v>8</v>
      </c>
      <c r="B41" s="123" t="s">
        <v>118</v>
      </c>
      <c r="C41" s="124" t="s">
        <v>84</v>
      </c>
      <c r="D41" s="123" t="s">
        <v>171</v>
      </c>
      <c r="E41" s="128">
        <v>35.299999999999997</v>
      </c>
      <c r="F41" s="138">
        <f>SUM(E41*24/1000)</f>
        <v>0.84719999999999995</v>
      </c>
      <c r="G41" s="115">
        <v>8652.07</v>
      </c>
      <c r="H41" s="66">
        <f t="shared" si="5"/>
        <v>7.3300337039999999</v>
      </c>
      <c r="I41" s="13">
        <f t="shared" si="6"/>
        <v>1221.672284</v>
      </c>
      <c r="J41" s="24"/>
      <c r="L41" s="19"/>
      <c r="M41" s="20"/>
      <c r="N41" s="21"/>
    </row>
    <row r="42" spans="1:14" ht="15.75" hidden="1" customHeight="1">
      <c r="A42" s="30">
        <v>9</v>
      </c>
      <c r="B42" s="123" t="s">
        <v>120</v>
      </c>
      <c r="C42" s="124" t="s">
        <v>84</v>
      </c>
      <c r="D42" s="123" t="s">
        <v>82</v>
      </c>
      <c r="E42" s="128">
        <v>35.299999999999997</v>
      </c>
      <c r="F42" s="138">
        <f>SUM(E42*30/1000)</f>
        <v>1.0589999999999999</v>
      </c>
      <c r="G42" s="115">
        <v>639.14</v>
      </c>
      <c r="H42" s="66">
        <f t="shared" si="5"/>
        <v>0.67684926000000001</v>
      </c>
      <c r="I42" s="13">
        <f>(F42/7.5*1.5)*G42</f>
        <v>135.36985199999998</v>
      </c>
      <c r="J42" s="24"/>
      <c r="L42" s="19"/>
      <c r="M42" s="20"/>
      <c r="N42" s="21"/>
    </row>
    <row r="43" spans="1:14" ht="15.75" hidden="1" customHeight="1">
      <c r="A43" s="30">
        <v>10</v>
      </c>
      <c r="B43" s="136" t="s">
        <v>67</v>
      </c>
      <c r="C43" s="137" t="s">
        <v>32</v>
      </c>
      <c r="D43" s="136"/>
      <c r="E43" s="125"/>
      <c r="F43" s="138">
        <v>0.3</v>
      </c>
      <c r="G43" s="138">
        <v>900</v>
      </c>
      <c r="H43" s="66">
        <f t="shared" si="5"/>
        <v>0.27</v>
      </c>
      <c r="I43" s="13">
        <f>(F43/7.5*1.5)*G43</f>
        <v>54</v>
      </c>
      <c r="J43" s="24"/>
      <c r="L43" s="19"/>
      <c r="M43" s="20"/>
      <c r="N43" s="21"/>
    </row>
    <row r="44" spans="1:14" ht="30" customHeight="1">
      <c r="A44" s="30">
        <v>9</v>
      </c>
      <c r="B44" s="142" t="s">
        <v>193</v>
      </c>
      <c r="C44" s="137" t="s">
        <v>29</v>
      </c>
      <c r="D44" s="136" t="s">
        <v>196</v>
      </c>
      <c r="E44" s="125">
        <v>1.2</v>
      </c>
      <c r="F44" s="138">
        <f>E44*12/1000</f>
        <v>1.4399999999999998E-2</v>
      </c>
      <c r="G44" s="138">
        <v>20547.34</v>
      </c>
      <c r="H44" s="56"/>
      <c r="I44" s="13">
        <f>G44*F44/6</f>
        <v>49.313615999999996</v>
      </c>
      <c r="J44" s="24"/>
      <c r="L44" s="19"/>
      <c r="M44" s="20"/>
      <c r="N44" s="21"/>
    </row>
    <row r="45" spans="1:14" ht="15.75" hidden="1" customHeight="1">
      <c r="A45" s="180" t="s">
        <v>135</v>
      </c>
      <c r="B45" s="181"/>
      <c r="C45" s="181"/>
      <c r="D45" s="181"/>
      <c r="E45" s="181"/>
      <c r="F45" s="181"/>
      <c r="G45" s="181"/>
      <c r="H45" s="181"/>
      <c r="I45" s="182"/>
      <c r="J45" s="24"/>
      <c r="L45" s="19"/>
      <c r="M45" s="20"/>
      <c r="N45" s="21"/>
    </row>
    <row r="46" spans="1:14" ht="15.75" hidden="1" customHeight="1">
      <c r="A46" s="30">
        <v>11</v>
      </c>
      <c r="B46" s="62" t="s">
        <v>102</v>
      </c>
      <c r="C46" s="63" t="s">
        <v>84</v>
      </c>
      <c r="D46" s="62" t="s">
        <v>42</v>
      </c>
      <c r="E46" s="64">
        <v>907.4</v>
      </c>
      <c r="F46" s="65">
        <f>SUM(E46*2/1000)</f>
        <v>1.8148</v>
      </c>
      <c r="G46" s="13">
        <v>1283.46</v>
      </c>
      <c r="H46" s="66">
        <f t="shared" ref="H46:H55" si="7">SUM(F46*G46/1000)</f>
        <v>2.3292232079999997</v>
      </c>
      <c r="I46" s="13">
        <f>F46/2*G46</f>
        <v>1164.6116039999999</v>
      </c>
      <c r="J46" s="24"/>
      <c r="L46" s="19"/>
      <c r="M46" s="20"/>
      <c r="N46" s="21"/>
    </row>
    <row r="47" spans="1:14" ht="15.75" hidden="1" customHeight="1">
      <c r="A47" s="30">
        <v>12</v>
      </c>
      <c r="B47" s="62" t="s">
        <v>35</v>
      </c>
      <c r="C47" s="63" t="s">
        <v>84</v>
      </c>
      <c r="D47" s="62" t="s">
        <v>42</v>
      </c>
      <c r="E47" s="64">
        <v>27</v>
      </c>
      <c r="F47" s="65">
        <f>SUM(E47*2/1000)</f>
        <v>5.3999999999999999E-2</v>
      </c>
      <c r="G47" s="13">
        <v>4192.6400000000003</v>
      </c>
      <c r="H47" s="66">
        <f t="shared" si="7"/>
        <v>0.22640256000000003</v>
      </c>
      <c r="I47" s="13">
        <f t="shared" ref="I47:I54" si="8">F47/2*G47</f>
        <v>113.20128000000001</v>
      </c>
      <c r="J47" s="24"/>
      <c r="L47" s="19"/>
      <c r="M47" s="20"/>
      <c r="N47" s="21"/>
    </row>
    <row r="48" spans="1:14" ht="15.75" hidden="1" customHeight="1">
      <c r="A48" s="30">
        <v>13</v>
      </c>
      <c r="B48" s="62" t="s">
        <v>36</v>
      </c>
      <c r="C48" s="63" t="s">
        <v>84</v>
      </c>
      <c r="D48" s="62" t="s">
        <v>42</v>
      </c>
      <c r="E48" s="64">
        <v>772</v>
      </c>
      <c r="F48" s="65">
        <f>SUM(E48*2/1000)</f>
        <v>1.544</v>
      </c>
      <c r="G48" s="13">
        <v>1711.28</v>
      </c>
      <c r="H48" s="66">
        <f t="shared" si="7"/>
        <v>2.6422163200000002</v>
      </c>
      <c r="I48" s="13">
        <f t="shared" si="8"/>
        <v>1321.10816</v>
      </c>
      <c r="J48" s="24"/>
      <c r="L48" s="19"/>
      <c r="M48" s="20"/>
      <c r="N48" s="21"/>
    </row>
    <row r="49" spans="1:22" ht="15.75" hidden="1" customHeight="1">
      <c r="A49" s="30">
        <v>14</v>
      </c>
      <c r="B49" s="62" t="s">
        <v>37</v>
      </c>
      <c r="C49" s="63" t="s">
        <v>84</v>
      </c>
      <c r="D49" s="62" t="s">
        <v>42</v>
      </c>
      <c r="E49" s="64">
        <v>959.4</v>
      </c>
      <c r="F49" s="65">
        <f>SUM(E49*2/1000)</f>
        <v>1.9188000000000001</v>
      </c>
      <c r="G49" s="13">
        <v>1179.73</v>
      </c>
      <c r="H49" s="66">
        <f t="shared" si="7"/>
        <v>2.2636659240000001</v>
      </c>
      <c r="I49" s="13">
        <f t="shared" si="8"/>
        <v>1131.832962</v>
      </c>
      <c r="J49" s="24"/>
      <c r="L49" s="19"/>
      <c r="M49" s="20"/>
      <c r="N49" s="21"/>
    </row>
    <row r="50" spans="1:22" ht="15.75" hidden="1" customHeight="1">
      <c r="A50" s="30">
        <v>15</v>
      </c>
      <c r="B50" s="62" t="s">
        <v>33</v>
      </c>
      <c r="C50" s="63" t="s">
        <v>34</v>
      </c>
      <c r="D50" s="62" t="s">
        <v>42</v>
      </c>
      <c r="E50" s="64">
        <v>66.02</v>
      </c>
      <c r="F50" s="65">
        <f>SUM(E50*2/100)</f>
        <v>1.3204</v>
      </c>
      <c r="G50" s="13">
        <v>90.61</v>
      </c>
      <c r="H50" s="66">
        <f t="shared" si="7"/>
        <v>0.11964144400000001</v>
      </c>
      <c r="I50" s="13">
        <f t="shared" si="8"/>
        <v>59.820722000000004</v>
      </c>
      <c r="J50" s="24"/>
      <c r="L50" s="19"/>
      <c r="M50" s="20"/>
      <c r="N50" s="21"/>
    </row>
    <row r="51" spans="1:22" ht="15.75" hidden="1" customHeight="1">
      <c r="A51" s="30">
        <v>12</v>
      </c>
      <c r="B51" s="62" t="s">
        <v>55</v>
      </c>
      <c r="C51" s="63" t="s">
        <v>84</v>
      </c>
      <c r="D51" s="62" t="s">
        <v>134</v>
      </c>
      <c r="E51" s="64">
        <v>1536.4</v>
      </c>
      <c r="F51" s="65">
        <f>SUM(E51*5/1000)</f>
        <v>7.6820000000000004</v>
      </c>
      <c r="G51" s="13">
        <v>1711.28</v>
      </c>
      <c r="H51" s="66">
        <f t="shared" si="7"/>
        <v>13.14605296</v>
      </c>
      <c r="I51" s="13">
        <f>F51/5*G51</f>
        <v>2629.2105919999999</v>
      </c>
      <c r="J51" s="24"/>
      <c r="L51" s="19"/>
      <c r="M51" s="20"/>
      <c r="N51" s="21"/>
    </row>
    <row r="52" spans="1:22" ht="32.25" hidden="1" customHeight="1">
      <c r="A52" s="30"/>
      <c r="B52" s="62" t="s">
        <v>85</v>
      </c>
      <c r="C52" s="63" t="s">
        <v>84</v>
      </c>
      <c r="D52" s="62" t="s">
        <v>42</v>
      </c>
      <c r="E52" s="64">
        <v>1536.4</v>
      </c>
      <c r="F52" s="65">
        <f>SUM(E52*2/1000)</f>
        <v>3.0728</v>
      </c>
      <c r="G52" s="13">
        <v>1510.06</v>
      </c>
      <c r="H52" s="66">
        <f t="shared" si="7"/>
        <v>4.6401123680000005</v>
      </c>
      <c r="I52" s="13">
        <f t="shared" si="8"/>
        <v>2320.056184</v>
      </c>
      <c r="J52" s="24"/>
      <c r="L52" s="19"/>
      <c r="M52" s="20"/>
      <c r="N52" s="21"/>
    </row>
    <row r="53" spans="1:22" ht="32.25" hidden="1" customHeight="1">
      <c r="A53" s="30"/>
      <c r="B53" s="62" t="s">
        <v>86</v>
      </c>
      <c r="C53" s="63" t="s">
        <v>38</v>
      </c>
      <c r="D53" s="62" t="s">
        <v>42</v>
      </c>
      <c r="E53" s="64">
        <v>9</v>
      </c>
      <c r="F53" s="65">
        <f>SUM(E53*2/100)</f>
        <v>0.18</v>
      </c>
      <c r="G53" s="13">
        <v>3850.4</v>
      </c>
      <c r="H53" s="66">
        <f t="shared" si="7"/>
        <v>0.69307200000000002</v>
      </c>
      <c r="I53" s="13">
        <f t="shared" si="8"/>
        <v>346.536</v>
      </c>
      <c r="J53" s="24"/>
      <c r="L53" s="19"/>
      <c r="M53" s="20"/>
      <c r="N53" s="21"/>
    </row>
    <row r="54" spans="1:22" ht="15.75" hidden="1" customHeight="1">
      <c r="A54" s="30"/>
      <c r="B54" s="62" t="s">
        <v>39</v>
      </c>
      <c r="C54" s="63" t="s">
        <v>40</v>
      </c>
      <c r="D54" s="62" t="s">
        <v>42</v>
      </c>
      <c r="E54" s="64">
        <v>1</v>
      </c>
      <c r="F54" s="65">
        <v>0.02</v>
      </c>
      <c r="G54" s="13">
        <v>7033.13</v>
      </c>
      <c r="H54" s="66">
        <f t="shared" si="7"/>
        <v>0.1406626</v>
      </c>
      <c r="I54" s="13">
        <f t="shared" si="8"/>
        <v>70.331299999999999</v>
      </c>
      <c r="J54" s="24"/>
      <c r="L54" s="19"/>
      <c r="M54" s="20"/>
      <c r="N54" s="21"/>
    </row>
    <row r="55" spans="1:22" ht="15.75" hidden="1" customHeight="1">
      <c r="A55" s="30">
        <v>13</v>
      </c>
      <c r="B55" s="62" t="s">
        <v>41</v>
      </c>
      <c r="C55" s="63" t="s">
        <v>103</v>
      </c>
      <c r="D55" s="62" t="s">
        <v>68</v>
      </c>
      <c r="E55" s="64">
        <v>53</v>
      </c>
      <c r="F55" s="65">
        <f>53*3</f>
        <v>159</v>
      </c>
      <c r="G55" s="13">
        <v>81.73</v>
      </c>
      <c r="H55" s="66">
        <f t="shared" si="7"/>
        <v>12.995070000000002</v>
      </c>
      <c r="I55" s="13">
        <f>F55/3*G55</f>
        <v>4331.6900000000005</v>
      </c>
      <c r="J55" s="24"/>
      <c r="L55" s="19"/>
    </row>
    <row r="56" spans="1:22" ht="15.75" customHeight="1">
      <c r="A56" s="180" t="s">
        <v>141</v>
      </c>
      <c r="B56" s="181"/>
      <c r="C56" s="181"/>
      <c r="D56" s="181"/>
      <c r="E56" s="181"/>
      <c r="F56" s="181"/>
      <c r="G56" s="181"/>
      <c r="H56" s="181"/>
      <c r="I56" s="182"/>
    </row>
    <row r="57" spans="1:22" ht="17.25" hidden="1" customHeight="1">
      <c r="A57" s="30"/>
      <c r="B57" s="82" t="s">
        <v>43</v>
      </c>
      <c r="C57" s="63"/>
      <c r="D57" s="62"/>
      <c r="E57" s="64"/>
      <c r="F57" s="65"/>
      <c r="G57" s="65"/>
      <c r="H57" s="66"/>
      <c r="I57" s="13"/>
    </row>
    <row r="58" spans="1:22" ht="33" hidden="1" customHeight="1">
      <c r="A58" s="30">
        <v>11</v>
      </c>
      <c r="B58" s="62" t="s">
        <v>104</v>
      </c>
      <c r="C58" s="63" t="s">
        <v>81</v>
      </c>
      <c r="D58" s="62"/>
      <c r="E58" s="64">
        <v>11.5</v>
      </c>
      <c r="F58" s="65">
        <f>SUM(E58*6/100)</f>
        <v>0.69</v>
      </c>
      <c r="G58" s="13">
        <v>2306.62</v>
      </c>
      <c r="H58" s="66">
        <f>SUM(F58*G58/1000)</f>
        <v>1.5915677999999998</v>
      </c>
      <c r="I58" s="13">
        <f>G58*0.12</f>
        <v>276.7944</v>
      </c>
    </row>
    <row r="59" spans="1:22" ht="21" hidden="1" customHeight="1">
      <c r="A59" s="30"/>
      <c r="B59" s="62" t="s">
        <v>121</v>
      </c>
      <c r="C59" s="63" t="s">
        <v>122</v>
      </c>
      <c r="D59" s="62" t="s">
        <v>65</v>
      </c>
      <c r="E59" s="64"/>
      <c r="F59" s="65">
        <v>2</v>
      </c>
      <c r="G59" s="85">
        <v>1501</v>
      </c>
      <c r="H59" s="66">
        <f>SUM(F59*G59/1000)</f>
        <v>3.0019999999999998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/>
      <c r="B60" s="82" t="s">
        <v>44</v>
      </c>
      <c r="C60" s="63"/>
      <c r="D60" s="62"/>
      <c r="E60" s="64"/>
      <c r="F60" s="65"/>
      <c r="G60" s="86"/>
      <c r="H60" s="66"/>
      <c r="I60" s="13"/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106</v>
      </c>
      <c r="C61" s="63" t="s">
        <v>81</v>
      </c>
      <c r="D61" s="62" t="s">
        <v>53</v>
      </c>
      <c r="E61" s="64">
        <v>148</v>
      </c>
      <c r="F61" s="66">
        <f>E61/100</f>
        <v>1.48</v>
      </c>
      <c r="G61" s="13">
        <v>987.51</v>
      </c>
      <c r="H61" s="71">
        <f>F61*G61/1000</f>
        <v>1.4615148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customHeight="1">
      <c r="A62" s="30">
        <v>10</v>
      </c>
      <c r="B62" s="73" t="s">
        <v>131</v>
      </c>
      <c r="C62" s="72" t="s">
        <v>25</v>
      </c>
      <c r="D62" s="112" t="s">
        <v>161</v>
      </c>
      <c r="E62" s="114">
        <v>110</v>
      </c>
      <c r="F62" s="115">
        <f>E62*12</f>
        <v>1320</v>
      </c>
      <c r="G62" s="116">
        <v>1.4</v>
      </c>
      <c r="H62" s="71">
        <f>F62*G62/1000</f>
        <v>1.8479999999999999</v>
      </c>
      <c r="I62" s="13">
        <f>F62/12*G62</f>
        <v>154</v>
      </c>
      <c r="J62" s="5"/>
      <c r="K62" s="5"/>
      <c r="L62" s="5"/>
      <c r="M62" s="5"/>
      <c r="N62" s="5"/>
      <c r="O62" s="5"/>
      <c r="P62" s="5"/>
      <c r="Q62" s="5"/>
      <c r="R62" s="173"/>
      <c r="S62" s="173"/>
      <c r="T62" s="173"/>
      <c r="U62" s="173"/>
    </row>
    <row r="63" spans="1:22" ht="15.75" customHeight="1">
      <c r="A63" s="30"/>
      <c r="B63" s="83" t="s">
        <v>45</v>
      </c>
      <c r="C63" s="72"/>
      <c r="D63" s="73"/>
      <c r="E63" s="74"/>
      <c r="F63" s="75"/>
      <c r="G63" s="75"/>
      <c r="H63" s="76" t="s">
        <v>115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hidden="1" customHeight="1">
      <c r="A64" s="30">
        <v>16</v>
      </c>
      <c r="B64" s="14" t="s">
        <v>46</v>
      </c>
      <c r="C64" s="16" t="s">
        <v>103</v>
      </c>
      <c r="D64" s="14" t="s">
        <v>65</v>
      </c>
      <c r="E64" s="18">
        <v>2</v>
      </c>
      <c r="F64" s="65">
        <f>E64</f>
        <v>2</v>
      </c>
      <c r="G64" s="13">
        <v>276.74</v>
      </c>
      <c r="H64" s="61">
        <f t="shared" ref="H64:H81" si="9">SUM(F64*G64/1000)</f>
        <v>0.55347999999999997</v>
      </c>
      <c r="I64" s="13">
        <f>G64</f>
        <v>276.74</v>
      </c>
    </row>
    <row r="65" spans="1:9" ht="15.75" hidden="1" customHeight="1">
      <c r="A65" s="30"/>
      <c r="B65" s="14" t="s">
        <v>47</v>
      </c>
      <c r="C65" s="16" t="s">
        <v>103</v>
      </c>
      <c r="D65" s="14" t="s">
        <v>65</v>
      </c>
      <c r="E65" s="18">
        <v>1</v>
      </c>
      <c r="F65" s="65">
        <f>E65</f>
        <v>1</v>
      </c>
      <c r="G65" s="13">
        <v>94.89</v>
      </c>
      <c r="H65" s="61">
        <f t="shared" si="9"/>
        <v>9.4890000000000002E-2</v>
      </c>
      <c r="I65" s="13">
        <v>0</v>
      </c>
    </row>
    <row r="66" spans="1:9" ht="15.75" hidden="1" customHeight="1">
      <c r="A66" s="30"/>
      <c r="B66" s="14" t="s">
        <v>48</v>
      </c>
      <c r="C66" s="16" t="s">
        <v>107</v>
      </c>
      <c r="D66" s="14" t="s">
        <v>53</v>
      </c>
      <c r="E66" s="64">
        <v>6307</v>
      </c>
      <c r="F66" s="13">
        <f>SUM(E66/100)</f>
        <v>63.07</v>
      </c>
      <c r="G66" s="13">
        <v>263.99</v>
      </c>
      <c r="H66" s="61">
        <f t="shared" si="9"/>
        <v>16.649849300000003</v>
      </c>
      <c r="I66" s="13">
        <v>0</v>
      </c>
    </row>
    <row r="67" spans="1:9" ht="15.75" hidden="1" customHeight="1">
      <c r="A67" s="30"/>
      <c r="B67" s="14" t="s">
        <v>49</v>
      </c>
      <c r="C67" s="16" t="s">
        <v>108</v>
      </c>
      <c r="D67" s="14"/>
      <c r="E67" s="64">
        <v>6307</v>
      </c>
      <c r="F67" s="13">
        <f>SUM(E67/1000)</f>
        <v>6.3070000000000004</v>
      </c>
      <c r="G67" s="13">
        <v>205.57</v>
      </c>
      <c r="H67" s="61">
        <f t="shared" si="9"/>
        <v>1.29652999</v>
      </c>
      <c r="I67" s="13">
        <v>0</v>
      </c>
    </row>
    <row r="68" spans="1:9" ht="15.75" hidden="1" customHeight="1">
      <c r="A68" s="30"/>
      <c r="B68" s="14" t="s">
        <v>50</v>
      </c>
      <c r="C68" s="16" t="s">
        <v>74</v>
      </c>
      <c r="D68" s="14" t="s">
        <v>53</v>
      </c>
      <c r="E68" s="64">
        <v>1003</v>
      </c>
      <c r="F68" s="13">
        <f>SUM(E68/100)</f>
        <v>10.029999999999999</v>
      </c>
      <c r="G68" s="13">
        <v>2581.5300000000002</v>
      </c>
      <c r="H68" s="61">
        <f t="shared" si="9"/>
        <v>25.892745900000001</v>
      </c>
      <c r="I68" s="13">
        <v>0</v>
      </c>
    </row>
    <row r="69" spans="1:9" ht="15.75" hidden="1" customHeight="1">
      <c r="A69" s="30"/>
      <c r="B69" s="77" t="s">
        <v>109</v>
      </c>
      <c r="C69" s="16" t="s">
        <v>32</v>
      </c>
      <c r="D69" s="14"/>
      <c r="E69" s="64">
        <v>6.6</v>
      </c>
      <c r="F69" s="13">
        <f>SUM(E69)</f>
        <v>6.6</v>
      </c>
      <c r="G69" s="13">
        <v>47.75</v>
      </c>
      <c r="H69" s="61">
        <f t="shared" si="9"/>
        <v>0.31514999999999999</v>
      </c>
      <c r="I69" s="13">
        <v>0</v>
      </c>
    </row>
    <row r="70" spans="1:9" ht="15.75" hidden="1" customHeight="1">
      <c r="A70" s="30"/>
      <c r="B70" s="77" t="s">
        <v>110</v>
      </c>
      <c r="C70" s="16" t="s">
        <v>32</v>
      </c>
      <c r="D70" s="14"/>
      <c r="E70" s="64">
        <v>6.6</v>
      </c>
      <c r="F70" s="13">
        <f>SUM(E70)</f>
        <v>6.6</v>
      </c>
      <c r="G70" s="13">
        <v>44.27</v>
      </c>
      <c r="H70" s="61">
        <f t="shared" si="9"/>
        <v>0.292182</v>
      </c>
      <c r="I70" s="13">
        <v>0</v>
      </c>
    </row>
    <row r="71" spans="1:9" ht="15.75" hidden="1" customHeight="1">
      <c r="A71" s="30">
        <v>19</v>
      </c>
      <c r="B71" s="14" t="s">
        <v>56</v>
      </c>
      <c r="C71" s="16" t="s">
        <v>57</v>
      </c>
      <c r="D71" s="14" t="s">
        <v>53</v>
      </c>
      <c r="E71" s="18">
        <v>3</v>
      </c>
      <c r="F71" s="65">
        <v>3</v>
      </c>
      <c r="G71" s="13">
        <v>62.07</v>
      </c>
      <c r="H71" s="61">
        <f t="shared" si="9"/>
        <v>0.18621000000000001</v>
      </c>
      <c r="I71" s="13">
        <f>F71*G71</f>
        <v>186.21</v>
      </c>
    </row>
    <row r="72" spans="1:9" ht="15.75" customHeight="1">
      <c r="A72" s="30">
        <v>11</v>
      </c>
      <c r="B72" s="139" t="s">
        <v>123</v>
      </c>
      <c r="C72" s="131" t="s">
        <v>124</v>
      </c>
      <c r="D72" s="139" t="s">
        <v>161</v>
      </c>
      <c r="E72" s="17">
        <v>1536.4</v>
      </c>
      <c r="F72" s="140">
        <f>E72*12</f>
        <v>18436.800000000003</v>
      </c>
      <c r="G72" s="34">
        <v>2.6</v>
      </c>
      <c r="H72" s="61">
        <f t="shared" si="9"/>
        <v>47.935680000000005</v>
      </c>
      <c r="I72" s="13">
        <f>F72/12*G72</f>
        <v>3994.6400000000008</v>
      </c>
    </row>
    <row r="73" spans="1:9" ht="15.75" customHeight="1">
      <c r="A73" s="30"/>
      <c r="B73" s="132" t="s">
        <v>69</v>
      </c>
      <c r="C73" s="16"/>
      <c r="D73" s="14"/>
      <c r="E73" s="18"/>
      <c r="F73" s="13"/>
      <c r="G73" s="13"/>
      <c r="H73" s="61" t="s">
        <v>115</v>
      </c>
      <c r="I73" s="13"/>
    </row>
    <row r="74" spans="1:9" ht="15.75" hidden="1" customHeight="1">
      <c r="A74" s="30"/>
      <c r="B74" s="14" t="s">
        <v>125</v>
      </c>
      <c r="C74" s="16" t="s">
        <v>126</v>
      </c>
      <c r="D74" s="14" t="s">
        <v>65</v>
      </c>
      <c r="E74" s="18">
        <v>1</v>
      </c>
      <c r="F74" s="13">
        <f>E74</f>
        <v>1</v>
      </c>
      <c r="G74" s="13">
        <v>976.4</v>
      </c>
      <c r="H74" s="61">
        <f t="shared" ref="H74:H75" si="10">SUM(F74*G74/1000)</f>
        <v>0.97639999999999993</v>
      </c>
      <c r="I74" s="13">
        <v>0</v>
      </c>
    </row>
    <row r="75" spans="1:9" ht="15.75" hidden="1" customHeight="1">
      <c r="A75" s="30"/>
      <c r="B75" s="14" t="s">
        <v>127</v>
      </c>
      <c r="C75" s="16" t="s">
        <v>128</v>
      </c>
      <c r="D75" s="14"/>
      <c r="E75" s="18">
        <v>1</v>
      </c>
      <c r="F75" s="13">
        <v>1</v>
      </c>
      <c r="G75" s="13">
        <v>650</v>
      </c>
      <c r="H75" s="61">
        <f t="shared" si="10"/>
        <v>0.65</v>
      </c>
      <c r="I75" s="13">
        <v>0</v>
      </c>
    </row>
    <row r="76" spans="1:9" ht="15.75" hidden="1" customHeight="1">
      <c r="A76" s="30"/>
      <c r="B76" s="14" t="s">
        <v>70</v>
      </c>
      <c r="C76" s="16" t="s">
        <v>72</v>
      </c>
      <c r="D76" s="14"/>
      <c r="E76" s="18">
        <v>3</v>
      </c>
      <c r="F76" s="13">
        <v>0.3</v>
      </c>
      <c r="G76" s="13">
        <v>624.16999999999996</v>
      </c>
      <c r="H76" s="61">
        <f t="shared" si="9"/>
        <v>0.18725099999999997</v>
      </c>
      <c r="I76" s="13">
        <v>0</v>
      </c>
    </row>
    <row r="77" spans="1:9" ht="15.75" hidden="1" customHeight="1">
      <c r="A77" s="30"/>
      <c r="B77" s="14" t="s">
        <v>71</v>
      </c>
      <c r="C77" s="16" t="s">
        <v>30</v>
      </c>
      <c r="D77" s="14"/>
      <c r="E77" s="18">
        <v>1</v>
      </c>
      <c r="F77" s="56">
        <v>1</v>
      </c>
      <c r="G77" s="13">
        <v>1061.4100000000001</v>
      </c>
      <c r="H77" s="61">
        <f>F77*G77/1000</f>
        <v>1.0614100000000002</v>
      </c>
      <c r="I77" s="13">
        <v>0</v>
      </c>
    </row>
    <row r="78" spans="1:9" ht="15.75" customHeight="1">
      <c r="A78" s="30">
        <v>12</v>
      </c>
      <c r="B78" s="46" t="s">
        <v>197</v>
      </c>
      <c r="C78" s="47" t="s">
        <v>103</v>
      </c>
      <c r="D78" s="139" t="s">
        <v>173</v>
      </c>
      <c r="E78" s="17">
        <v>2</v>
      </c>
      <c r="F78" s="34">
        <f>E78*12</f>
        <v>24</v>
      </c>
      <c r="G78" s="34">
        <v>420</v>
      </c>
      <c r="H78" s="61">
        <f>G78*F78/1000</f>
        <v>10.08</v>
      </c>
      <c r="I78" s="13">
        <f>G78*2</f>
        <v>840</v>
      </c>
    </row>
    <row r="79" spans="1:9" ht="28.5" customHeight="1">
      <c r="A79" s="30">
        <v>13</v>
      </c>
      <c r="B79" s="46" t="s">
        <v>198</v>
      </c>
      <c r="C79" s="47" t="s">
        <v>30</v>
      </c>
      <c r="D79" s="139" t="s">
        <v>173</v>
      </c>
      <c r="E79" s="17">
        <v>1</v>
      </c>
      <c r="F79" s="34">
        <f>E79*12</f>
        <v>12</v>
      </c>
      <c r="G79" s="34">
        <v>1829</v>
      </c>
      <c r="H79" s="61"/>
      <c r="I79" s="13">
        <f>G79*F79/12</f>
        <v>1829</v>
      </c>
    </row>
    <row r="80" spans="1:9" ht="15.75" hidden="1" customHeight="1">
      <c r="A80" s="30"/>
      <c r="B80" s="79" t="s">
        <v>73</v>
      </c>
      <c r="C80" s="16"/>
      <c r="D80" s="14"/>
      <c r="E80" s="18"/>
      <c r="F80" s="13"/>
      <c r="G80" s="13" t="s">
        <v>115</v>
      </c>
      <c r="H80" s="61" t="s">
        <v>115</v>
      </c>
      <c r="I80" s="13" t="str">
        <f>G80</f>
        <v xml:space="preserve"> </v>
      </c>
    </row>
    <row r="81" spans="1:9" ht="15.75" hidden="1" customHeight="1">
      <c r="A81" s="30"/>
      <c r="B81" s="43" t="s">
        <v>130</v>
      </c>
      <c r="C81" s="16" t="s">
        <v>74</v>
      </c>
      <c r="D81" s="14"/>
      <c r="E81" s="18"/>
      <c r="F81" s="13">
        <v>0.1</v>
      </c>
      <c r="G81" s="13">
        <v>3433.69</v>
      </c>
      <c r="H81" s="61">
        <f t="shared" si="9"/>
        <v>0.34336900000000004</v>
      </c>
      <c r="I81" s="13">
        <v>0</v>
      </c>
    </row>
    <row r="82" spans="1:9" ht="15.75" hidden="1" customHeight="1">
      <c r="A82" s="30"/>
      <c r="B82" s="55" t="s">
        <v>87</v>
      </c>
      <c r="C82" s="79"/>
      <c r="D82" s="31"/>
      <c r="E82" s="32"/>
      <c r="F82" s="68"/>
      <c r="G82" s="68"/>
      <c r="H82" s="80">
        <f>SUM(H58:H81)</f>
        <v>114.41822979000001</v>
      </c>
      <c r="I82" s="13"/>
    </row>
    <row r="83" spans="1:9" ht="15.75" hidden="1" customHeight="1">
      <c r="A83" s="30"/>
      <c r="B83" s="62" t="s">
        <v>111</v>
      </c>
      <c r="C83" s="16"/>
      <c r="D83" s="14"/>
      <c r="E83" s="57"/>
      <c r="F83" s="13">
        <v>1</v>
      </c>
      <c r="G83" s="35">
        <v>6105.8</v>
      </c>
      <c r="H83" s="61">
        <f>G83*F83/1000</f>
        <v>6.1058000000000003</v>
      </c>
      <c r="I83" s="13">
        <v>0</v>
      </c>
    </row>
    <row r="84" spans="1:9" ht="15.75" customHeight="1">
      <c r="A84" s="180" t="s">
        <v>142</v>
      </c>
      <c r="B84" s="181"/>
      <c r="C84" s="181"/>
      <c r="D84" s="181"/>
      <c r="E84" s="181"/>
      <c r="F84" s="181"/>
      <c r="G84" s="181"/>
      <c r="H84" s="181"/>
      <c r="I84" s="182"/>
    </row>
    <row r="85" spans="1:9" ht="15.75" customHeight="1">
      <c r="A85" s="30">
        <v>14</v>
      </c>
      <c r="B85" s="123" t="s">
        <v>112</v>
      </c>
      <c r="C85" s="130" t="s">
        <v>54</v>
      </c>
      <c r="D85" s="141"/>
      <c r="E85" s="34">
        <v>1536.4</v>
      </c>
      <c r="F85" s="34">
        <f>SUM(E85*12)</f>
        <v>18436.800000000003</v>
      </c>
      <c r="G85" s="34">
        <v>3.5</v>
      </c>
      <c r="H85" s="61">
        <f>SUM(F85*G85/1000)</f>
        <v>64.528800000000004</v>
      </c>
      <c r="I85" s="13">
        <f>F85/12*G85</f>
        <v>5377.4000000000015</v>
      </c>
    </row>
    <row r="86" spans="1:9" ht="31.5" customHeight="1">
      <c r="A86" s="30">
        <v>15</v>
      </c>
      <c r="B86" s="123" t="s">
        <v>199</v>
      </c>
      <c r="C86" s="130" t="s">
        <v>54</v>
      </c>
      <c r="D86" s="141"/>
      <c r="E86" s="34">
        <v>1536.4</v>
      </c>
      <c r="F86" s="34">
        <f>E86*12</f>
        <v>18436.800000000003</v>
      </c>
      <c r="G86" s="34">
        <v>3.2</v>
      </c>
      <c r="H86" s="61">
        <f>F86*G86/1000</f>
        <v>58.997760000000007</v>
      </c>
      <c r="I86" s="13">
        <f>F86/12*G86</f>
        <v>4916.4800000000014</v>
      </c>
    </row>
    <row r="87" spans="1:9" ht="31.5" customHeight="1">
      <c r="A87" s="30">
        <v>16</v>
      </c>
      <c r="B87" s="123" t="s">
        <v>200</v>
      </c>
      <c r="C87" s="130" t="s">
        <v>54</v>
      </c>
      <c r="D87" s="141"/>
      <c r="E87" s="34">
        <v>1536.4</v>
      </c>
      <c r="F87" s="34">
        <f>E87*1</f>
        <v>1536.4</v>
      </c>
      <c r="G87" s="34">
        <v>3.2</v>
      </c>
      <c r="H87" s="61"/>
      <c r="I87" s="13">
        <f>G87*F87/1</f>
        <v>4916.4800000000005</v>
      </c>
    </row>
    <row r="88" spans="1:9" ht="15.75" customHeight="1">
      <c r="A88" s="30"/>
      <c r="B88" s="36" t="s">
        <v>77</v>
      </c>
      <c r="C88" s="79"/>
      <c r="D88" s="78"/>
      <c r="E88" s="68"/>
      <c r="F88" s="68"/>
      <c r="G88" s="68"/>
      <c r="H88" s="80">
        <f>H86</f>
        <v>58.997760000000007</v>
      </c>
      <c r="I88" s="68">
        <f>I87+I86+I85+I79+I78+I72+I62+I44+I41+I40+I39+I38+I27+I18+I17+I16</f>
        <v>32851.876213000003</v>
      </c>
    </row>
    <row r="89" spans="1:9" ht="15.75" customHeight="1">
      <c r="A89" s="166" t="s">
        <v>59</v>
      </c>
      <c r="B89" s="167"/>
      <c r="C89" s="167"/>
      <c r="D89" s="167"/>
      <c r="E89" s="167"/>
      <c r="F89" s="167"/>
      <c r="G89" s="167"/>
      <c r="H89" s="167"/>
      <c r="I89" s="168"/>
    </row>
    <row r="90" spans="1:9" ht="15.75" customHeight="1">
      <c r="A90" s="37">
        <v>17</v>
      </c>
      <c r="B90" s="155" t="s">
        <v>217</v>
      </c>
      <c r="C90" s="156" t="s">
        <v>179</v>
      </c>
      <c r="D90" s="156"/>
      <c r="E90" s="156"/>
      <c r="F90" s="156"/>
      <c r="G90" s="157">
        <v>7800</v>
      </c>
      <c r="H90" s="156"/>
      <c r="I90" s="157">
        <f>G90*1</f>
        <v>7800</v>
      </c>
    </row>
    <row r="91" spans="1:9" ht="15.75" customHeight="1">
      <c r="A91" s="30"/>
      <c r="B91" s="41" t="s">
        <v>51</v>
      </c>
      <c r="C91" s="37"/>
      <c r="D91" s="44"/>
      <c r="E91" s="37">
        <v>1</v>
      </c>
      <c r="F91" s="37"/>
      <c r="G91" s="37"/>
      <c r="H91" s="37"/>
      <c r="I91" s="32">
        <f>I90</f>
        <v>7800</v>
      </c>
    </row>
    <row r="92" spans="1:9" ht="15.75" customHeight="1">
      <c r="A92" s="30"/>
      <c r="B92" s="43" t="s">
        <v>76</v>
      </c>
      <c r="C92" s="15"/>
      <c r="D92" s="15"/>
      <c r="E92" s="38"/>
      <c r="F92" s="38"/>
      <c r="G92" s="39"/>
      <c r="H92" s="39"/>
      <c r="I92" s="17">
        <v>0</v>
      </c>
    </row>
    <row r="93" spans="1:9">
      <c r="A93" s="45"/>
      <c r="B93" s="42" t="s">
        <v>153</v>
      </c>
      <c r="C93" s="33"/>
      <c r="D93" s="33"/>
      <c r="E93" s="33"/>
      <c r="F93" s="33"/>
      <c r="G93" s="33"/>
      <c r="H93" s="33"/>
      <c r="I93" s="40">
        <f>I88+I91</f>
        <v>40651.876213000003</v>
      </c>
    </row>
    <row r="94" spans="1:9" ht="15.75">
      <c r="A94" s="175" t="s">
        <v>218</v>
      </c>
      <c r="B94" s="175"/>
      <c r="C94" s="175"/>
      <c r="D94" s="175"/>
      <c r="E94" s="175"/>
      <c r="F94" s="175"/>
      <c r="G94" s="175"/>
      <c r="H94" s="175"/>
      <c r="I94" s="175"/>
    </row>
    <row r="95" spans="1:9" ht="15.75" customHeight="1">
      <c r="A95" s="54"/>
      <c r="B95" s="176" t="s">
        <v>219</v>
      </c>
      <c r="C95" s="176"/>
      <c r="D95" s="176"/>
      <c r="E95" s="176"/>
      <c r="F95" s="176"/>
      <c r="G95" s="176"/>
      <c r="H95" s="60"/>
      <c r="I95" s="3"/>
    </row>
    <row r="96" spans="1:9">
      <c r="A96" s="91"/>
      <c r="B96" s="171" t="s">
        <v>6</v>
      </c>
      <c r="C96" s="171"/>
      <c r="D96" s="171"/>
      <c r="E96" s="171"/>
      <c r="F96" s="171"/>
      <c r="G96" s="171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77" t="s">
        <v>7</v>
      </c>
      <c r="B98" s="177"/>
      <c r="C98" s="177"/>
      <c r="D98" s="177"/>
      <c r="E98" s="177"/>
      <c r="F98" s="177"/>
      <c r="G98" s="177"/>
      <c r="H98" s="177"/>
      <c r="I98" s="177"/>
    </row>
    <row r="99" spans="1:9" ht="15.75" customHeight="1">
      <c r="A99" s="177" t="s">
        <v>8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>
      <c r="A100" s="178" t="s">
        <v>60</v>
      </c>
      <c r="B100" s="178"/>
      <c r="C100" s="178"/>
      <c r="D100" s="178"/>
      <c r="E100" s="178"/>
      <c r="F100" s="178"/>
      <c r="G100" s="178"/>
      <c r="H100" s="178"/>
      <c r="I100" s="178"/>
    </row>
    <row r="101" spans="1:9" ht="15.75">
      <c r="A101" s="11"/>
    </row>
    <row r="102" spans="1:9" ht="15.75">
      <c r="A102" s="169" t="s">
        <v>9</v>
      </c>
      <c r="B102" s="169"/>
      <c r="C102" s="169"/>
      <c r="D102" s="169"/>
      <c r="E102" s="169"/>
      <c r="F102" s="169"/>
      <c r="G102" s="169"/>
      <c r="H102" s="169"/>
      <c r="I102" s="169"/>
    </row>
    <row r="103" spans="1:9" ht="15.75">
      <c r="A103" s="4"/>
    </row>
    <row r="104" spans="1:9" ht="15.75">
      <c r="B104" s="88" t="s">
        <v>10</v>
      </c>
      <c r="C104" s="170" t="s">
        <v>133</v>
      </c>
      <c r="D104" s="170"/>
      <c r="E104" s="170"/>
      <c r="F104" s="58"/>
      <c r="I104" s="90"/>
    </row>
    <row r="105" spans="1:9">
      <c r="A105" s="91"/>
      <c r="C105" s="171" t="s">
        <v>11</v>
      </c>
      <c r="D105" s="171"/>
      <c r="E105" s="171"/>
      <c r="F105" s="25"/>
      <c r="I105" s="89" t="s">
        <v>12</v>
      </c>
    </row>
    <row r="106" spans="1:9" ht="15.75">
      <c r="A106" s="26"/>
      <c r="C106" s="12"/>
      <c r="D106" s="12"/>
      <c r="G106" s="12"/>
      <c r="H106" s="12"/>
    </row>
    <row r="107" spans="1:9" ht="15.75" customHeight="1">
      <c r="B107" s="88" t="s">
        <v>13</v>
      </c>
      <c r="C107" s="172"/>
      <c r="D107" s="172"/>
      <c r="E107" s="172"/>
      <c r="F107" s="59"/>
      <c r="I107" s="90"/>
    </row>
    <row r="108" spans="1:9" ht="15.75" customHeight="1">
      <c r="A108" s="91"/>
      <c r="C108" s="173" t="s">
        <v>11</v>
      </c>
      <c r="D108" s="173"/>
      <c r="E108" s="173"/>
      <c r="F108" s="91"/>
      <c r="I108" s="89" t="s">
        <v>12</v>
      </c>
    </row>
    <row r="109" spans="1:9" ht="15.75" customHeight="1">
      <c r="A109" s="4" t="s">
        <v>14</v>
      </c>
    </row>
    <row r="110" spans="1:9">
      <c r="A110" s="174" t="s">
        <v>15</v>
      </c>
      <c r="B110" s="174"/>
      <c r="C110" s="174"/>
      <c r="D110" s="174"/>
      <c r="E110" s="174"/>
      <c r="F110" s="174"/>
      <c r="G110" s="174"/>
      <c r="H110" s="174"/>
      <c r="I110" s="174"/>
    </row>
    <row r="111" spans="1:9" ht="45" customHeight="1">
      <c r="A111" s="165" t="s">
        <v>16</v>
      </c>
      <c r="B111" s="165"/>
      <c r="C111" s="165"/>
      <c r="D111" s="165"/>
      <c r="E111" s="165"/>
      <c r="F111" s="165"/>
      <c r="G111" s="165"/>
      <c r="H111" s="165"/>
      <c r="I111" s="165"/>
    </row>
    <row r="112" spans="1:9" ht="30" customHeight="1">
      <c r="A112" s="165" t="s">
        <v>17</v>
      </c>
      <c r="B112" s="165"/>
      <c r="C112" s="165"/>
      <c r="D112" s="165"/>
      <c r="E112" s="165"/>
      <c r="F112" s="165"/>
      <c r="G112" s="165"/>
      <c r="H112" s="165"/>
      <c r="I112" s="165"/>
    </row>
    <row r="113" spans="1:9" ht="30" customHeight="1">
      <c r="A113" s="165" t="s">
        <v>21</v>
      </c>
      <c r="B113" s="165"/>
      <c r="C113" s="165"/>
      <c r="D113" s="165"/>
      <c r="E113" s="165"/>
      <c r="F113" s="165"/>
      <c r="G113" s="165"/>
      <c r="H113" s="165"/>
      <c r="I113" s="165"/>
    </row>
    <row r="114" spans="1:9" ht="15" customHeight="1">
      <c r="A114" s="165" t="s">
        <v>20</v>
      </c>
      <c r="B114" s="165"/>
      <c r="C114" s="165"/>
      <c r="D114" s="165"/>
      <c r="E114" s="165"/>
      <c r="F114" s="165"/>
      <c r="G114" s="165"/>
      <c r="H114" s="165"/>
      <c r="I114" s="165"/>
    </row>
  </sheetData>
  <autoFilter ref="I12:I57"/>
  <mergeCells count="29">
    <mergeCell ref="A14:I14"/>
    <mergeCell ref="A15:I15"/>
    <mergeCell ref="A29:I29"/>
    <mergeCell ref="A45:I45"/>
    <mergeCell ref="A56:I56"/>
    <mergeCell ref="A3:I3"/>
    <mergeCell ref="A4:I4"/>
    <mergeCell ref="A5:I5"/>
    <mergeCell ref="A8:I8"/>
    <mergeCell ref="A10:I10"/>
    <mergeCell ref="R62:U62"/>
    <mergeCell ref="C108:E108"/>
    <mergeCell ref="A89:I89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4:I84"/>
    <mergeCell ref="A110:I110"/>
    <mergeCell ref="A111:I111"/>
    <mergeCell ref="A112:I112"/>
    <mergeCell ref="A113:I113"/>
    <mergeCell ref="A114:I114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B85" sqref="B85:I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83" t="s">
        <v>143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132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201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43951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192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7" t="s">
        <v>149</v>
      </c>
      <c r="B10" s="187"/>
      <c r="C10" s="187"/>
      <c r="D10" s="187"/>
      <c r="E10" s="187"/>
      <c r="F10" s="187"/>
      <c r="G10" s="187"/>
      <c r="H10" s="187"/>
      <c r="I10" s="18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123" t="s">
        <v>80</v>
      </c>
      <c r="C16" s="124" t="s">
        <v>81</v>
      </c>
      <c r="D16" s="123" t="s">
        <v>165</v>
      </c>
      <c r="E16" s="128">
        <v>54.9</v>
      </c>
      <c r="F16" s="115">
        <f>SUM(E16*156/100)</f>
        <v>85.643999999999991</v>
      </c>
      <c r="G16" s="115">
        <v>261.45</v>
      </c>
      <c r="H16" s="135">
        <f t="shared" ref="H16:H18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23" t="s">
        <v>113</v>
      </c>
      <c r="C17" s="124" t="s">
        <v>81</v>
      </c>
      <c r="D17" s="123" t="s">
        <v>166</v>
      </c>
      <c r="E17" s="128">
        <v>109.8</v>
      </c>
      <c r="F17" s="115">
        <f>SUM(E17*104/100)</f>
        <v>114.19199999999999</v>
      </c>
      <c r="G17" s="115">
        <v>261.45</v>
      </c>
      <c r="H17" s="135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23" t="s">
        <v>114</v>
      </c>
      <c r="C18" s="124" t="s">
        <v>81</v>
      </c>
      <c r="D18" s="123" t="s">
        <v>161</v>
      </c>
      <c r="E18" s="128">
        <f>SUM(E16+E17)</f>
        <v>164.7</v>
      </c>
      <c r="F18" s="115">
        <f>SUM(E18*18/100)</f>
        <v>29.646000000000001</v>
      </c>
      <c r="G18" s="115">
        <v>752.16</v>
      </c>
      <c r="H18" s="135">
        <f t="shared" si="0"/>
        <v>22.298535359999999</v>
      </c>
      <c r="I18" s="34">
        <f>F18/18*G18</f>
        <v>1238.8075200000001</v>
      </c>
      <c r="J18" s="23"/>
      <c r="K18" s="8"/>
      <c r="L18" s="8"/>
      <c r="M18" s="8"/>
    </row>
    <row r="19" spans="1:13" ht="15.75" hidden="1" customHeight="1">
      <c r="A19" s="30"/>
      <c r="B19" s="62" t="s">
        <v>88</v>
      </c>
      <c r="C19" s="63" t="s">
        <v>89</v>
      </c>
      <c r="D19" s="62" t="s">
        <v>90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4</v>
      </c>
      <c r="B20" s="62" t="s">
        <v>91</v>
      </c>
      <c r="C20" s="63" t="s">
        <v>81</v>
      </c>
      <c r="D20" s="62" t="s">
        <v>42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1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5</v>
      </c>
      <c r="B21" s="62" t="s">
        <v>92</v>
      </c>
      <c r="C21" s="63" t="s">
        <v>81</v>
      </c>
      <c r="D21" s="62" t="s">
        <v>42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1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/>
      <c r="B22" s="62" t="s">
        <v>93</v>
      </c>
      <c r="C22" s="63" t="s">
        <v>52</v>
      </c>
      <c r="D22" s="62" t="s">
        <v>90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94</v>
      </c>
      <c r="C23" s="63" t="s">
        <v>52</v>
      </c>
      <c r="D23" s="62" t="s">
        <v>90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95</v>
      </c>
      <c r="C24" s="63" t="s">
        <v>52</v>
      </c>
      <c r="D24" s="62" t="s">
        <v>96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97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98</v>
      </c>
      <c r="C26" s="63" t="s">
        <v>52</v>
      </c>
      <c r="D26" s="62" t="s">
        <v>90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123" t="s">
        <v>164</v>
      </c>
      <c r="C27" s="124" t="s">
        <v>25</v>
      </c>
      <c r="D27" s="123" t="s">
        <v>168</v>
      </c>
      <c r="E27" s="125">
        <v>2.91</v>
      </c>
      <c r="F27" s="115">
        <f>E27*258</f>
        <v>750.78000000000009</v>
      </c>
      <c r="G27" s="115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hidden="1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24"/>
    </row>
    <row r="29" spans="1:13" ht="15.75" customHeight="1">
      <c r="A29" s="180" t="s">
        <v>150</v>
      </c>
      <c r="B29" s="181"/>
      <c r="C29" s="181"/>
      <c r="D29" s="181"/>
      <c r="E29" s="181"/>
      <c r="F29" s="181"/>
      <c r="G29" s="181"/>
      <c r="H29" s="181"/>
      <c r="I29" s="182"/>
      <c r="J29" s="24"/>
    </row>
    <row r="30" spans="1:13" ht="15.75" hidden="1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hidden="1" customHeight="1">
      <c r="A31" s="30">
        <v>8</v>
      </c>
      <c r="B31" s="62" t="s">
        <v>101</v>
      </c>
      <c r="C31" s="63" t="s">
        <v>84</v>
      </c>
      <c r="D31" s="62" t="s">
        <v>151</v>
      </c>
      <c r="E31" s="65">
        <v>61.5</v>
      </c>
      <c r="F31" s="65">
        <f>SUM(E31*52/1000)</f>
        <v>3.198</v>
      </c>
      <c r="G31" s="65">
        <v>193.97</v>
      </c>
      <c r="H31" s="66">
        <f t="shared" ref="H31:H36" si="3">SUM(F31*G31/1000)</f>
        <v>0.62031605999999995</v>
      </c>
      <c r="I31" s="13">
        <f t="shared" ref="I31:I32" si="4">F31/6*G31</f>
        <v>103.38601</v>
      </c>
      <c r="J31" s="23"/>
      <c r="K31" s="8"/>
      <c r="L31" s="8"/>
      <c r="M31" s="8"/>
    </row>
    <row r="32" spans="1:13" ht="31.5" hidden="1" customHeight="1">
      <c r="A32" s="30">
        <v>9</v>
      </c>
      <c r="B32" s="62" t="s">
        <v>100</v>
      </c>
      <c r="C32" s="63" t="s">
        <v>84</v>
      </c>
      <c r="D32" s="62" t="s">
        <v>152</v>
      </c>
      <c r="E32" s="65">
        <v>35.299999999999997</v>
      </c>
      <c r="F32" s="65">
        <f>SUM(E32*78/1000)</f>
        <v>2.7533999999999996</v>
      </c>
      <c r="G32" s="65">
        <v>321.82</v>
      </c>
      <c r="H32" s="66">
        <f t="shared" si="3"/>
        <v>0.88609918799999987</v>
      </c>
      <c r="I32" s="13">
        <f t="shared" si="4"/>
        <v>147.68319799999998</v>
      </c>
      <c r="J32" s="23"/>
      <c r="K32" s="8"/>
      <c r="L32" s="8"/>
      <c r="M32" s="8"/>
    </row>
    <row r="33" spans="1:14" ht="15.75" hidden="1" customHeight="1">
      <c r="A33" s="30"/>
      <c r="B33" s="62" t="s">
        <v>27</v>
      </c>
      <c r="C33" s="63" t="s">
        <v>84</v>
      </c>
      <c r="D33" s="62" t="s">
        <v>53</v>
      </c>
      <c r="E33" s="65">
        <v>61.5</v>
      </c>
      <c r="F33" s="65">
        <f>SUM(E33/1000)</f>
        <v>6.1499999999999999E-2</v>
      </c>
      <c r="G33" s="65">
        <v>3758.28</v>
      </c>
      <c r="H33" s="66">
        <f t="shared" si="3"/>
        <v>0.23113422</v>
      </c>
      <c r="I33" s="13">
        <f>F33*G33</f>
        <v>231.13422</v>
      </c>
      <c r="J33" s="23"/>
      <c r="K33" s="8"/>
      <c r="L33" s="8"/>
      <c r="M33" s="8"/>
    </row>
    <row r="34" spans="1:14" ht="15.75" hidden="1" customHeight="1">
      <c r="A34" s="30">
        <v>10</v>
      </c>
      <c r="B34" s="62" t="s">
        <v>99</v>
      </c>
      <c r="C34" s="63" t="s">
        <v>30</v>
      </c>
      <c r="D34" s="62" t="s">
        <v>62</v>
      </c>
      <c r="E34" s="69">
        <f>1/3</f>
        <v>0.33333333333333331</v>
      </c>
      <c r="F34" s="65">
        <f>155/3</f>
        <v>51.666666666666664</v>
      </c>
      <c r="G34" s="65">
        <v>70.540000000000006</v>
      </c>
      <c r="H34" s="66">
        <f t="shared" si="3"/>
        <v>3.6445666666666665</v>
      </c>
      <c r="I34" s="13">
        <f>F34/6*G34</f>
        <v>607.42777777777781</v>
      </c>
      <c r="J34" s="23"/>
      <c r="K34" s="8"/>
      <c r="L34" s="8"/>
      <c r="M34" s="8"/>
    </row>
    <row r="35" spans="1:14" ht="15.75" hidden="1" customHeight="1">
      <c r="A35" s="30"/>
      <c r="B35" s="62" t="s">
        <v>63</v>
      </c>
      <c r="C35" s="63" t="s">
        <v>32</v>
      </c>
      <c r="D35" s="62" t="s">
        <v>65</v>
      </c>
      <c r="E35" s="64"/>
      <c r="F35" s="65">
        <v>1</v>
      </c>
      <c r="G35" s="65">
        <v>238.07</v>
      </c>
      <c r="H35" s="66">
        <f t="shared" si="3"/>
        <v>0.23807</v>
      </c>
      <c r="I35" s="13">
        <v>0</v>
      </c>
      <c r="J35" s="24"/>
    </row>
    <row r="36" spans="1:14" ht="15.75" hidden="1" customHeight="1">
      <c r="A36" s="30"/>
      <c r="B36" s="62" t="s">
        <v>64</v>
      </c>
      <c r="C36" s="63" t="s">
        <v>31</v>
      </c>
      <c r="D36" s="62" t="s">
        <v>65</v>
      </c>
      <c r="E36" s="64"/>
      <c r="F36" s="65">
        <v>1</v>
      </c>
      <c r="G36" s="65">
        <v>1413.96</v>
      </c>
      <c r="H36" s="66">
        <f t="shared" si="3"/>
        <v>1.4139600000000001</v>
      </c>
      <c r="I36" s="13">
        <v>0</v>
      </c>
      <c r="J36" s="24"/>
    </row>
    <row r="37" spans="1:14" ht="15.75" customHeight="1">
      <c r="A37" s="30"/>
      <c r="B37" s="82" t="s">
        <v>5</v>
      </c>
      <c r="C37" s="63"/>
      <c r="D37" s="62"/>
      <c r="E37" s="64"/>
      <c r="F37" s="65"/>
      <c r="G37" s="65"/>
      <c r="H37" s="66" t="s">
        <v>115</v>
      </c>
      <c r="I37" s="13"/>
      <c r="J37" s="24"/>
      <c r="L37" s="19"/>
      <c r="M37" s="20"/>
      <c r="N37" s="21"/>
    </row>
    <row r="38" spans="1:14" ht="15.75" hidden="1" customHeight="1">
      <c r="A38" s="30">
        <v>5</v>
      </c>
      <c r="B38" s="136" t="s">
        <v>26</v>
      </c>
      <c r="C38" s="124" t="s">
        <v>31</v>
      </c>
      <c r="D38" s="123" t="s">
        <v>194</v>
      </c>
      <c r="E38" s="128"/>
      <c r="F38" s="115">
        <v>3</v>
      </c>
      <c r="G38" s="115">
        <v>1930</v>
      </c>
      <c r="H38" s="66">
        <f t="shared" ref="H38:H43" si="5">SUM(F38*G38/1000)</f>
        <v>5.79</v>
      </c>
      <c r="I38" s="13">
        <f>G38*1.3</f>
        <v>2509</v>
      </c>
      <c r="J38" s="24"/>
      <c r="L38" s="19"/>
      <c r="M38" s="20"/>
      <c r="N38" s="21"/>
    </row>
    <row r="39" spans="1:14" ht="31.5" customHeight="1">
      <c r="A39" s="30">
        <v>5</v>
      </c>
      <c r="B39" s="136" t="s">
        <v>116</v>
      </c>
      <c r="C39" s="137" t="s">
        <v>29</v>
      </c>
      <c r="D39" s="123" t="s">
        <v>169</v>
      </c>
      <c r="E39" s="128">
        <v>35.299999999999997</v>
      </c>
      <c r="F39" s="138">
        <f>E39*30/1000</f>
        <v>1.0589999999999999</v>
      </c>
      <c r="G39" s="115">
        <v>3134.93</v>
      </c>
      <c r="H39" s="66">
        <f t="shared" si="5"/>
        <v>3.3198908699999996</v>
      </c>
      <c r="I39" s="13">
        <f t="shared" ref="I39:I41" si="6">F39/6*G39</f>
        <v>553.31514499999992</v>
      </c>
      <c r="J39" s="24"/>
      <c r="L39" s="19"/>
      <c r="M39" s="20"/>
      <c r="N39" s="21"/>
    </row>
    <row r="40" spans="1:14" ht="15.75" customHeight="1">
      <c r="A40" s="30">
        <v>6</v>
      </c>
      <c r="B40" s="123" t="s">
        <v>117</v>
      </c>
      <c r="C40" s="124" t="s">
        <v>29</v>
      </c>
      <c r="D40" s="123" t="s">
        <v>195</v>
      </c>
      <c r="E40" s="128">
        <v>35.299999999999997</v>
      </c>
      <c r="F40" s="138">
        <f>SUM(E40*72/1000)</f>
        <v>2.5415999999999999</v>
      </c>
      <c r="G40" s="115">
        <v>522.92999999999995</v>
      </c>
      <c r="H40" s="66">
        <f t="shared" si="5"/>
        <v>1.3290788879999997</v>
      </c>
      <c r="I40" s="13">
        <f t="shared" si="6"/>
        <v>221.51314799999997</v>
      </c>
      <c r="J40" s="24"/>
      <c r="L40" s="19"/>
      <c r="M40" s="20"/>
      <c r="N40" s="21"/>
    </row>
    <row r="41" spans="1:14" ht="47.25" customHeight="1">
      <c r="A41" s="30">
        <v>7</v>
      </c>
      <c r="B41" s="123" t="s">
        <v>118</v>
      </c>
      <c r="C41" s="124" t="s">
        <v>84</v>
      </c>
      <c r="D41" s="123" t="s">
        <v>171</v>
      </c>
      <c r="E41" s="128">
        <v>35.299999999999997</v>
      </c>
      <c r="F41" s="138">
        <f>SUM(E41*24/1000)</f>
        <v>0.84719999999999995</v>
      </c>
      <c r="G41" s="115">
        <v>8652.07</v>
      </c>
      <c r="H41" s="66">
        <f t="shared" si="5"/>
        <v>7.3300337039999999</v>
      </c>
      <c r="I41" s="13">
        <f t="shared" si="6"/>
        <v>1221.672284</v>
      </c>
      <c r="J41" s="24"/>
      <c r="L41" s="19"/>
      <c r="M41" s="20"/>
      <c r="N41" s="21"/>
    </row>
    <row r="42" spans="1:14" ht="15.75" hidden="1" customHeight="1">
      <c r="A42" s="30">
        <v>9</v>
      </c>
      <c r="B42" s="123" t="s">
        <v>120</v>
      </c>
      <c r="C42" s="124" t="s">
        <v>84</v>
      </c>
      <c r="D42" s="123" t="s">
        <v>82</v>
      </c>
      <c r="E42" s="128">
        <v>35.299999999999997</v>
      </c>
      <c r="F42" s="138">
        <f>SUM(E42*30/1000)</f>
        <v>1.0589999999999999</v>
      </c>
      <c r="G42" s="115">
        <v>639.14</v>
      </c>
      <c r="H42" s="66">
        <f t="shared" si="5"/>
        <v>0.67684926000000001</v>
      </c>
      <c r="I42" s="13">
        <f>(F42/7.5*1.5)*G42</f>
        <v>135.36985199999998</v>
      </c>
      <c r="J42" s="24"/>
      <c r="L42" s="19"/>
      <c r="M42" s="20"/>
      <c r="N42" s="21"/>
    </row>
    <row r="43" spans="1:14" ht="15.75" hidden="1" customHeight="1">
      <c r="A43" s="30">
        <v>10</v>
      </c>
      <c r="B43" s="136" t="s">
        <v>67</v>
      </c>
      <c r="C43" s="137" t="s">
        <v>32</v>
      </c>
      <c r="D43" s="136"/>
      <c r="E43" s="125"/>
      <c r="F43" s="138">
        <v>0.3</v>
      </c>
      <c r="G43" s="138">
        <v>900</v>
      </c>
      <c r="H43" s="66">
        <f t="shared" si="5"/>
        <v>0.27</v>
      </c>
      <c r="I43" s="13">
        <f>(F43/7.5*1.5)*G43</f>
        <v>54</v>
      </c>
      <c r="J43" s="24"/>
      <c r="L43" s="19"/>
      <c r="M43" s="20"/>
      <c r="N43" s="21"/>
    </row>
    <row r="44" spans="1:14" ht="33.75" customHeight="1">
      <c r="A44" s="30">
        <v>8</v>
      </c>
      <c r="B44" s="142" t="s">
        <v>193</v>
      </c>
      <c r="C44" s="137" t="s">
        <v>29</v>
      </c>
      <c r="D44" s="136" t="s">
        <v>196</v>
      </c>
      <c r="E44" s="125">
        <v>1.2</v>
      </c>
      <c r="F44" s="138">
        <f>E44*12/1000</f>
        <v>1.4399999999999998E-2</v>
      </c>
      <c r="G44" s="138">
        <v>20547.34</v>
      </c>
      <c r="H44" s="56"/>
      <c r="I44" s="13">
        <f>G44*F44/6</f>
        <v>49.313615999999996</v>
      </c>
      <c r="J44" s="24"/>
      <c r="L44" s="19"/>
      <c r="M44" s="20"/>
      <c r="N44" s="21"/>
    </row>
    <row r="45" spans="1:14" ht="15.75" hidden="1" customHeight="1">
      <c r="A45" s="180" t="s">
        <v>135</v>
      </c>
      <c r="B45" s="181"/>
      <c r="C45" s="181"/>
      <c r="D45" s="181"/>
      <c r="E45" s="181"/>
      <c r="F45" s="181"/>
      <c r="G45" s="181"/>
      <c r="H45" s="181"/>
      <c r="I45" s="182"/>
      <c r="J45" s="24"/>
      <c r="L45" s="19"/>
      <c r="M45" s="20"/>
      <c r="N45" s="21"/>
    </row>
    <row r="46" spans="1:14" ht="32.25" hidden="1" customHeight="1">
      <c r="A46" s="30">
        <v>11</v>
      </c>
      <c r="B46" s="62" t="s">
        <v>102</v>
      </c>
      <c r="C46" s="63" t="s">
        <v>84</v>
      </c>
      <c r="D46" s="62" t="s">
        <v>42</v>
      </c>
      <c r="E46" s="64">
        <v>907.4</v>
      </c>
      <c r="F46" s="65">
        <f>SUM(E46*2/1000)</f>
        <v>1.8148</v>
      </c>
      <c r="G46" s="13">
        <v>1283.46</v>
      </c>
      <c r="H46" s="66">
        <f t="shared" ref="H46:H55" si="7">SUM(F46*G46/1000)</f>
        <v>2.3292232079999997</v>
      </c>
      <c r="I46" s="13">
        <f>F46/2*G46</f>
        <v>1164.6116039999999</v>
      </c>
      <c r="J46" s="24"/>
      <c r="L46" s="19"/>
      <c r="M46" s="20"/>
      <c r="N46" s="21"/>
    </row>
    <row r="47" spans="1:14" ht="29.25" hidden="1" customHeight="1">
      <c r="A47" s="30">
        <v>12</v>
      </c>
      <c r="B47" s="62" t="s">
        <v>35</v>
      </c>
      <c r="C47" s="63" t="s">
        <v>84</v>
      </c>
      <c r="D47" s="62" t="s">
        <v>42</v>
      </c>
      <c r="E47" s="64">
        <v>27</v>
      </c>
      <c r="F47" s="65">
        <f>SUM(E47*2/1000)</f>
        <v>5.3999999999999999E-2</v>
      </c>
      <c r="G47" s="13">
        <v>4192.6400000000003</v>
      </c>
      <c r="H47" s="66">
        <f t="shared" si="7"/>
        <v>0.22640256000000003</v>
      </c>
      <c r="I47" s="13">
        <f t="shared" ref="I47:I54" si="8">F47/2*G47</f>
        <v>113.20128000000001</v>
      </c>
      <c r="J47" s="24"/>
      <c r="L47" s="19"/>
      <c r="M47" s="20"/>
      <c r="N47" s="21"/>
    </row>
    <row r="48" spans="1:14" ht="29.25" hidden="1" customHeight="1">
      <c r="A48" s="30">
        <v>13</v>
      </c>
      <c r="B48" s="62" t="s">
        <v>36</v>
      </c>
      <c r="C48" s="63" t="s">
        <v>84</v>
      </c>
      <c r="D48" s="62" t="s">
        <v>42</v>
      </c>
      <c r="E48" s="64">
        <v>772</v>
      </c>
      <c r="F48" s="65">
        <f>SUM(E48*2/1000)</f>
        <v>1.544</v>
      </c>
      <c r="G48" s="13">
        <v>1711.28</v>
      </c>
      <c r="H48" s="66">
        <f t="shared" si="7"/>
        <v>2.6422163200000002</v>
      </c>
      <c r="I48" s="13">
        <f t="shared" si="8"/>
        <v>1321.10816</v>
      </c>
      <c r="J48" s="24"/>
      <c r="L48" s="19"/>
      <c r="M48" s="20"/>
      <c r="N48" s="21"/>
    </row>
    <row r="49" spans="1:22" ht="32.25" hidden="1" customHeight="1">
      <c r="A49" s="30">
        <v>14</v>
      </c>
      <c r="B49" s="62" t="s">
        <v>37</v>
      </c>
      <c r="C49" s="63" t="s">
        <v>84</v>
      </c>
      <c r="D49" s="62" t="s">
        <v>42</v>
      </c>
      <c r="E49" s="64">
        <v>959.4</v>
      </c>
      <c r="F49" s="65">
        <f>SUM(E49*2/1000)</f>
        <v>1.9188000000000001</v>
      </c>
      <c r="G49" s="13">
        <v>1179.73</v>
      </c>
      <c r="H49" s="66">
        <f t="shared" si="7"/>
        <v>2.2636659240000001</v>
      </c>
      <c r="I49" s="13">
        <f t="shared" si="8"/>
        <v>1131.832962</v>
      </c>
      <c r="J49" s="24"/>
      <c r="L49" s="19"/>
      <c r="M49" s="20"/>
      <c r="N49" s="21"/>
    </row>
    <row r="50" spans="1:22" ht="36" hidden="1" customHeight="1">
      <c r="A50" s="30">
        <v>15</v>
      </c>
      <c r="B50" s="62" t="s">
        <v>33</v>
      </c>
      <c r="C50" s="63" t="s">
        <v>34</v>
      </c>
      <c r="D50" s="62" t="s">
        <v>42</v>
      </c>
      <c r="E50" s="64">
        <v>66.02</v>
      </c>
      <c r="F50" s="65">
        <f>SUM(E50*2/100)</f>
        <v>1.3204</v>
      </c>
      <c r="G50" s="13">
        <v>90.61</v>
      </c>
      <c r="H50" s="66">
        <f t="shared" si="7"/>
        <v>0.11964144400000001</v>
      </c>
      <c r="I50" s="13">
        <f t="shared" si="8"/>
        <v>59.820722000000004</v>
      </c>
      <c r="J50" s="24"/>
      <c r="L50" s="19"/>
      <c r="M50" s="20"/>
      <c r="N50" s="21"/>
    </row>
    <row r="51" spans="1:22" ht="30.75" hidden="1" customHeight="1">
      <c r="A51" s="30">
        <v>12</v>
      </c>
      <c r="B51" s="62" t="s">
        <v>55</v>
      </c>
      <c r="C51" s="63" t="s">
        <v>84</v>
      </c>
      <c r="D51" s="62" t="s">
        <v>134</v>
      </c>
      <c r="E51" s="64">
        <v>1536.4</v>
      </c>
      <c r="F51" s="65">
        <f>SUM(E51*5/1000)</f>
        <v>7.6820000000000004</v>
      </c>
      <c r="G51" s="13">
        <v>1711.28</v>
      </c>
      <c r="H51" s="66">
        <f t="shared" si="7"/>
        <v>13.14605296</v>
      </c>
      <c r="I51" s="13">
        <f>F51/5*G51</f>
        <v>2629.2105919999999</v>
      </c>
      <c r="J51" s="24"/>
      <c r="L51" s="19"/>
      <c r="M51" s="20"/>
      <c r="N51" s="21"/>
    </row>
    <row r="52" spans="1:22" ht="33.75" hidden="1" customHeight="1">
      <c r="A52" s="30">
        <v>12</v>
      </c>
      <c r="B52" s="62" t="s">
        <v>85</v>
      </c>
      <c r="C52" s="63" t="s">
        <v>84</v>
      </c>
      <c r="D52" s="62" t="s">
        <v>42</v>
      </c>
      <c r="E52" s="64">
        <v>1536.4</v>
      </c>
      <c r="F52" s="65">
        <f>SUM(E52*2/1000)</f>
        <v>3.0728</v>
      </c>
      <c r="G52" s="13">
        <v>1510.06</v>
      </c>
      <c r="H52" s="66">
        <f t="shared" si="7"/>
        <v>4.6401123680000005</v>
      </c>
      <c r="I52" s="13">
        <f t="shared" si="8"/>
        <v>2320.056184</v>
      </c>
      <c r="J52" s="24"/>
      <c r="L52" s="19"/>
      <c r="M52" s="20"/>
      <c r="N52" s="21"/>
    </row>
    <row r="53" spans="1:22" ht="29.25" hidden="1" customHeight="1">
      <c r="A53" s="30">
        <v>13</v>
      </c>
      <c r="B53" s="62" t="s">
        <v>86</v>
      </c>
      <c r="C53" s="63" t="s">
        <v>38</v>
      </c>
      <c r="D53" s="62" t="s">
        <v>42</v>
      </c>
      <c r="E53" s="64">
        <v>9</v>
      </c>
      <c r="F53" s="65">
        <f>SUM(E53*2/100)</f>
        <v>0.18</v>
      </c>
      <c r="G53" s="13">
        <v>3850.4</v>
      </c>
      <c r="H53" s="66">
        <f t="shared" si="7"/>
        <v>0.69307200000000002</v>
      </c>
      <c r="I53" s="13">
        <f t="shared" si="8"/>
        <v>346.536</v>
      </c>
      <c r="J53" s="24"/>
      <c r="L53" s="19"/>
      <c r="M53" s="20"/>
      <c r="N53" s="21"/>
    </row>
    <row r="54" spans="1:22" ht="21.75" hidden="1" customHeight="1">
      <c r="A54" s="30">
        <v>14</v>
      </c>
      <c r="B54" s="62" t="s">
        <v>39</v>
      </c>
      <c r="C54" s="63" t="s">
        <v>40</v>
      </c>
      <c r="D54" s="62" t="s">
        <v>42</v>
      </c>
      <c r="E54" s="64">
        <v>1</v>
      </c>
      <c r="F54" s="65">
        <v>0.02</v>
      </c>
      <c r="G54" s="13">
        <v>7033.13</v>
      </c>
      <c r="H54" s="66">
        <f t="shared" si="7"/>
        <v>0.1406626</v>
      </c>
      <c r="I54" s="13">
        <f t="shared" si="8"/>
        <v>70.331299999999999</v>
      </c>
      <c r="J54" s="24"/>
      <c r="L54" s="19"/>
      <c r="M54" s="20"/>
      <c r="N54" s="21"/>
    </row>
    <row r="55" spans="1:22" ht="27.75" hidden="1" customHeight="1">
      <c r="A55" s="30">
        <v>13</v>
      </c>
      <c r="B55" s="62" t="s">
        <v>41</v>
      </c>
      <c r="C55" s="63" t="s">
        <v>103</v>
      </c>
      <c r="D55" s="62" t="s">
        <v>68</v>
      </c>
      <c r="E55" s="64">
        <v>53</v>
      </c>
      <c r="F55" s="65">
        <f>53*3</f>
        <v>159</v>
      </c>
      <c r="G55" s="13">
        <v>81.73</v>
      </c>
      <c r="H55" s="66">
        <f t="shared" si="7"/>
        <v>12.995070000000002</v>
      </c>
      <c r="I55" s="13">
        <f>F55/3*G55</f>
        <v>4331.6900000000005</v>
      </c>
      <c r="J55" s="24"/>
      <c r="L55" s="19"/>
    </row>
    <row r="56" spans="1:22" ht="15.75" customHeight="1">
      <c r="A56" s="180" t="s">
        <v>141</v>
      </c>
      <c r="B56" s="181"/>
      <c r="C56" s="181"/>
      <c r="D56" s="181"/>
      <c r="E56" s="181"/>
      <c r="F56" s="181"/>
      <c r="G56" s="181"/>
      <c r="H56" s="181"/>
      <c r="I56" s="182"/>
    </row>
    <row r="57" spans="1:22" ht="15.75" hidden="1" customHeight="1">
      <c r="A57" s="30"/>
      <c r="B57" s="82" t="s">
        <v>43</v>
      </c>
      <c r="C57" s="63"/>
      <c r="D57" s="62"/>
      <c r="E57" s="64"/>
      <c r="F57" s="65"/>
      <c r="G57" s="65"/>
      <c r="H57" s="66"/>
      <c r="I57" s="13"/>
    </row>
    <row r="58" spans="1:22" ht="31.5" hidden="1" customHeight="1">
      <c r="A58" s="30">
        <v>12</v>
      </c>
      <c r="B58" s="62" t="s">
        <v>104</v>
      </c>
      <c r="C58" s="63" t="s">
        <v>81</v>
      </c>
      <c r="D58" s="62" t="s">
        <v>105</v>
      </c>
      <c r="E58" s="64">
        <v>11.5</v>
      </c>
      <c r="F58" s="65">
        <f>SUM(E58*6/100)</f>
        <v>0.69</v>
      </c>
      <c r="G58" s="13">
        <v>2306.62</v>
      </c>
      <c r="H58" s="66">
        <f>SUM(F58*G58/1000)</f>
        <v>1.5915677999999998</v>
      </c>
      <c r="I58" s="13">
        <f>F58/6*G58</f>
        <v>265.26129999999995</v>
      </c>
    </row>
    <row r="59" spans="1:22" ht="15.75" hidden="1" customHeight="1">
      <c r="A59" s="30"/>
      <c r="B59" s="62" t="s">
        <v>121</v>
      </c>
      <c r="C59" s="63" t="s">
        <v>122</v>
      </c>
      <c r="D59" s="62" t="s">
        <v>65</v>
      </c>
      <c r="E59" s="64"/>
      <c r="F59" s="65">
        <v>2</v>
      </c>
      <c r="G59" s="85">
        <v>1501</v>
      </c>
      <c r="H59" s="66">
        <f>SUM(F59*G59/1000)</f>
        <v>3.0019999999999998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/>
      <c r="B60" s="82" t="s">
        <v>44</v>
      </c>
      <c r="C60" s="63"/>
      <c r="D60" s="62"/>
      <c r="E60" s="64"/>
      <c r="F60" s="65"/>
      <c r="G60" s="86"/>
      <c r="H60" s="66"/>
      <c r="I60" s="13"/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2" t="s">
        <v>106</v>
      </c>
      <c r="C61" s="63" t="s">
        <v>81</v>
      </c>
      <c r="D61" s="62" t="s">
        <v>53</v>
      </c>
      <c r="E61" s="64">
        <v>148</v>
      </c>
      <c r="F61" s="66">
        <f>E61/100</f>
        <v>1.48</v>
      </c>
      <c r="G61" s="13">
        <v>987.51</v>
      </c>
      <c r="H61" s="71">
        <f>F61*G61/1000</f>
        <v>1.4615148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customHeight="1">
      <c r="A62" s="30">
        <v>9</v>
      </c>
      <c r="B62" s="73" t="s">
        <v>131</v>
      </c>
      <c r="C62" s="72" t="s">
        <v>25</v>
      </c>
      <c r="D62" s="73" t="s">
        <v>161</v>
      </c>
      <c r="E62" s="74">
        <v>140.5</v>
      </c>
      <c r="F62" s="65">
        <f>E62*12</f>
        <v>1686</v>
      </c>
      <c r="G62" s="87">
        <v>1.4</v>
      </c>
      <c r="H62" s="71">
        <f>F62*G62/1000</f>
        <v>2.3603999999999998</v>
      </c>
      <c r="I62" s="13">
        <f>1320/12*G62</f>
        <v>154</v>
      </c>
      <c r="J62" s="5"/>
      <c r="K62" s="5"/>
      <c r="L62" s="5"/>
      <c r="M62" s="5"/>
      <c r="N62" s="5"/>
      <c r="O62" s="5"/>
      <c r="P62" s="5"/>
      <c r="Q62" s="5"/>
      <c r="R62" s="173"/>
      <c r="S62" s="173"/>
      <c r="T62" s="173"/>
      <c r="U62" s="173"/>
    </row>
    <row r="63" spans="1:22" ht="15.75" customHeight="1">
      <c r="A63" s="30"/>
      <c r="B63" s="83" t="s">
        <v>45</v>
      </c>
      <c r="C63" s="72"/>
      <c r="D63" s="73"/>
      <c r="E63" s="74"/>
      <c r="F63" s="75"/>
      <c r="G63" s="75"/>
      <c r="H63" s="76" t="s">
        <v>115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hidden="1" customHeight="1">
      <c r="A64" s="30">
        <v>16</v>
      </c>
      <c r="B64" s="14" t="s">
        <v>46</v>
      </c>
      <c r="C64" s="16" t="s">
        <v>103</v>
      </c>
      <c r="D64" s="14" t="s">
        <v>65</v>
      </c>
      <c r="E64" s="18">
        <v>2</v>
      </c>
      <c r="F64" s="65">
        <f>E64</f>
        <v>2</v>
      </c>
      <c r="G64" s="13">
        <v>276.74</v>
      </c>
      <c r="H64" s="61">
        <f t="shared" ref="H64:H81" si="9">SUM(F64*G64/1000)</f>
        <v>0.55347999999999997</v>
      </c>
      <c r="I64" s="13">
        <f>G64</f>
        <v>276.74</v>
      </c>
    </row>
    <row r="65" spans="1:9" ht="15.75" hidden="1" customHeight="1">
      <c r="A65" s="30"/>
      <c r="B65" s="14" t="s">
        <v>47</v>
      </c>
      <c r="C65" s="16" t="s">
        <v>103</v>
      </c>
      <c r="D65" s="14" t="s">
        <v>65</v>
      </c>
      <c r="E65" s="18">
        <v>1</v>
      </c>
      <c r="F65" s="65">
        <f>E65</f>
        <v>1</v>
      </c>
      <c r="G65" s="13">
        <v>94.89</v>
      </c>
      <c r="H65" s="61">
        <f t="shared" si="9"/>
        <v>9.4890000000000002E-2</v>
      </c>
      <c r="I65" s="13">
        <v>0</v>
      </c>
    </row>
    <row r="66" spans="1:9" ht="15.75" hidden="1" customHeight="1">
      <c r="A66" s="30"/>
      <c r="B66" s="14" t="s">
        <v>48</v>
      </c>
      <c r="C66" s="16" t="s">
        <v>107</v>
      </c>
      <c r="D66" s="14" t="s">
        <v>53</v>
      </c>
      <c r="E66" s="64">
        <v>6307</v>
      </c>
      <c r="F66" s="13">
        <f>SUM(E66/100)</f>
        <v>63.07</v>
      </c>
      <c r="G66" s="13">
        <v>263.99</v>
      </c>
      <c r="H66" s="61">
        <f t="shared" si="9"/>
        <v>16.649849300000003</v>
      </c>
      <c r="I66" s="13">
        <v>0</v>
      </c>
    </row>
    <row r="67" spans="1:9" ht="15.75" hidden="1" customHeight="1">
      <c r="A67" s="30"/>
      <c r="B67" s="14" t="s">
        <v>49</v>
      </c>
      <c r="C67" s="16" t="s">
        <v>108</v>
      </c>
      <c r="D67" s="14"/>
      <c r="E67" s="64">
        <v>6307</v>
      </c>
      <c r="F67" s="13">
        <f>SUM(E67/1000)</f>
        <v>6.3070000000000004</v>
      </c>
      <c r="G67" s="13">
        <v>205.57</v>
      </c>
      <c r="H67" s="61">
        <f t="shared" si="9"/>
        <v>1.29652999</v>
      </c>
      <c r="I67" s="13">
        <v>0</v>
      </c>
    </row>
    <row r="68" spans="1:9" ht="15.75" hidden="1" customHeight="1">
      <c r="A68" s="30"/>
      <c r="B68" s="14" t="s">
        <v>50</v>
      </c>
      <c r="C68" s="16" t="s">
        <v>74</v>
      </c>
      <c r="D68" s="14" t="s">
        <v>53</v>
      </c>
      <c r="E68" s="64">
        <v>1003</v>
      </c>
      <c r="F68" s="13">
        <f>SUM(E68/100)</f>
        <v>10.029999999999999</v>
      </c>
      <c r="G68" s="13">
        <v>2581.5300000000002</v>
      </c>
      <c r="H68" s="61">
        <f t="shared" si="9"/>
        <v>25.892745900000001</v>
      </c>
      <c r="I68" s="13">
        <v>0</v>
      </c>
    </row>
    <row r="69" spans="1:9" ht="15.75" hidden="1" customHeight="1">
      <c r="A69" s="30"/>
      <c r="B69" s="77" t="s">
        <v>109</v>
      </c>
      <c r="C69" s="16" t="s">
        <v>32</v>
      </c>
      <c r="D69" s="14"/>
      <c r="E69" s="64">
        <v>6.6</v>
      </c>
      <c r="F69" s="13">
        <f>SUM(E69)</f>
        <v>6.6</v>
      </c>
      <c r="G69" s="13">
        <v>47.75</v>
      </c>
      <c r="H69" s="61">
        <f t="shared" si="9"/>
        <v>0.31514999999999999</v>
      </c>
      <c r="I69" s="13">
        <v>0</v>
      </c>
    </row>
    <row r="70" spans="1:9" ht="15.75" hidden="1" customHeight="1">
      <c r="A70" s="30"/>
      <c r="B70" s="77" t="s">
        <v>110</v>
      </c>
      <c r="C70" s="16" t="s">
        <v>32</v>
      </c>
      <c r="D70" s="14"/>
      <c r="E70" s="64">
        <v>6.6</v>
      </c>
      <c r="F70" s="13">
        <f>SUM(E70)</f>
        <v>6.6</v>
      </c>
      <c r="G70" s="13">
        <v>44.27</v>
      </c>
      <c r="H70" s="61">
        <f t="shared" si="9"/>
        <v>0.292182</v>
      </c>
      <c r="I70" s="13">
        <v>0</v>
      </c>
    </row>
    <row r="71" spans="1:9" ht="15.75" hidden="1" customHeight="1">
      <c r="A71" s="30">
        <v>19</v>
      </c>
      <c r="B71" s="14" t="s">
        <v>56</v>
      </c>
      <c r="C71" s="16" t="s">
        <v>57</v>
      </c>
      <c r="D71" s="14" t="s">
        <v>53</v>
      </c>
      <c r="E71" s="18">
        <v>3</v>
      </c>
      <c r="F71" s="65">
        <v>3</v>
      </c>
      <c r="G71" s="13">
        <v>62.07</v>
      </c>
      <c r="H71" s="61">
        <f t="shared" si="9"/>
        <v>0.18621000000000001</v>
      </c>
      <c r="I71" s="13">
        <f>F71*G71</f>
        <v>186.21</v>
      </c>
    </row>
    <row r="72" spans="1:9" ht="19.5" customHeight="1">
      <c r="A72" s="30">
        <v>10</v>
      </c>
      <c r="B72" s="139" t="s">
        <v>123</v>
      </c>
      <c r="C72" s="131" t="s">
        <v>124</v>
      </c>
      <c r="D72" s="139" t="s">
        <v>161</v>
      </c>
      <c r="E72" s="17">
        <v>1536.4</v>
      </c>
      <c r="F72" s="140">
        <f>E72*12</f>
        <v>18436.800000000003</v>
      </c>
      <c r="G72" s="34">
        <v>2.6</v>
      </c>
      <c r="H72" s="61">
        <f t="shared" si="9"/>
        <v>47.935680000000005</v>
      </c>
      <c r="I72" s="13">
        <f>F72/12*G72</f>
        <v>3994.6400000000008</v>
      </c>
    </row>
    <row r="73" spans="1:9" ht="15.75" customHeight="1">
      <c r="A73" s="30"/>
      <c r="B73" s="93" t="s">
        <v>69</v>
      </c>
      <c r="C73" s="16"/>
      <c r="D73" s="14"/>
      <c r="E73" s="18"/>
      <c r="F73" s="13"/>
      <c r="G73" s="13"/>
      <c r="H73" s="61" t="s">
        <v>115</v>
      </c>
      <c r="I73" s="13"/>
    </row>
    <row r="74" spans="1:9" ht="15.75" hidden="1" customHeight="1">
      <c r="A74" s="30"/>
      <c r="B74" s="14" t="s">
        <v>125</v>
      </c>
      <c r="C74" s="16" t="s">
        <v>126</v>
      </c>
      <c r="D74" s="14" t="s">
        <v>65</v>
      </c>
      <c r="E74" s="18">
        <v>1</v>
      </c>
      <c r="F74" s="13">
        <f>E74</f>
        <v>1</v>
      </c>
      <c r="G74" s="13">
        <v>976.4</v>
      </c>
      <c r="H74" s="61">
        <f t="shared" ref="H74:H75" si="10">SUM(F74*G74/1000)</f>
        <v>0.97639999999999993</v>
      </c>
      <c r="I74" s="13">
        <v>0</v>
      </c>
    </row>
    <row r="75" spans="1:9" ht="15.75" hidden="1" customHeight="1">
      <c r="A75" s="30"/>
      <c r="B75" s="14" t="s">
        <v>127</v>
      </c>
      <c r="C75" s="16" t="s">
        <v>128</v>
      </c>
      <c r="D75" s="14"/>
      <c r="E75" s="18">
        <v>1</v>
      </c>
      <c r="F75" s="13">
        <v>1</v>
      </c>
      <c r="G75" s="13">
        <v>650</v>
      </c>
      <c r="H75" s="61">
        <f t="shared" si="10"/>
        <v>0.65</v>
      </c>
      <c r="I75" s="13">
        <v>0</v>
      </c>
    </row>
    <row r="76" spans="1:9" ht="15.75" hidden="1" customHeight="1">
      <c r="A76" s="30"/>
      <c r="B76" s="14" t="s">
        <v>70</v>
      </c>
      <c r="C76" s="16" t="s">
        <v>72</v>
      </c>
      <c r="D76" s="14"/>
      <c r="E76" s="18">
        <v>3</v>
      </c>
      <c r="F76" s="13">
        <v>0.3</v>
      </c>
      <c r="G76" s="13">
        <v>624.16999999999996</v>
      </c>
      <c r="H76" s="61">
        <f t="shared" si="9"/>
        <v>0.18725099999999997</v>
      </c>
      <c r="I76" s="13">
        <v>0</v>
      </c>
    </row>
    <row r="77" spans="1:9" ht="15.75" hidden="1" customHeight="1">
      <c r="A77" s="30"/>
      <c r="B77" s="14" t="s">
        <v>71</v>
      </c>
      <c r="C77" s="16" t="s">
        <v>30</v>
      </c>
      <c r="D77" s="14"/>
      <c r="E77" s="18">
        <v>1</v>
      </c>
      <c r="F77" s="56">
        <v>1</v>
      </c>
      <c r="G77" s="13">
        <v>1061.4100000000001</v>
      </c>
      <c r="H77" s="61">
        <f>F77*G77/1000</f>
        <v>1.0614100000000002</v>
      </c>
      <c r="I77" s="13">
        <v>0</v>
      </c>
    </row>
    <row r="78" spans="1:9" ht="15.75" customHeight="1">
      <c r="A78" s="30">
        <v>11</v>
      </c>
      <c r="B78" s="46" t="s">
        <v>197</v>
      </c>
      <c r="C78" s="47" t="s">
        <v>103</v>
      </c>
      <c r="D78" s="139" t="s">
        <v>173</v>
      </c>
      <c r="E78" s="17">
        <v>2</v>
      </c>
      <c r="F78" s="34">
        <f>E78*12</f>
        <v>24</v>
      </c>
      <c r="G78" s="34">
        <v>420</v>
      </c>
      <c r="H78" s="61">
        <f>G78*F78/1000</f>
        <v>10.08</v>
      </c>
      <c r="I78" s="13">
        <f>G78*2</f>
        <v>840</v>
      </c>
    </row>
    <row r="79" spans="1:9" ht="29.25" customHeight="1">
      <c r="A79" s="30">
        <v>12</v>
      </c>
      <c r="B79" s="46" t="s">
        <v>198</v>
      </c>
      <c r="C79" s="47" t="s">
        <v>30</v>
      </c>
      <c r="D79" s="139" t="s">
        <v>173</v>
      </c>
      <c r="E79" s="17">
        <v>1</v>
      </c>
      <c r="F79" s="34">
        <f>E79*12</f>
        <v>12</v>
      </c>
      <c r="G79" s="34">
        <v>1829</v>
      </c>
      <c r="H79" s="61"/>
      <c r="I79" s="13">
        <f>G79*F79/12</f>
        <v>1829</v>
      </c>
    </row>
    <row r="80" spans="1:9" ht="15.75" hidden="1" customHeight="1">
      <c r="A80" s="30"/>
      <c r="B80" s="79" t="s">
        <v>73</v>
      </c>
      <c r="C80" s="16"/>
      <c r="D80" s="14"/>
      <c r="E80" s="18"/>
      <c r="F80" s="13"/>
      <c r="G80" s="13" t="s">
        <v>115</v>
      </c>
      <c r="H80" s="61" t="s">
        <v>115</v>
      </c>
      <c r="I80" s="13" t="str">
        <f>G80</f>
        <v xml:space="preserve"> </v>
      </c>
    </row>
    <row r="81" spans="1:9" ht="15.75" hidden="1" customHeight="1">
      <c r="A81" s="30"/>
      <c r="B81" s="43" t="s">
        <v>130</v>
      </c>
      <c r="C81" s="16" t="s">
        <v>74</v>
      </c>
      <c r="D81" s="14"/>
      <c r="E81" s="18"/>
      <c r="F81" s="13">
        <v>0.1</v>
      </c>
      <c r="G81" s="13">
        <v>3433.69</v>
      </c>
      <c r="H81" s="61">
        <f t="shared" si="9"/>
        <v>0.34336900000000004</v>
      </c>
      <c r="I81" s="13">
        <v>0</v>
      </c>
    </row>
    <row r="82" spans="1:9" ht="15.75" hidden="1" customHeight="1">
      <c r="A82" s="30"/>
      <c r="B82" s="55" t="s">
        <v>87</v>
      </c>
      <c r="C82" s="79"/>
      <c r="D82" s="31"/>
      <c r="E82" s="32"/>
      <c r="F82" s="68"/>
      <c r="G82" s="68"/>
      <c r="H82" s="80">
        <f>SUM(H58:H81)</f>
        <v>114.93062979000001</v>
      </c>
      <c r="I82" s="13"/>
    </row>
    <row r="83" spans="1:9" ht="15.75" hidden="1" customHeight="1">
      <c r="A83" s="30"/>
      <c r="B83" s="62" t="s">
        <v>111</v>
      </c>
      <c r="C83" s="16"/>
      <c r="D83" s="14"/>
      <c r="E83" s="57"/>
      <c r="F83" s="13">
        <v>1</v>
      </c>
      <c r="G83" s="35">
        <v>6105.8</v>
      </c>
      <c r="H83" s="61">
        <f>G83*F83/1000</f>
        <v>6.1058000000000003</v>
      </c>
      <c r="I83" s="13">
        <v>0</v>
      </c>
    </row>
    <row r="84" spans="1:9" ht="15.75" customHeight="1">
      <c r="A84" s="180" t="s">
        <v>142</v>
      </c>
      <c r="B84" s="181"/>
      <c r="C84" s="181"/>
      <c r="D84" s="181"/>
      <c r="E84" s="181"/>
      <c r="F84" s="181"/>
      <c r="G84" s="181"/>
      <c r="H84" s="181"/>
      <c r="I84" s="182"/>
    </row>
    <row r="85" spans="1:9" ht="15.75" customHeight="1">
      <c r="A85" s="30">
        <v>13</v>
      </c>
      <c r="B85" s="123" t="s">
        <v>112</v>
      </c>
      <c r="C85" s="130" t="s">
        <v>54</v>
      </c>
      <c r="D85" s="141"/>
      <c r="E85" s="34">
        <v>1536.4</v>
      </c>
      <c r="F85" s="34">
        <f>SUM(E85*12)</f>
        <v>18436.800000000003</v>
      </c>
      <c r="G85" s="34">
        <v>3.5</v>
      </c>
      <c r="H85" s="61">
        <f>SUM(F85*G85/1000)</f>
        <v>64.528800000000004</v>
      </c>
      <c r="I85" s="13">
        <f>F85/12*G85</f>
        <v>5377.4000000000015</v>
      </c>
    </row>
    <row r="86" spans="1:9" ht="31.5" customHeight="1">
      <c r="A86" s="30">
        <v>14</v>
      </c>
      <c r="B86" s="123" t="s">
        <v>199</v>
      </c>
      <c r="C86" s="130" t="s">
        <v>54</v>
      </c>
      <c r="D86" s="141"/>
      <c r="E86" s="34">
        <v>1536.4</v>
      </c>
      <c r="F86" s="34">
        <f>E86*12</f>
        <v>18436.800000000003</v>
      </c>
      <c r="G86" s="34">
        <v>3.2</v>
      </c>
      <c r="H86" s="61">
        <f>F86*G86/1000</f>
        <v>58.997760000000007</v>
      </c>
      <c r="I86" s="13">
        <f>F86/12*G86</f>
        <v>4916.4800000000014</v>
      </c>
    </row>
    <row r="87" spans="1:9" ht="15.75" customHeight="1">
      <c r="A87" s="30"/>
      <c r="B87" s="36" t="s">
        <v>77</v>
      </c>
      <c r="C87" s="79"/>
      <c r="D87" s="78"/>
      <c r="E87" s="68"/>
      <c r="F87" s="68"/>
      <c r="G87" s="68"/>
      <c r="H87" s="80">
        <f>H86</f>
        <v>58.997760000000007</v>
      </c>
      <c r="I87" s="68">
        <f>I86+I85+I79+I78+I72+I62+I44+I41+I40+I39+I27+I18+I17+I16</f>
        <v>25426.396213</v>
      </c>
    </row>
    <row r="88" spans="1:9" ht="15.75" customHeight="1">
      <c r="A88" s="166" t="s">
        <v>59</v>
      </c>
      <c r="B88" s="167"/>
      <c r="C88" s="167"/>
      <c r="D88" s="167"/>
      <c r="E88" s="167"/>
      <c r="F88" s="167"/>
      <c r="G88" s="167"/>
      <c r="H88" s="167"/>
      <c r="I88" s="168"/>
    </row>
    <row r="89" spans="1:9" ht="37.5" customHeight="1">
      <c r="A89" s="145">
        <v>15</v>
      </c>
      <c r="B89" s="110" t="s">
        <v>202</v>
      </c>
      <c r="C89" s="111" t="s">
        <v>38</v>
      </c>
      <c r="D89" s="101"/>
      <c r="E89" s="34"/>
      <c r="F89" s="34">
        <v>0.01</v>
      </c>
      <c r="G89" s="34">
        <v>4070.89</v>
      </c>
      <c r="H89" s="133"/>
      <c r="I89" s="144">
        <f>G89*0.01</f>
        <v>40.7089</v>
      </c>
    </row>
    <row r="90" spans="1:9" ht="31.5" customHeight="1">
      <c r="A90" s="145">
        <v>16</v>
      </c>
      <c r="B90" s="110" t="s">
        <v>203</v>
      </c>
      <c r="C90" s="111" t="s">
        <v>103</v>
      </c>
      <c r="D90" s="101"/>
      <c r="E90" s="34"/>
      <c r="F90" s="34">
        <v>1</v>
      </c>
      <c r="G90" s="34">
        <v>94.76</v>
      </c>
      <c r="H90" s="133"/>
      <c r="I90" s="144">
        <f>G90*1</f>
        <v>94.76</v>
      </c>
    </row>
    <row r="91" spans="1:9" ht="15.75" customHeight="1">
      <c r="A91" s="30"/>
      <c r="B91" s="41" t="s">
        <v>51</v>
      </c>
      <c r="C91" s="37"/>
      <c r="D91" s="44"/>
      <c r="E91" s="37">
        <v>1</v>
      </c>
      <c r="F91" s="37"/>
      <c r="G91" s="37"/>
      <c r="H91" s="37"/>
      <c r="I91" s="32">
        <f>SUM(I89:I90)</f>
        <v>135.46890000000002</v>
      </c>
    </row>
    <row r="92" spans="1:9" ht="15.75" customHeight="1">
      <c r="A92" s="30"/>
      <c r="B92" s="43" t="s">
        <v>76</v>
      </c>
      <c r="C92" s="15"/>
      <c r="D92" s="15"/>
      <c r="E92" s="38"/>
      <c r="F92" s="38"/>
      <c r="G92" s="39"/>
      <c r="H92" s="39"/>
      <c r="I92" s="17">
        <v>0</v>
      </c>
    </row>
    <row r="93" spans="1:9">
      <c r="A93" s="45"/>
      <c r="B93" s="42" t="s">
        <v>153</v>
      </c>
      <c r="C93" s="33"/>
      <c r="D93" s="33"/>
      <c r="E93" s="33"/>
      <c r="F93" s="33"/>
      <c r="G93" s="33"/>
      <c r="H93" s="33"/>
      <c r="I93" s="40">
        <f>I87+I91</f>
        <v>25561.865113</v>
      </c>
    </row>
    <row r="94" spans="1:9" ht="15.75">
      <c r="A94" s="175" t="s">
        <v>204</v>
      </c>
      <c r="B94" s="175"/>
      <c r="C94" s="175"/>
      <c r="D94" s="175"/>
      <c r="E94" s="175"/>
      <c r="F94" s="175"/>
      <c r="G94" s="175"/>
      <c r="H94" s="175"/>
      <c r="I94" s="175"/>
    </row>
    <row r="95" spans="1:9" ht="15.75" customHeight="1">
      <c r="A95" s="54"/>
      <c r="B95" s="176" t="s">
        <v>205</v>
      </c>
      <c r="C95" s="176"/>
      <c r="D95" s="176"/>
      <c r="E95" s="176"/>
      <c r="F95" s="176"/>
      <c r="G95" s="176"/>
      <c r="H95" s="60"/>
      <c r="I95" s="3"/>
    </row>
    <row r="96" spans="1:9">
      <c r="A96" s="91"/>
      <c r="B96" s="171" t="s">
        <v>6</v>
      </c>
      <c r="C96" s="171"/>
      <c r="D96" s="171"/>
      <c r="E96" s="171"/>
      <c r="F96" s="171"/>
      <c r="G96" s="171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77" t="s">
        <v>7</v>
      </c>
      <c r="B98" s="177"/>
      <c r="C98" s="177"/>
      <c r="D98" s="177"/>
      <c r="E98" s="177"/>
      <c r="F98" s="177"/>
      <c r="G98" s="177"/>
      <c r="H98" s="177"/>
      <c r="I98" s="177"/>
    </row>
    <row r="99" spans="1:9" ht="15.75" customHeight="1">
      <c r="A99" s="177" t="s">
        <v>8</v>
      </c>
      <c r="B99" s="177"/>
      <c r="C99" s="177"/>
      <c r="D99" s="177"/>
      <c r="E99" s="177"/>
      <c r="F99" s="177"/>
      <c r="G99" s="177"/>
      <c r="H99" s="177"/>
      <c r="I99" s="177"/>
    </row>
    <row r="100" spans="1:9" ht="15.75">
      <c r="A100" s="178" t="s">
        <v>60</v>
      </c>
      <c r="B100" s="178"/>
      <c r="C100" s="178"/>
      <c r="D100" s="178"/>
      <c r="E100" s="178"/>
      <c r="F100" s="178"/>
      <c r="G100" s="178"/>
      <c r="H100" s="178"/>
      <c r="I100" s="178"/>
    </row>
    <row r="101" spans="1:9" ht="15.75">
      <c r="A101" s="11"/>
    </row>
    <row r="102" spans="1:9" ht="15.75">
      <c r="A102" s="169" t="s">
        <v>9</v>
      </c>
      <c r="B102" s="169"/>
      <c r="C102" s="169"/>
      <c r="D102" s="169"/>
      <c r="E102" s="169"/>
      <c r="F102" s="169"/>
      <c r="G102" s="169"/>
      <c r="H102" s="169"/>
      <c r="I102" s="169"/>
    </row>
    <row r="103" spans="1:9" ht="15.75">
      <c r="A103" s="4"/>
    </row>
    <row r="104" spans="1:9" ht="15.75">
      <c r="B104" s="88" t="s">
        <v>10</v>
      </c>
      <c r="C104" s="170" t="s">
        <v>133</v>
      </c>
      <c r="D104" s="170"/>
      <c r="E104" s="170"/>
      <c r="F104" s="58"/>
      <c r="I104" s="90"/>
    </row>
    <row r="105" spans="1:9">
      <c r="A105" s="91"/>
      <c r="C105" s="171" t="s">
        <v>11</v>
      </c>
      <c r="D105" s="171"/>
      <c r="E105" s="171"/>
      <c r="F105" s="25"/>
      <c r="I105" s="89" t="s">
        <v>12</v>
      </c>
    </row>
    <row r="106" spans="1:9" ht="15.75">
      <c r="A106" s="26"/>
      <c r="C106" s="12"/>
      <c r="D106" s="12"/>
      <c r="G106" s="12"/>
      <c r="H106" s="12"/>
    </row>
    <row r="107" spans="1:9" ht="15.75" customHeight="1">
      <c r="B107" s="88" t="s">
        <v>13</v>
      </c>
      <c r="C107" s="172"/>
      <c r="D107" s="172"/>
      <c r="E107" s="172"/>
      <c r="F107" s="59"/>
      <c r="I107" s="90"/>
    </row>
    <row r="108" spans="1:9" ht="15.75" customHeight="1">
      <c r="A108" s="91"/>
      <c r="C108" s="173" t="s">
        <v>11</v>
      </c>
      <c r="D108" s="173"/>
      <c r="E108" s="173"/>
      <c r="F108" s="91"/>
      <c r="I108" s="89" t="s">
        <v>12</v>
      </c>
    </row>
    <row r="109" spans="1:9" ht="15.75" customHeight="1">
      <c r="A109" s="4" t="s">
        <v>14</v>
      </c>
    </row>
    <row r="110" spans="1:9">
      <c r="A110" s="174" t="s">
        <v>15</v>
      </c>
      <c r="B110" s="174"/>
      <c r="C110" s="174"/>
      <c r="D110" s="174"/>
      <c r="E110" s="174"/>
      <c r="F110" s="174"/>
      <c r="G110" s="174"/>
      <c r="H110" s="174"/>
      <c r="I110" s="174"/>
    </row>
    <row r="111" spans="1:9" ht="45" customHeight="1">
      <c r="A111" s="165" t="s">
        <v>16</v>
      </c>
      <c r="B111" s="165"/>
      <c r="C111" s="165"/>
      <c r="D111" s="165"/>
      <c r="E111" s="165"/>
      <c r="F111" s="165"/>
      <c r="G111" s="165"/>
      <c r="H111" s="165"/>
      <c r="I111" s="165"/>
    </row>
    <row r="112" spans="1:9" ht="30" customHeight="1">
      <c r="A112" s="165" t="s">
        <v>17</v>
      </c>
      <c r="B112" s="165"/>
      <c r="C112" s="165"/>
      <c r="D112" s="165"/>
      <c r="E112" s="165"/>
      <c r="F112" s="165"/>
      <c r="G112" s="165"/>
      <c r="H112" s="165"/>
      <c r="I112" s="165"/>
    </row>
    <row r="113" spans="1:9" ht="30" customHeight="1">
      <c r="A113" s="165" t="s">
        <v>21</v>
      </c>
      <c r="B113" s="165"/>
      <c r="C113" s="165"/>
      <c r="D113" s="165"/>
      <c r="E113" s="165"/>
      <c r="F113" s="165"/>
      <c r="G113" s="165"/>
      <c r="H113" s="165"/>
      <c r="I113" s="165"/>
    </row>
    <row r="114" spans="1:9" ht="15" customHeight="1">
      <c r="A114" s="165" t="s">
        <v>20</v>
      </c>
      <c r="B114" s="165"/>
      <c r="C114" s="165"/>
      <c r="D114" s="165"/>
      <c r="E114" s="165"/>
      <c r="F114" s="165"/>
      <c r="G114" s="165"/>
      <c r="H114" s="165"/>
      <c r="I114" s="165"/>
    </row>
  </sheetData>
  <autoFilter ref="I12:I57"/>
  <mergeCells count="29">
    <mergeCell ref="A14:I14"/>
    <mergeCell ref="A15:I15"/>
    <mergeCell ref="A29:I29"/>
    <mergeCell ref="A45:I45"/>
    <mergeCell ref="A56:I56"/>
    <mergeCell ref="A3:I3"/>
    <mergeCell ref="A4:I4"/>
    <mergeCell ref="A5:I5"/>
    <mergeCell ref="A8:I8"/>
    <mergeCell ref="A10:I10"/>
    <mergeCell ref="R62:U62"/>
    <mergeCell ref="C108:E108"/>
    <mergeCell ref="A88:I8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4:I84"/>
    <mergeCell ref="A110:I110"/>
    <mergeCell ref="A111:I111"/>
    <mergeCell ref="A112:I112"/>
    <mergeCell ref="A113:I113"/>
    <mergeCell ref="A114:I114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57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B30" sqref="B30:I3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8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83" t="s">
        <v>144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132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206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43982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207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7" t="s">
        <v>149</v>
      </c>
      <c r="B10" s="187"/>
      <c r="C10" s="187"/>
      <c r="D10" s="187"/>
      <c r="E10" s="187"/>
      <c r="F10" s="187"/>
      <c r="G10" s="187"/>
      <c r="H10" s="187"/>
      <c r="I10" s="18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123" t="s">
        <v>80</v>
      </c>
      <c r="C16" s="124" t="s">
        <v>81</v>
      </c>
      <c r="D16" s="123" t="s">
        <v>165</v>
      </c>
      <c r="E16" s="128">
        <v>54.9</v>
      </c>
      <c r="F16" s="115">
        <f>SUM(E16*156/100)</f>
        <v>85.643999999999991</v>
      </c>
      <c r="G16" s="115">
        <v>261.45</v>
      </c>
      <c r="H16" s="135">
        <f t="shared" ref="H16:H18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23" t="s">
        <v>113</v>
      </c>
      <c r="C17" s="124" t="s">
        <v>81</v>
      </c>
      <c r="D17" s="123" t="s">
        <v>166</v>
      </c>
      <c r="E17" s="128">
        <v>109.8</v>
      </c>
      <c r="F17" s="115">
        <f>SUM(E17*104/100)</f>
        <v>114.19199999999999</v>
      </c>
      <c r="G17" s="115">
        <v>261.45</v>
      </c>
      <c r="H17" s="135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23" t="s">
        <v>114</v>
      </c>
      <c r="C18" s="124" t="s">
        <v>81</v>
      </c>
      <c r="D18" s="123" t="s">
        <v>211</v>
      </c>
      <c r="E18" s="128">
        <f>SUM(E16+E17)</f>
        <v>164.7</v>
      </c>
      <c r="F18" s="115">
        <f>SUM(E18*18/100)</f>
        <v>29.646000000000001</v>
      </c>
      <c r="G18" s="115">
        <v>752.16</v>
      </c>
      <c r="H18" s="135">
        <f t="shared" si="0"/>
        <v>22.298535359999999</v>
      </c>
      <c r="I18" s="34">
        <f>F18/18*2*G18</f>
        <v>2477.6150400000001</v>
      </c>
      <c r="J18" s="23"/>
      <c r="K18" s="8"/>
      <c r="L18" s="8"/>
      <c r="M18" s="8"/>
    </row>
    <row r="19" spans="1:13" ht="15.75" hidden="1" customHeight="1">
      <c r="A19" s="30">
        <v>4</v>
      </c>
      <c r="B19" s="62" t="s">
        <v>88</v>
      </c>
      <c r="C19" s="63" t="s">
        <v>89</v>
      </c>
      <c r="D19" s="62" t="s">
        <v>90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5</v>
      </c>
      <c r="B20" s="62" t="s">
        <v>91</v>
      </c>
      <c r="C20" s="63" t="s">
        <v>81</v>
      </c>
      <c r="D20" s="62" t="s">
        <v>42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1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6</v>
      </c>
      <c r="B21" s="62" t="s">
        <v>92</v>
      </c>
      <c r="C21" s="63" t="s">
        <v>81</v>
      </c>
      <c r="D21" s="62" t="s">
        <v>42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1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>
        <v>7</v>
      </c>
      <c r="B22" s="62" t="s">
        <v>93</v>
      </c>
      <c r="C22" s="63" t="s">
        <v>52</v>
      </c>
      <c r="D22" s="62" t="s">
        <v>90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>
        <v>8</v>
      </c>
      <c r="B23" s="62" t="s">
        <v>94</v>
      </c>
      <c r="C23" s="63" t="s">
        <v>52</v>
      </c>
      <c r="D23" s="62" t="s">
        <v>90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62" t="s">
        <v>95</v>
      </c>
      <c r="C24" s="63" t="s">
        <v>52</v>
      </c>
      <c r="D24" s="62" t="s">
        <v>96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>
        <v>10</v>
      </c>
      <c r="B25" s="62" t="s">
        <v>97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>
        <v>11</v>
      </c>
      <c r="B26" s="62" t="s">
        <v>98</v>
      </c>
      <c r="C26" s="63" t="s">
        <v>52</v>
      </c>
      <c r="D26" s="62" t="s">
        <v>90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123" t="s">
        <v>164</v>
      </c>
      <c r="C27" s="124" t="s">
        <v>25</v>
      </c>
      <c r="D27" s="123" t="s">
        <v>168</v>
      </c>
      <c r="E27" s="125">
        <v>2.91</v>
      </c>
      <c r="F27" s="115">
        <f>E27*258</f>
        <v>750.78000000000009</v>
      </c>
      <c r="G27" s="115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customHeight="1">
      <c r="A28" s="180" t="s">
        <v>150</v>
      </c>
      <c r="B28" s="181"/>
      <c r="C28" s="181"/>
      <c r="D28" s="181"/>
      <c r="E28" s="181"/>
      <c r="F28" s="181"/>
      <c r="G28" s="181"/>
      <c r="H28" s="181"/>
      <c r="I28" s="182"/>
      <c r="J28" s="24"/>
    </row>
    <row r="29" spans="1:13" ht="15.75" customHeight="1">
      <c r="A29" s="30"/>
      <c r="B29" s="82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customHeight="1">
      <c r="A30" s="30">
        <v>5</v>
      </c>
      <c r="B30" s="123" t="s">
        <v>101</v>
      </c>
      <c r="C30" s="124" t="s">
        <v>84</v>
      </c>
      <c r="D30" s="123" t="s">
        <v>171</v>
      </c>
      <c r="E30" s="115">
        <v>61.5</v>
      </c>
      <c r="F30" s="115">
        <f>SUM(E30*24/1000)</f>
        <v>1.476</v>
      </c>
      <c r="G30" s="115">
        <v>232.4</v>
      </c>
      <c r="H30" s="66">
        <f t="shared" ref="H30:H34" si="3">SUM(F30*G30/1000)</f>
        <v>0.34302240000000001</v>
      </c>
      <c r="I30" s="13">
        <f t="shared" ref="I30:I31" si="4">F30/6*G30</f>
        <v>57.170400000000001</v>
      </c>
      <c r="J30" s="23"/>
      <c r="K30" s="8"/>
      <c r="L30" s="8"/>
      <c r="M30" s="8"/>
    </row>
    <row r="31" spans="1:13" ht="31.5" customHeight="1">
      <c r="A31" s="30">
        <v>6</v>
      </c>
      <c r="B31" s="123" t="s">
        <v>100</v>
      </c>
      <c r="C31" s="124" t="s">
        <v>84</v>
      </c>
      <c r="D31" s="123" t="s">
        <v>195</v>
      </c>
      <c r="E31" s="115">
        <v>35.299999999999997</v>
      </c>
      <c r="F31" s="115">
        <f>SUM(E31*72/1000)</f>
        <v>2.5415999999999999</v>
      </c>
      <c r="G31" s="115">
        <v>385.6</v>
      </c>
      <c r="H31" s="66">
        <f t="shared" si="3"/>
        <v>0.98004096000000007</v>
      </c>
      <c r="I31" s="13">
        <f t="shared" si="4"/>
        <v>163.34016</v>
      </c>
      <c r="J31" s="23"/>
      <c r="K31" s="8"/>
      <c r="L31" s="8"/>
      <c r="M31" s="8"/>
    </row>
    <row r="32" spans="1:13" ht="15.75" customHeight="1">
      <c r="A32" s="30">
        <v>7</v>
      </c>
      <c r="B32" s="123" t="s">
        <v>27</v>
      </c>
      <c r="C32" s="124" t="s">
        <v>84</v>
      </c>
      <c r="D32" s="123" t="s">
        <v>161</v>
      </c>
      <c r="E32" s="115">
        <v>61.5</v>
      </c>
      <c r="F32" s="115">
        <f>SUM(E32/1000)</f>
        <v>6.1499999999999999E-2</v>
      </c>
      <c r="G32" s="115">
        <v>4502.97</v>
      </c>
      <c r="H32" s="66">
        <f t="shared" si="3"/>
        <v>0.27693265500000003</v>
      </c>
      <c r="I32" s="13">
        <f>F32*G32</f>
        <v>276.93265500000001</v>
      </c>
      <c r="J32" s="23"/>
      <c r="K32" s="8"/>
      <c r="L32" s="8"/>
      <c r="M32" s="8"/>
    </row>
    <row r="33" spans="1:14" ht="15.75" customHeight="1">
      <c r="A33" s="30">
        <v>8</v>
      </c>
      <c r="B33" s="121" t="s">
        <v>208</v>
      </c>
      <c r="C33" s="111" t="s">
        <v>209</v>
      </c>
      <c r="D33" s="123" t="s">
        <v>195</v>
      </c>
      <c r="E33" s="115">
        <v>4</v>
      </c>
      <c r="F33" s="115">
        <f>E33*72/100</f>
        <v>2.88</v>
      </c>
      <c r="G33" s="115">
        <v>1941.17</v>
      </c>
      <c r="H33" s="66">
        <f t="shared" si="3"/>
        <v>5.5905696000000002</v>
      </c>
      <c r="I33" s="13">
        <f>G33*F33/6</f>
        <v>931.76159999999993</v>
      </c>
      <c r="J33" s="24"/>
    </row>
    <row r="34" spans="1:14" ht="15.75" hidden="1" customHeight="1">
      <c r="A34" s="30"/>
      <c r="B34" s="62" t="s">
        <v>64</v>
      </c>
      <c r="C34" s="63" t="s">
        <v>31</v>
      </c>
      <c r="D34" s="62" t="s">
        <v>65</v>
      </c>
      <c r="E34" s="64"/>
      <c r="F34" s="65">
        <v>1</v>
      </c>
      <c r="G34" s="65">
        <v>1413.96</v>
      </c>
      <c r="H34" s="66">
        <f t="shared" si="3"/>
        <v>1.4139600000000001</v>
      </c>
      <c r="I34" s="13">
        <v>0</v>
      </c>
      <c r="J34" s="24"/>
    </row>
    <row r="35" spans="1:14" ht="15.75" hidden="1" customHeight="1">
      <c r="A35" s="30"/>
      <c r="B35" s="82" t="s">
        <v>5</v>
      </c>
      <c r="C35" s="63"/>
      <c r="D35" s="62"/>
      <c r="E35" s="64"/>
      <c r="F35" s="65"/>
      <c r="G35" s="65"/>
      <c r="H35" s="66" t="s">
        <v>115</v>
      </c>
      <c r="I35" s="13"/>
      <c r="J35" s="24"/>
      <c r="L35" s="19"/>
      <c r="M35" s="20"/>
      <c r="N35" s="21"/>
    </row>
    <row r="36" spans="1:14" ht="15.75" hidden="1" customHeight="1">
      <c r="A36" s="30">
        <v>6</v>
      </c>
      <c r="B36" s="62" t="s">
        <v>26</v>
      </c>
      <c r="C36" s="63" t="s">
        <v>31</v>
      </c>
      <c r="D36" s="62"/>
      <c r="E36" s="64"/>
      <c r="F36" s="65">
        <v>3</v>
      </c>
      <c r="G36" s="65">
        <v>1900.37</v>
      </c>
      <c r="H36" s="66">
        <f t="shared" ref="H36:H41" si="5">SUM(F36*G36/1000)</f>
        <v>5.7011099999999999</v>
      </c>
      <c r="I36" s="13">
        <f t="shared" ref="I36:I41" si="6">F36/6*G36</f>
        <v>950.18499999999995</v>
      </c>
      <c r="J36" s="24"/>
      <c r="L36" s="19"/>
      <c r="M36" s="20"/>
      <c r="N36" s="21"/>
    </row>
    <row r="37" spans="1:14" ht="31.5" hidden="1" customHeight="1">
      <c r="A37" s="30">
        <v>7</v>
      </c>
      <c r="B37" s="62" t="s">
        <v>116</v>
      </c>
      <c r="C37" s="63" t="s">
        <v>29</v>
      </c>
      <c r="D37" s="62" t="s">
        <v>82</v>
      </c>
      <c r="E37" s="64">
        <v>35.299999999999997</v>
      </c>
      <c r="F37" s="65">
        <f>E37*30/1000</f>
        <v>1.0589999999999999</v>
      </c>
      <c r="G37" s="65">
        <v>2616.4899999999998</v>
      </c>
      <c r="H37" s="66">
        <f t="shared" si="5"/>
        <v>2.77086291</v>
      </c>
      <c r="I37" s="13">
        <f t="shared" si="6"/>
        <v>461.81048499999991</v>
      </c>
      <c r="J37" s="24"/>
      <c r="L37" s="19"/>
      <c r="M37" s="20"/>
      <c r="N37" s="21"/>
    </row>
    <row r="38" spans="1:14" ht="15.75" hidden="1" customHeight="1">
      <c r="A38" s="30">
        <v>8</v>
      </c>
      <c r="B38" s="62" t="s">
        <v>117</v>
      </c>
      <c r="C38" s="63" t="s">
        <v>29</v>
      </c>
      <c r="D38" s="62" t="s">
        <v>83</v>
      </c>
      <c r="E38" s="64">
        <v>35.299999999999997</v>
      </c>
      <c r="F38" s="65">
        <f>SUM(E38*155/1000)</f>
        <v>5.4714999999999998</v>
      </c>
      <c r="G38" s="65">
        <v>436.45</v>
      </c>
      <c r="H38" s="66">
        <f t="shared" si="5"/>
        <v>2.3880361749999999</v>
      </c>
      <c r="I38" s="13">
        <f t="shared" si="6"/>
        <v>398.00602916666662</v>
      </c>
      <c r="J38" s="24"/>
      <c r="L38" s="19"/>
      <c r="M38" s="20"/>
      <c r="N38" s="21"/>
    </row>
    <row r="39" spans="1:14" ht="47.25" hidden="1" customHeight="1">
      <c r="A39" s="30">
        <v>9</v>
      </c>
      <c r="B39" s="62" t="s">
        <v>118</v>
      </c>
      <c r="C39" s="63" t="s">
        <v>84</v>
      </c>
      <c r="D39" s="62" t="s">
        <v>119</v>
      </c>
      <c r="E39" s="64">
        <v>35.299999999999997</v>
      </c>
      <c r="F39" s="65">
        <f>SUM(E39*24/1000)</f>
        <v>0.84719999999999995</v>
      </c>
      <c r="G39" s="65">
        <v>7221.21</v>
      </c>
      <c r="H39" s="66">
        <f t="shared" si="5"/>
        <v>6.1178091119999998</v>
      </c>
      <c r="I39" s="13">
        <f t="shared" si="6"/>
        <v>1019.6348519999999</v>
      </c>
      <c r="J39" s="24"/>
      <c r="L39" s="19"/>
      <c r="M39" s="20"/>
      <c r="N39" s="21"/>
    </row>
    <row r="40" spans="1:14" ht="15.75" hidden="1" customHeight="1">
      <c r="A40" s="30">
        <v>10</v>
      </c>
      <c r="B40" s="62" t="s">
        <v>120</v>
      </c>
      <c r="C40" s="63" t="s">
        <v>84</v>
      </c>
      <c r="D40" s="62" t="s">
        <v>66</v>
      </c>
      <c r="E40" s="64">
        <v>35.299999999999997</v>
      </c>
      <c r="F40" s="65">
        <f>SUM(E40*45/1000)</f>
        <v>1.5884999999999998</v>
      </c>
      <c r="G40" s="65">
        <v>533.45000000000005</v>
      </c>
      <c r="H40" s="66">
        <f t="shared" si="5"/>
        <v>0.84738532499999997</v>
      </c>
      <c r="I40" s="13">
        <f t="shared" si="6"/>
        <v>141.23088749999999</v>
      </c>
      <c r="J40" s="24"/>
      <c r="L40" s="19"/>
      <c r="M40" s="20"/>
      <c r="N40" s="21"/>
    </row>
    <row r="41" spans="1:14" ht="15.75" hidden="1" customHeight="1">
      <c r="A41" s="30">
        <v>11</v>
      </c>
      <c r="B41" s="62" t="s">
        <v>67</v>
      </c>
      <c r="C41" s="63" t="s">
        <v>32</v>
      </c>
      <c r="D41" s="62"/>
      <c r="E41" s="64"/>
      <c r="F41" s="65">
        <v>0.3</v>
      </c>
      <c r="G41" s="65">
        <v>992.97</v>
      </c>
      <c r="H41" s="66">
        <f t="shared" si="5"/>
        <v>0.29789100000000002</v>
      </c>
      <c r="I41" s="13">
        <f t="shared" si="6"/>
        <v>49.648499999999999</v>
      </c>
      <c r="J41" s="24"/>
      <c r="L41" s="19"/>
      <c r="M41" s="20"/>
      <c r="N41" s="21"/>
    </row>
    <row r="42" spans="1:14" ht="15.75" customHeight="1">
      <c r="A42" s="180" t="s">
        <v>135</v>
      </c>
      <c r="B42" s="181"/>
      <c r="C42" s="181"/>
      <c r="D42" s="181"/>
      <c r="E42" s="181"/>
      <c r="F42" s="181"/>
      <c r="G42" s="181"/>
      <c r="H42" s="181"/>
      <c r="I42" s="182"/>
      <c r="J42" s="24"/>
      <c r="L42" s="19"/>
      <c r="M42" s="20"/>
      <c r="N42" s="21"/>
    </row>
    <row r="43" spans="1:14" ht="15.75" customHeight="1">
      <c r="A43" s="30">
        <v>9</v>
      </c>
      <c r="B43" s="123" t="s">
        <v>102</v>
      </c>
      <c r="C43" s="124" t="s">
        <v>84</v>
      </c>
      <c r="D43" s="123" t="s">
        <v>161</v>
      </c>
      <c r="E43" s="128">
        <v>907.4</v>
      </c>
      <c r="F43" s="115">
        <f>SUM(E43*2/1000)</f>
        <v>1.8148</v>
      </c>
      <c r="G43" s="34">
        <v>1207.24</v>
      </c>
      <c r="H43" s="66">
        <f t="shared" ref="H43:H52" si="7">SUM(F43*G43/1000)</f>
        <v>2.1908991520000001</v>
      </c>
      <c r="I43" s="13">
        <f>F43/2*G43</f>
        <v>1095.449576</v>
      </c>
      <c r="J43" s="24"/>
      <c r="L43" s="19"/>
      <c r="M43" s="20"/>
      <c r="N43" s="21"/>
    </row>
    <row r="44" spans="1:14" ht="15.75" customHeight="1">
      <c r="A44" s="30">
        <v>10</v>
      </c>
      <c r="B44" s="123" t="s">
        <v>35</v>
      </c>
      <c r="C44" s="124" t="s">
        <v>84</v>
      </c>
      <c r="D44" s="123" t="s">
        <v>161</v>
      </c>
      <c r="E44" s="128">
        <v>27</v>
      </c>
      <c r="F44" s="115">
        <f>SUM(E44*2/1000)</f>
        <v>5.3999999999999999E-2</v>
      </c>
      <c r="G44" s="34">
        <v>863.92</v>
      </c>
      <c r="H44" s="66">
        <f t="shared" si="7"/>
        <v>4.6651680000000001E-2</v>
      </c>
      <c r="I44" s="13">
        <f t="shared" ref="I44:I51" si="8">F44/2*G44</f>
        <v>23.325839999999999</v>
      </c>
      <c r="J44" s="24"/>
      <c r="L44" s="19"/>
      <c r="M44" s="20"/>
      <c r="N44" s="21"/>
    </row>
    <row r="45" spans="1:14" ht="15.75" customHeight="1">
      <c r="A45" s="30">
        <v>11</v>
      </c>
      <c r="B45" s="123" t="s">
        <v>36</v>
      </c>
      <c r="C45" s="124" t="s">
        <v>84</v>
      </c>
      <c r="D45" s="123" t="s">
        <v>161</v>
      </c>
      <c r="E45" s="128">
        <v>772</v>
      </c>
      <c r="F45" s="115">
        <f>SUM(E45*2/1000)</f>
        <v>1.544</v>
      </c>
      <c r="G45" s="34">
        <v>863.92</v>
      </c>
      <c r="H45" s="66">
        <f t="shared" si="7"/>
        <v>1.33389248</v>
      </c>
      <c r="I45" s="13">
        <f t="shared" si="8"/>
        <v>666.94623999999999</v>
      </c>
      <c r="J45" s="24"/>
      <c r="L45" s="19"/>
      <c r="M45" s="20"/>
      <c r="N45" s="21"/>
    </row>
    <row r="46" spans="1:14" ht="15.75" customHeight="1">
      <c r="A46" s="30">
        <v>12</v>
      </c>
      <c r="B46" s="123" t="s">
        <v>37</v>
      </c>
      <c r="C46" s="124" t="s">
        <v>84</v>
      </c>
      <c r="D46" s="123" t="s">
        <v>161</v>
      </c>
      <c r="E46" s="128">
        <v>959.4</v>
      </c>
      <c r="F46" s="115">
        <f>SUM(E46*2/1000)</f>
        <v>1.9188000000000001</v>
      </c>
      <c r="G46" s="34">
        <v>904.65</v>
      </c>
      <c r="H46" s="66">
        <f t="shared" si="7"/>
        <v>1.73584242</v>
      </c>
      <c r="I46" s="13">
        <f t="shared" si="8"/>
        <v>867.92120999999997</v>
      </c>
      <c r="J46" s="24"/>
      <c r="L46" s="19"/>
      <c r="M46" s="20"/>
      <c r="N46" s="21"/>
    </row>
    <row r="47" spans="1:14" ht="15.75" customHeight="1">
      <c r="A47" s="30">
        <v>13</v>
      </c>
      <c r="B47" s="123" t="s">
        <v>33</v>
      </c>
      <c r="C47" s="124" t="s">
        <v>34</v>
      </c>
      <c r="D47" s="123" t="s">
        <v>161</v>
      </c>
      <c r="E47" s="128">
        <v>66.02</v>
      </c>
      <c r="F47" s="115">
        <f>SUM(E47*2/100)</f>
        <v>1.3204</v>
      </c>
      <c r="G47" s="34">
        <v>108.55</v>
      </c>
      <c r="H47" s="66">
        <f t="shared" si="7"/>
        <v>0.14332941999999999</v>
      </c>
      <c r="I47" s="13">
        <f t="shared" si="8"/>
        <v>71.664709999999999</v>
      </c>
      <c r="J47" s="24"/>
      <c r="L47" s="19"/>
      <c r="M47" s="20"/>
      <c r="N47" s="21"/>
    </row>
    <row r="48" spans="1:14" ht="14.25" customHeight="1">
      <c r="A48" s="30">
        <v>14</v>
      </c>
      <c r="B48" s="123" t="s">
        <v>55</v>
      </c>
      <c r="C48" s="124" t="s">
        <v>84</v>
      </c>
      <c r="D48" s="123" t="s">
        <v>161</v>
      </c>
      <c r="E48" s="128">
        <v>702.5</v>
      </c>
      <c r="F48" s="115">
        <f>SUM(E48*5/1000)</f>
        <v>3.5125000000000002</v>
      </c>
      <c r="G48" s="34">
        <v>1809.27</v>
      </c>
      <c r="H48" s="66">
        <f t="shared" si="7"/>
        <v>6.3550608750000004</v>
      </c>
      <c r="I48" s="13">
        <f>F48/5*G48</f>
        <v>1271.0121750000001</v>
      </c>
      <c r="J48" s="24"/>
      <c r="L48" s="19"/>
      <c r="M48" s="20"/>
      <c r="N48" s="21"/>
    </row>
    <row r="49" spans="1:22" ht="28.5" customHeight="1">
      <c r="A49" s="30">
        <v>15</v>
      </c>
      <c r="B49" s="123" t="s">
        <v>85</v>
      </c>
      <c r="C49" s="124" t="s">
        <v>84</v>
      </c>
      <c r="D49" s="123" t="s">
        <v>161</v>
      </c>
      <c r="E49" s="128">
        <v>702.5</v>
      </c>
      <c r="F49" s="115">
        <f>SUM(E49*2/1000)</f>
        <v>1.405</v>
      </c>
      <c r="G49" s="34">
        <v>1809.27</v>
      </c>
      <c r="H49" s="66">
        <f t="shared" si="7"/>
        <v>2.5420243500000002</v>
      </c>
      <c r="I49" s="13">
        <f t="shared" si="8"/>
        <v>1271.0121750000001</v>
      </c>
      <c r="J49" s="24"/>
      <c r="L49" s="19"/>
      <c r="M49" s="20"/>
      <c r="N49" s="21"/>
    </row>
    <row r="50" spans="1:22" ht="28.5" customHeight="1">
      <c r="A50" s="30">
        <v>16</v>
      </c>
      <c r="B50" s="123" t="s">
        <v>86</v>
      </c>
      <c r="C50" s="124" t="s">
        <v>38</v>
      </c>
      <c r="D50" s="123" t="s">
        <v>161</v>
      </c>
      <c r="E50" s="128">
        <v>9</v>
      </c>
      <c r="F50" s="115">
        <f>SUM(E50*2/100)</f>
        <v>0.18</v>
      </c>
      <c r="G50" s="34">
        <v>4070.89</v>
      </c>
      <c r="H50" s="66">
        <f t="shared" si="7"/>
        <v>0.73276019999999997</v>
      </c>
      <c r="I50" s="13">
        <f t="shared" si="8"/>
        <v>366.38009999999997</v>
      </c>
      <c r="J50" s="24"/>
      <c r="L50" s="19"/>
      <c r="M50" s="20"/>
      <c r="N50" s="21"/>
    </row>
    <row r="51" spans="1:22" ht="17.25" customHeight="1">
      <c r="A51" s="30">
        <v>17</v>
      </c>
      <c r="B51" s="123" t="s">
        <v>39</v>
      </c>
      <c r="C51" s="124" t="s">
        <v>40</v>
      </c>
      <c r="D51" s="123" t="s">
        <v>161</v>
      </c>
      <c r="E51" s="128">
        <v>1</v>
      </c>
      <c r="F51" s="115">
        <v>0.02</v>
      </c>
      <c r="G51" s="34">
        <v>8426.7199999999993</v>
      </c>
      <c r="H51" s="66">
        <f t="shared" si="7"/>
        <v>0.16853439999999997</v>
      </c>
      <c r="I51" s="13">
        <f t="shared" si="8"/>
        <v>84.267199999999988</v>
      </c>
      <c r="J51" s="24"/>
      <c r="L51" s="19"/>
      <c r="M51" s="20"/>
      <c r="N51" s="21"/>
    </row>
    <row r="52" spans="1:22" ht="15.75" customHeight="1">
      <c r="A52" s="30">
        <v>18</v>
      </c>
      <c r="B52" s="123" t="s">
        <v>41</v>
      </c>
      <c r="C52" s="124" t="s">
        <v>103</v>
      </c>
      <c r="D52" s="127">
        <v>43969</v>
      </c>
      <c r="E52" s="128">
        <v>53</v>
      </c>
      <c r="F52" s="115">
        <v>53</v>
      </c>
      <c r="G52" s="129">
        <v>97.93</v>
      </c>
      <c r="H52" s="66">
        <f t="shared" si="7"/>
        <v>5.1902900000000001</v>
      </c>
      <c r="I52" s="13">
        <f>G52*F52/3</f>
        <v>1730.0966666666666</v>
      </c>
      <c r="J52" s="24"/>
      <c r="L52" s="19"/>
    </row>
    <row r="53" spans="1:22" ht="15.75" customHeight="1">
      <c r="A53" s="180" t="s">
        <v>136</v>
      </c>
      <c r="B53" s="181"/>
      <c r="C53" s="181"/>
      <c r="D53" s="181"/>
      <c r="E53" s="181"/>
      <c r="F53" s="181"/>
      <c r="G53" s="181"/>
      <c r="H53" s="181"/>
      <c r="I53" s="182"/>
    </row>
    <row r="54" spans="1:22" ht="16.5" hidden="1" customHeight="1">
      <c r="A54" s="30"/>
      <c r="B54" s="82" t="s">
        <v>43</v>
      </c>
      <c r="C54" s="63"/>
      <c r="D54" s="62"/>
      <c r="E54" s="64"/>
      <c r="F54" s="65"/>
      <c r="G54" s="65"/>
      <c r="H54" s="66"/>
      <c r="I54" s="13"/>
    </row>
    <row r="55" spans="1:22" ht="18.75" hidden="1" customHeight="1">
      <c r="A55" s="30">
        <v>15</v>
      </c>
      <c r="B55" s="62" t="s">
        <v>104</v>
      </c>
      <c r="C55" s="63" t="s">
        <v>81</v>
      </c>
      <c r="D55" s="62" t="s">
        <v>105</v>
      </c>
      <c r="E55" s="64">
        <v>11.5</v>
      </c>
      <c r="F55" s="65">
        <f>SUM(E55*6/100)</f>
        <v>0.69</v>
      </c>
      <c r="G55" s="13">
        <v>2306.62</v>
      </c>
      <c r="H55" s="66">
        <f>SUM(F55*G55/1000)</f>
        <v>1.5915677999999998</v>
      </c>
      <c r="I55" s="13">
        <f>F55/6*G55</f>
        <v>265.26129999999995</v>
      </c>
    </row>
    <row r="56" spans="1:22" ht="15.75" hidden="1" customHeight="1">
      <c r="A56" s="30">
        <v>26</v>
      </c>
      <c r="B56" s="62" t="s">
        <v>121</v>
      </c>
      <c r="C56" s="63" t="s">
        <v>122</v>
      </c>
      <c r="D56" s="62" t="s">
        <v>65</v>
      </c>
      <c r="E56" s="64"/>
      <c r="F56" s="65">
        <v>2</v>
      </c>
      <c r="G56" s="85">
        <v>1501</v>
      </c>
      <c r="H56" s="66">
        <f>SUM(F56*G56/1000)</f>
        <v>3.0019999999999998</v>
      </c>
      <c r="I56" s="13">
        <f>G56*1</f>
        <v>1501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9"/>
    </row>
    <row r="57" spans="1:22" ht="15.75" customHeight="1">
      <c r="A57" s="30"/>
      <c r="B57" s="82" t="s">
        <v>44</v>
      </c>
      <c r="C57" s="63"/>
      <c r="D57" s="62"/>
      <c r="E57" s="64"/>
      <c r="F57" s="65"/>
      <c r="G57" s="86"/>
      <c r="H57" s="66"/>
      <c r="I57" s="13"/>
      <c r="J57" s="26"/>
      <c r="K57" s="26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2" ht="15.75" hidden="1" customHeight="1">
      <c r="A58" s="30"/>
      <c r="B58" s="62" t="s">
        <v>106</v>
      </c>
      <c r="C58" s="63" t="s">
        <v>81</v>
      </c>
      <c r="D58" s="62" t="s">
        <v>53</v>
      </c>
      <c r="E58" s="64">
        <v>148</v>
      </c>
      <c r="F58" s="66">
        <f>E58/100</f>
        <v>1.48</v>
      </c>
      <c r="G58" s="13">
        <v>987.51</v>
      </c>
      <c r="H58" s="71">
        <f>F58*G58/1000</f>
        <v>1.4615148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S58" s="3"/>
      <c r="T58" s="3"/>
      <c r="U58" s="3"/>
    </row>
    <row r="59" spans="1:22" ht="15.75" customHeight="1">
      <c r="A59" s="30">
        <v>19</v>
      </c>
      <c r="B59" s="73" t="s">
        <v>131</v>
      </c>
      <c r="C59" s="72" t="s">
        <v>25</v>
      </c>
      <c r="D59" s="73" t="s">
        <v>161</v>
      </c>
      <c r="E59" s="74">
        <v>140.5</v>
      </c>
      <c r="F59" s="65">
        <f>E59*12</f>
        <v>1686</v>
      </c>
      <c r="G59" s="87">
        <v>1.4</v>
      </c>
      <c r="H59" s="71">
        <f>F59*G59/1000</f>
        <v>2.3603999999999998</v>
      </c>
      <c r="I59" s="13">
        <f>1320/12*G59</f>
        <v>154</v>
      </c>
      <c r="J59" s="5"/>
      <c r="K59" s="5"/>
      <c r="L59" s="5"/>
      <c r="M59" s="5"/>
      <c r="N59" s="5"/>
      <c r="O59" s="5"/>
      <c r="P59" s="5"/>
      <c r="Q59" s="5"/>
      <c r="R59" s="173"/>
      <c r="S59" s="173"/>
      <c r="T59" s="173"/>
      <c r="U59" s="173"/>
    </row>
    <row r="60" spans="1:22" ht="15.75" hidden="1" customHeight="1">
      <c r="A60" s="30"/>
      <c r="B60" s="83" t="s">
        <v>45</v>
      </c>
      <c r="C60" s="72"/>
      <c r="D60" s="73"/>
      <c r="E60" s="74"/>
      <c r="F60" s="75"/>
      <c r="G60" s="75"/>
      <c r="H60" s="76" t="s">
        <v>115</v>
      </c>
      <c r="I60" s="1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2" ht="15.75" hidden="1" customHeight="1">
      <c r="A61" s="30">
        <v>16</v>
      </c>
      <c r="B61" s="14" t="s">
        <v>46</v>
      </c>
      <c r="C61" s="16" t="s">
        <v>103</v>
      </c>
      <c r="D61" s="14" t="s">
        <v>65</v>
      </c>
      <c r="E61" s="18">
        <v>2</v>
      </c>
      <c r="F61" s="65">
        <f>E61</f>
        <v>2</v>
      </c>
      <c r="G61" s="13">
        <v>276.74</v>
      </c>
      <c r="H61" s="61">
        <f t="shared" ref="H61:H79" si="9">SUM(F61*G61/1000)</f>
        <v>0.55347999999999997</v>
      </c>
      <c r="I61" s="13">
        <f>G61</f>
        <v>276.74</v>
      </c>
    </row>
    <row r="62" spans="1:22" ht="15.75" hidden="1" customHeight="1">
      <c r="A62" s="30"/>
      <c r="B62" s="14" t="s">
        <v>47</v>
      </c>
      <c r="C62" s="16" t="s">
        <v>103</v>
      </c>
      <c r="D62" s="14" t="s">
        <v>65</v>
      </c>
      <c r="E62" s="18">
        <v>1</v>
      </c>
      <c r="F62" s="65">
        <f>E62</f>
        <v>1</v>
      </c>
      <c r="G62" s="13">
        <v>94.89</v>
      </c>
      <c r="H62" s="61">
        <f t="shared" si="9"/>
        <v>9.4890000000000002E-2</v>
      </c>
      <c r="I62" s="13">
        <v>0</v>
      </c>
    </row>
    <row r="63" spans="1:22" ht="15.75" hidden="1" customHeight="1">
      <c r="A63" s="30">
        <v>29</v>
      </c>
      <c r="B63" s="14" t="s">
        <v>48</v>
      </c>
      <c r="C63" s="16" t="s">
        <v>107</v>
      </c>
      <c r="D63" s="14" t="s">
        <v>53</v>
      </c>
      <c r="E63" s="64">
        <v>6307</v>
      </c>
      <c r="F63" s="13">
        <f>SUM(E63/100)</f>
        <v>63.07</v>
      </c>
      <c r="G63" s="13">
        <v>263.99</v>
      </c>
      <c r="H63" s="61">
        <f t="shared" si="9"/>
        <v>16.649849300000003</v>
      </c>
      <c r="I63" s="13">
        <f>F63*G63</f>
        <v>16649.849300000002</v>
      </c>
    </row>
    <row r="64" spans="1:22" ht="15.75" hidden="1" customHeight="1">
      <c r="A64" s="30">
        <v>30</v>
      </c>
      <c r="B64" s="14" t="s">
        <v>49</v>
      </c>
      <c r="C64" s="16" t="s">
        <v>108</v>
      </c>
      <c r="D64" s="14"/>
      <c r="E64" s="64">
        <v>6307</v>
      </c>
      <c r="F64" s="13">
        <f>SUM(E64/1000)</f>
        <v>6.3070000000000004</v>
      </c>
      <c r="G64" s="13">
        <v>205.57</v>
      </c>
      <c r="H64" s="61">
        <f t="shared" si="9"/>
        <v>1.29652999</v>
      </c>
      <c r="I64" s="13">
        <f t="shared" ref="I64:I67" si="10">F64*G64</f>
        <v>1296.52999</v>
      </c>
    </row>
    <row r="65" spans="1:9" ht="15.75" hidden="1" customHeight="1">
      <c r="A65" s="30">
        <v>31</v>
      </c>
      <c r="B65" s="14" t="s">
        <v>50</v>
      </c>
      <c r="C65" s="16" t="s">
        <v>74</v>
      </c>
      <c r="D65" s="14" t="s">
        <v>53</v>
      </c>
      <c r="E65" s="64">
        <v>1003</v>
      </c>
      <c r="F65" s="13">
        <f>SUM(E65/100)</f>
        <v>10.029999999999999</v>
      </c>
      <c r="G65" s="13">
        <v>2581.5300000000002</v>
      </c>
      <c r="H65" s="61">
        <f t="shared" si="9"/>
        <v>25.892745900000001</v>
      </c>
      <c r="I65" s="13">
        <f t="shared" si="10"/>
        <v>25892.745900000002</v>
      </c>
    </row>
    <row r="66" spans="1:9" ht="15.75" hidden="1" customHeight="1">
      <c r="A66" s="30">
        <v>32</v>
      </c>
      <c r="B66" s="77" t="s">
        <v>109</v>
      </c>
      <c r="C66" s="16" t="s">
        <v>32</v>
      </c>
      <c r="D66" s="14"/>
      <c r="E66" s="64">
        <v>6.6</v>
      </c>
      <c r="F66" s="13">
        <f>SUM(E66)</f>
        <v>6.6</v>
      </c>
      <c r="G66" s="13">
        <v>47.75</v>
      </c>
      <c r="H66" s="61">
        <f t="shared" si="9"/>
        <v>0.31514999999999999</v>
      </c>
      <c r="I66" s="13">
        <f t="shared" si="10"/>
        <v>315.14999999999998</v>
      </c>
    </row>
    <row r="67" spans="1:9" ht="15.75" hidden="1" customHeight="1">
      <c r="A67" s="30">
        <v>33</v>
      </c>
      <c r="B67" s="77" t="s">
        <v>110</v>
      </c>
      <c r="C67" s="16" t="s">
        <v>32</v>
      </c>
      <c r="D67" s="14"/>
      <c r="E67" s="64">
        <v>6.6</v>
      </c>
      <c r="F67" s="13">
        <f>SUM(E67)</f>
        <v>6.6</v>
      </c>
      <c r="G67" s="13">
        <v>44.27</v>
      </c>
      <c r="H67" s="61">
        <f t="shared" si="9"/>
        <v>0.292182</v>
      </c>
      <c r="I67" s="13">
        <f t="shared" si="10"/>
        <v>292.18200000000002</v>
      </c>
    </row>
    <row r="68" spans="1:9" ht="9" hidden="1" customHeight="1">
      <c r="A68" s="30">
        <v>19</v>
      </c>
      <c r="B68" s="14" t="s">
        <v>56</v>
      </c>
      <c r="C68" s="16" t="s">
        <v>57</v>
      </c>
      <c r="D68" s="14" t="s">
        <v>53</v>
      </c>
      <c r="E68" s="18">
        <v>3</v>
      </c>
      <c r="F68" s="65">
        <v>3</v>
      </c>
      <c r="G68" s="13">
        <v>62.07</v>
      </c>
      <c r="H68" s="61">
        <f t="shared" si="9"/>
        <v>0.18621000000000001</v>
      </c>
      <c r="I68" s="13">
        <f>F68*G68</f>
        <v>186.21</v>
      </c>
    </row>
    <row r="69" spans="1:9" ht="22.5" customHeight="1">
      <c r="A69" s="30"/>
      <c r="B69" s="122" t="s">
        <v>163</v>
      </c>
      <c r="C69" s="16"/>
      <c r="D69" s="14"/>
      <c r="E69" s="18"/>
      <c r="F69" s="56"/>
      <c r="G69" s="13"/>
      <c r="H69" s="61"/>
      <c r="I69" s="13"/>
    </row>
    <row r="70" spans="1:9" ht="15.75" customHeight="1">
      <c r="A70" s="30">
        <v>20</v>
      </c>
      <c r="B70" s="139" t="s">
        <v>123</v>
      </c>
      <c r="C70" s="131" t="s">
        <v>124</v>
      </c>
      <c r="D70" s="139" t="s">
        <v>161</v>
      </c>
      <c r="E70" s="17">
        <v>1536.4</v>
      </c>
      <c r="F70" s="140">
        <f>E70*12</f>
        <v>18436.800000000003</v>
      </c>
      <c r="G70" s="34">
        <v>2.6</v>
      </c>
      <c r="H70" s="61">
        <f t="shared" ref="H70" si="11">SUM(F70*G70/1000)</f>
        <v>47.935680000000005</v>
      </c>
      <c r="I70" s="13">
        <f>F70/12*G70</f>
        <v>3994.6400000000008</v>
      </c>
    </row>
    <row r="71" spans="1:9" ht="15.75" customHeight="1">
      <c r="A71" s="30"/>
      <c r="B71" s="93" t="s">
        <v>69</v>
      </c>
      <c r="C71" s="16"/>
      <c r="D71" s="14"/>
      <c r="E71" s="18"/>
      <c r="F71" s="13"/>
      <c r="G71" s="13"/>
      <c r="H71" s="61" t="s">
        <v>115</v>
      </c>
      <c r="I71" s="13"/>
    </row>
    <row r="72" spans="1:9" ht="15.75" hidden="1" customHeight="1">
      <c r="A72" s="30"/>
      <c r="B72" s="14" t="s">
        <v>125</v>
      </c>
      <c r="C72" s="16" t="s">
        <v>126</v>
      </c>
      <c r="D72" s="14" t="s">
        <v>65</v>
      </c>
      <c r="E72" s="18">
        <v>1</v>
      </c>
      <c r="F72" s="13">
        <f>E72</f>
        <v>1</v>
      </c>
      <c r="G72" s="13">
        <v>976.4</v>
      </c>
      <c r="H72" s="61">
        <f t="shared" ref="H72:H73" si="12">SUM(F72*G72/1000)</f>
        <v>0.97639999999999993</v>
      </c>
      <c r="I72" s="13">
        <v>0</v>
      </c>
    </row>
    <row r="73" spans="1:9" ht="15.75" hidden="1" customHeight="1">
      <c r="A73" s="30"/>
      <c r="B73" s="14" t="s">
        <v>127</v>
      </c>
      <c r="C73" s="16" t="s">
        <v>128</v>
      </c>
      <c r="D73" s="14"/>
      <c r="E73" s="18">
        <v>1</v>
      </c>
      <c r="F73" s="13">
        <v>1</v>
      </c>
      <c r="G73" s="13">
        <v>650</v>
      </c>
      <c r="H73" s="61">
        <f t="shared" si="12"/>
        <v>0.65</v>
      </c>
      <c r="I73" s="13">
        <v>0</v>
      </c>
    </row>
    <row r="74" spans="1:9" ht="15.75" hidden="1" customHeight="1">
      <c r="A74" s="30"/>
      <c r="B74" s="14" t="s">
        <v>70</v>
      </c>
      <c r="C74" s="16" t="s">
        <v>72</v>
      </c>
      <c r="D74" s="14"/>
      <c r="E74" s="18">
        <v>3</v>
      </c>
      <c r="F74" s="13">
        <v>0.3</v>
      </c>
      <c r="G74" s="13">
        <v>624.16999999999996</v>
      </c>
      <c r="H74" s="61">
        <f t="shared" si="9"/>
        <v>0.18725099999999997</v>
      </c>
      <c r="I74" s="13">
        <v>0</v>
      </c>
    </row>
    <row r="75" spans="1:9" ht="15.75" hidden="1" customHeight="1">
      <c r="A75" s="30"/>
      <c r="B75" s="14" t="s">
        <v>71</v>
      </c>
      <c r="C75" s="16" t="s">
        <v>30</v>
      </c>
      <c r="D75" s="14"/>
      <c r="E75" s="18">
        <v>1</v>
      </c>
      <c r="F75" s="56">
        <v>1</v>
      </c>
      <c r="G75" s="13">
        <v>1061.4100000000001</v>
      </c>
      <c r="H75" s="61">
        <f>F75*G75/1000</f>
        <v>1.0614100000000002</v>
      </c>
      <c r="I75" s="13">
        <v>0</v>
      </c>
    </row>
    <row r="76" spans="1:9" ht="15.75" customHeight="1">
      <c r="A76" s="30">
        <v>21</v>
      </c>
      <c r="B76" s="46" t="s">
        <v>197</v>
      </c>
      <c r="C76" s="47" t="s">
        <v>103</v>
      </c>
      <c r="D76" s="139" t="s">
        <v>173</v>
      </c>
      <c r="E76" s="17">
        <v>2</v>
      </c>
      <c r="F76" s="34">
        <f>E76*12</f>
        <v>24</v>
      </c>
      <c r="G76" s="34">
        <v>420</v>
      </c>
      <c r="H76" s="61">
        <f>G76*F76/1000</f>
        <v>10.08</v>
      </c>
      <c r="I76" s="13">
        <f>G76*2</f>
        <v>840</v>
      </c>
    </row>
    <row r="77" spans="1:9" ht="15.75" customHeight="1">
      <c r="A77" s="30">
        <v>22</v>
      </c>
      <c r="B77" s="46" t="s">
        <v>198</v>
      </c>
      <c r="C77" s="47" t="s">
        <v>30</v>
      </c>
      <c r="D77" s="139" t="s">
        <v>173</v>
      </c>
      <c r="E77" s="17">
        <v>1</v>
      </c>
      <c r="F77" s="34">
        <f>E77*12</f>
        <v>12</v>
      </c>
      <c r="G77" s="34">
        <v>1829</v>
      </c>
      <c r="H77" s="61"/>
      <c r="I77" s="13">
        <f>G77*F77/12</f>
        <v>1829</v>
      </c>
    </row>
    <row r="78" spans="1:9" ht="15.75" hidden="1" customHeight="1">
      <c r="A78" s="30"/>
      <c r="B78" s="79" t="s">
        <v>73</v>
      </c>
      <c r="C78" s="16"/>
      <c r="D78" s="14"/>
      <c r="E78" s="18"/>
      <c r="F78" s="13"/>
      <c r="G78" s="13" t="s">
        <v>115</v>
      </c>
      <c r="H78" s="61" t="s">
        <v>115</v>
      </c>
      <c r="I78" s="13" t="str">
        <f>G78</f>
        <v xml:space="preserve"> </v>
      </c>
    </row>
    <row r="79" spans="1:9" ht="15.75" hidden="1" customHeight="1">
      <c r="A79" s="30"/>
      <c r="B79" s="43" t="s">
        <v>130</v>
      </c>
      <c r="C79" s="16" t="s">
        <v>74</v>
      </c>
      <c r="D79" s="14"/>
      <c r="E79" s="18"/>
      <c r="F79" s="13">
        <v>0.1</v>
      </c>
      <c r="G79" s="13">
        <v>3433.69</v>
      </c>
      <c r="H79" s="61">
        <f t="shared" si="9"/>
        <v>0.34336900000000004</v>
      </c>
      <c r="I79" s="13">
        <v>0</v>
      </c>
    </row>
    <row r="80" spans="1:9" ht="15.75" hidden="1" customHeight="1">
      <c r="A80" s="30"/>
      <c r="B80" s="55" t="s">
        <v>87</v>
      </c>
      <c r="C80" s="79"/>
      <c r="D80" s="31"/>
      <c r="E80" s="32"/>
      <c r="F80" s="68"/>
      <c r="G80" s="68"/>
      <c r="H80" s="80">
        <f>SUM(H55:H79)</f>
        <v>114.93062979000001</v>
      </c>
      <c r="I80" s="13"/>
    </row>
    <row r="81" spans="1:9" ht="15.75" hidden="1" customHeight="1">
      <c r="A81" s="30"/>
      <c r="B81" s="62" t="s">
        <v>111</v>
      </c>
      <c r="C81" s="16"/>
      <c r="D81" s="14"/>
      <c r="E81" s="57"/>
      <c r="F81" s="13">
        <v>1</v>
      </c>
      <c r="G81" s="35">
        <v>6105.8</v>
      </c>
      <c r="H81" s="61">
        <f>G81*F81/1000</f>
        <v>6.1058000000000003</v>
      </c>
      <c r="I81" s="13">
        <v>0</v>
      </c>
    </row>
    <row r="82" spans="1:9" ht="15.75" customHeight="1">
      <c r="A82" s="180" t="s">
        <v>137</v>
      </c>
      <c r="B82" s="181"/>
      <c r="C82" s="181"/>
      <c r="D82" s="181"/>
      <c r="E82" s="181"/>
      <c r="F82" s="181"/>
      <c r="G82" s="181"/>
      <c r="H82" s="181"/>
      <c r="I82" s="182"/>
    </row>
    <row r="83" spans="1:9" ht="15.75" customHeight="1">
      <c r="A83" s="30">
        <v>23</v>
      </c>
      <c r="B83" s="123" t="s">
        <v>112</v>
      </c>
      <c r="C83" s="130" t="s">
        <v>54</v>
      </c>
      <c r="D83" s="141"/>
      <c r="E83" s="34">
        <v>1536.4</v>
      </c>
      <c r="F83" s="34">
        <f>SUM(E83*12)</f>
        <v>18436.800000000003</v>
      </c>
      <c r="G83" s="34">
        <v>3.5</v>
      </c>
      <c r="H83" s="61">
        <f>SUM(F83*G83/1000)</f>
        <v>64.528800000000004</v>
      </c>
      <c r="I83" s="13">
        <f>F83/12*G83</f>
        <v>5377.4000000000015</v>
      </c>
    </row>
    <row r="84" spans="1:9" ht="31.5" customHeight="1">
      <c r="A84" s="30">
        <v>24</v>
      </c>
      <c r="B84" s="123" t="s">
        <v>199</v>
      </c>
      <c r="C84" s="130" t="s">
        <v>54</v>
      </c>
      <c r="D84" s="141"/>
      <c r="E84" s="34">
        <v>1536.4</v>
      </c>
      <c r="F84" s="34">
        <f>E84*12</f>
        <v>18436.800000000003</v>
      </c>
      <c r="G84" s="34">
        <v>3.2</v>
      </c>
      <c r="H84" s="61">
        <f>F84*G84/1000</f>
        <v>58.997760000000007</v>
      </c>
      <c r="I84" s="13">
        <f>F84/12*G84</f>
        <v>4916.4800000000014</v>
      </c>
    </row>
    <row r="85" spans="1:9" ht="15.75" customHeight="1">
      <c r="A85" s="30"/>
      <c r="B85" s="36" t="s">
        <v>77</v>
      </c>
      <c r="C85" s="79"/>
      <c r="D85" s="78"/>
      <c r="E85" s="68"/>
      <c r="F85" s="68"/>
      <c r="G85" s="68"/>
      <c r="H85" s="80">
        <f>H84</f>
        <v>58.997760000000007</v>
      </c>
      <c r="I85" s="68">
        <f>I84+I83+I77+I76+I70+I59++I52+I51+I50+I49+++I48+I47+I46+I45+I44+I43+I32+I31+I30+I27+I18+I17+I16+I33</f>
        <v>33496.670247666669</v>
      </c>
    </row>
    <row r="86" spans="1:9" ht="15.75" customHeight="1">
      <c r="A86" s="166" t="s">
        <v>59</v>
      </c>
      <c r="B86" s="167"/>
      <c r="C86" s="167"/>
      <c r="D86" s="167"/>
      <c r="E86" s="167"/>
      <c r="F86" s="167"/>
      <c r="G86" s="167"/>
      <c r="H86" s="167"/>
      <c r="I86" s="168"/>
    </row>
    <row r="87" spans="1:9" ht="32.25" customHeight="1">
      <c r="A87" s="145">
        <v>25</v>
      </c>
      <c r="B87" s="110" t="s">
        <v>202</v>
      </c>
      <c r="C87" s="111" t="s">
        <v>38</v>
      </c>
      <c r="D87" s="101"/>
      <c r="E87" s="34"/>
      <c r="F87" s="34">
        <v>0.02</v>
      </c>
      <c r="G87" s="34">
        <v>4070.89</v>
      </c>
      <c r="H87" s="143"/>
      <c r="I87" s="144">
        <f>G87*0.01</f>
        <v>40.7089</v>
      </c>
    </row>
    <row r="88" spans="1:9" ht="29.25" customHeight="1">
      <c r="A88" s="145">
        <v>26</v>
      </c>
      <c r="B88" s="110" t="s">
        <v>210</v>
      </c>
      <c r="C88" s="111" t="s">
        <v>174</v>
      </c>
      <c r="D88" s="101"/>
      <c r="E88" s="34"/>
      <c r="F88" s="34">
        <v>1</v>
      </c>
      <c r="G88" s="34">
        <v>7489.02</v>
      </c>
      <c r="H88" s="143"/>
      <c r="I88" s="144">
        <f>G88*1</f>
        <v>7489.02</v>
      </c>
    </row>
    <row r="89" spans="1:9" ht="15.75" customHeight="1">
      <c r="A89" s="30"/>
      <c r="B89" s="41" t="s">
        <v>51</v>
      </c>
      <c r="C89" s="37"/>
      <c r="D89" s="44"/>
      <c r="E89" s="37">
        <v>1</v>
      </c>
      <c r="F89" s="37"/>
      <c r="G89" s="37"/>
      <c r="H89" s="37"/>
      <c r="I89" s="32">
        <f>SUM(I87:I88)</f>
        <v>7529.7289000000001</v>
      </c>
    </row>
    <row r="90" spans="1:9" ht="15.75" customHeight="1">
      <c r="A90" s="30"/>
      <c r="B90" s="43" t="s">
        <v>76</v>
      </c>
      <c r="C90" s="15"/>
      <c r="D90" s="15"/>
      <c r="E90" s="38"/>
      <c r="F90" s="38"/>
      <c r="G90" s="39"/>
      <c r="H90" s="39"/>
      <c r="I90" s="17">
        <v>0</v>
      </c>
    </row>
    <row r="91" spans="1:9">
      <c r="A91" s="45"/>
      <c r="B91" s="42" t="s">
        <v>153</v>
      </c>
      <c r="C91" s="33"/>
      <c r="D91" s="33"/>
      <c r="E91" s="33"/>
      <c r="F91" s="33"/>
      <c r="G91" s="33"/>
      <c r="H91" s="33"/>
      <c r="I91" s="40">
        <f>I85+I89</f>
        <v>41026.399147666671</v>
      </c>
    </row>
    <row r="92" spans="1:9" ht="15.75">
      <c r="A92" s="175" t="s">
        <v>212</v>
      </c>
      <c r="B92" s="175"/>
      <c r="C92" s="175"/>
      <c r="D92" s="175"/>
      <c r="E92" s="175"/>
      <c r="F92" s="175"/>
      <c r="G92" s="175"/>
      <c r="H92" s="175"/>
      <c r="I92" s="175"/>
    </row>
    <row r="93" spans="1:9" ht="15.75" customHeight="1">
      <c r="A93" s="54"/>
      <c r="B93" s="176" t="s">
        <v>213</v>
      </c>
      <c r="C93" s="176"/>
      <c r="D93" s="176"/>
      <c r="E93" s="176"/>
      <c r="F93" s="176"/>
      <c r="G93" s="176"/>
      <c r="H93" s="60"/>
      <c r="I93" s="3"/>
    </row>
    <row r="94" spans="1:9">
      <c r="A94" s="91"/>
      <c r="B94" s="171" t="s">
        <v>6</v>
      </c>
      <c r="C94" s="171"/>
      <c r="D94" s="171"/>
      <c r="E94" s="171"/>
      <c r="F94" s="171"/>
      <c r="G94" s="171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77" t="s">
        <v>7</v>
      </c>
      <c r="B96" s="177"/>
      <c r="C96" s="177"/>
      <c r="D96" s="177"/>
      <c r="E96" s="177"/>
      <c r="F96" s="177"/>
      <c r="G96" s="177"/>
      <c r="H96" s="177"/>
      <c r="I96" s="177"/>
    </row>
    <row r="97" spans="1:9" ht="15.75" customHeight="1">
      <c r="A97" s="177" t="s">
        <v>8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>
      <c r="A98" s="178" t="s">
        <v>60</v>
      </c>
      <c r="B98" s="178"/>
      <c r="C98" s="178"/>
      <c r="D98" s="178"/>
      <c r="E98" s="178"/>
      <c r="F98" s="178"/>
      <c r="G98" s="178"/>
      <c r="H98" s="178"/>
      <c r="I98" s="178"/>
    </row>
    <row r="99" spans="1:9" ht="15.75">
      <c r="A99" s="11"/>
    </row>
    <row r="100" spans="1:9" ht="15.75">
      <c r="A100" s="169" t="s">
        <v>9</v>
      </c>
      <c r="B100" s="169"/>
      <c r="C100" s="169"/>
      <c r="D100" s="169"/>
      <c r="E100" s="169"/>
      <c r="F100" s="169"/>
      <c r="G100" s="169"/>
      <c r="H100" s="169"/>
      <c r="I100" s="169"/>
    </row>
    <row r="101" spans="1:9" ht="15.75">
      <c r="A101" s="4"/>
    </row>
    <row r="102" spans="1:9" ht="15.75">
      <c r="B102" s="88" t="s">
        <v>10</v>
      </c>
      <c r="C102" s="170" t="s">
        <v>133</v>
      </c>
      <c r="D102" s="170"/>
      <c r="E102" s="170"/>
      <c r="F102" s="58"/>
      <c r="I102" s="90"/>
    </row>
    <row r="103" spans="1:9">
      <c r="A103" s="91"/>
      <c r="C103" s="171" t="s">
        <v>11</v>
      </c>
      <c r="D103" s="171"/>
      <c r="E103" s="171"/>
      <c r="F103" s="25"/>
      <c r="I103" s="89" t="s">
        <v>12</v>
      </c>
    </row>
    <row r="104" spans="1:9" ht="15.75">
      <c r="A104" s="26"/>
      <c r="C104" s="12"/>
      <c r="D104" s="12"/>
      <c r="G104" s="12"/>
      <c r="H104" s="12"/>
    </row>
    <row r="105" spans="1:9" ht="15.75" customHeight="1">
      <c r="B105" s="88" t="s">
        <v>13</v>
      </c>
      <c r="C105" s="172"/>
      <c r="D105" s="172"/>
      <c r="E105" s="172"/>
      <c r="F105" s="59"/>
      <c r="I105" s="90"/>
    </row>
    <row r="106" spans="1:9" ht="15.75" customHeight="1">
      <c r="A106" s="91"/>
      <c r="C106" s="173" t="s">
        <v>11</v>
      </c>
      <c r="D106" s="173"/>
      <c r="E106" s="173"/>
      <c r="F106" s="91"/>
      <c r="I106" s="89" t="s">
        <v>12</v>
      </c>
    </row>
    <row r="107" spans="1:9" ht="15.75" customHeight="1">
      <c r="A107" s="4" t="s">
        <v>14</v>
      </c>
    </row>
    <row r="108" spans="1:9">
      <c r="A108" s="174" t="s">
        <v>15</v>
      </c>
      <c r="B108" s="174"/>
      <c r="C108" s="174"/>
      <c r="D108" s="174"/>
      <c r="E108" s="174"/>
      <c r="F108" s="174"/>
      <c r="G108" s="174"/>
      <c r="H108" s="174"/>
      <c r="I108" s="174"/>
    </row>
    <row r="109" spans="1:9" ht="45" customHeight="1">
      <c r="A109" s="165" t="s">
        <v>16</v>
      </c>
      <c r="B109" s="165"/>
      <c r="C109" s="165"/>
      <c r="D109" s="165"/>
      <c r="E109" s="165"/>
      <c r="F109" s="165"/>
      <c r="G109" s="165"/>
      <c r="H109" s="165"/>
      <c r="I109" s="165"/>
    </row>
    <row r="110" spans="1:9" ht="30" customHeight="1">
      <c r="A110" s="165" t="s">
        <v>17</v>
      </c>
      <c r="B110" s="165"/>
      <c r="C110" s="165"/>
      <c r="D110" s="165"/>
      <c r="E110" s="165"/>
      <c r="F110" s="165"/>
      <c r="G110" s="165"/>
      <c r="H110" s="165"/>
      <c r="I110" s="165"/>
    </row>
    <row r="111" spans="1:9" ht="30" customHeight="1">
      <c r="A111" s="165" t="s">
        <v>21</v>
      </c>
      <c r="B111" s="165"/>
      <c r="C111" s="165"/>
      <c r="D111" s="165"/>
      <c r="E111" s="165"/>
      <c r="F111" s="165"/>
      <c r="G111" s="165"/>
      <c r="H111" s="165"/>
      <c r="I111" s="165"/>
    </row>
    <row r="112" spans="1:9" ht="15" customHeight="1">
      <c r="A112" s="165" t="s">
        <v>20</v>
      </c>
      <c r="B112" s="165"/>
      <c r="C112" s="165"/>
      <c r="D112" s="165"/>
      <c r="E112" s="165"/>
      <c r="F112" s="165"/>
      <c r="G112" s="165"/>
      <c r="H112" s="165"/>
      <c r="I112" s="165"/>
    </row>
  </sheetData>
  <autoFilter ref="I12:I54"/>
  <mergeCells count="29">
    <mergeCell ref="A14:I14"/>
    <mergeCell ref="A15:I15"/>
    <mergeCell ref="A28:I28"/>
    <mergeCell ref="A42:I42"/>
    <mergeCell ref="A53:I53"/>
    <mergeCell ref="A3:I3"/>
    <mergeCell ref="A4:I4"/>
    <mergeCell ref="A5:I5"/>
    <mergeCell ref="A8:I8"/>
    <mergeCell ref="A10:I10"/>
    <mergeCell ref="R59:U59"/>
    <mergeCell ref="C106:E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2:I82"/>
    <mergeCell ref="A108:I108"/>
    <mergeCell ref="A109:I109"/>
    <mergeCell ref="A110:I110"/>
    <mergeCell ref="A111:I111"/>
    <mergeCell ref="A112:I112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rowBreaks count="1" manualBreakCount="1">
    <brk id="99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9"/>
  <sheetViews>
    <sheetView workbookViewId="0">
      <selection activeCell="B82" sqref="B82:I8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83" t="s">
        <v>145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132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214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44012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207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7" t="s">
        <v>149</v>
      </c>
      <c r="B10" s="187"/>
      <c r="C10" s="187"/>
      <c r="D10" s="187"/>
      <c r="E10" s="187"/>
      <c r="F10" s="187"/>
      <c r="G10" s="187"/>
      <c r="H10" s="187"/>
      <c r="I10" s="18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123" t="s">
        <v>80</v>
      </c>
      <c r="C16" s="124" t="s">
        <v>81</v>
      </c>
      <c r="D16" s="123" t="s">
        <v>165</v>
      </c>
      <c r="E16" s="128">
        <v>54.9</v>
      </c>
      <c r="F16" s="115">
        <f>SUM(E16*156/100)</f>
        <v>85.643999999999991</v>
      </c>
      <c r="G16" s="115">
        <v>261.45</v>
      </c>
      <c r="H16" s="135">
        <f t="shared" ref="H16:H18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23" t="s">
        <v>113</v>
      </c>
      <c r="C17" s="124" t="s">
        <v>81</v>
      </c>
      <c r="D17" s="123" t="s">
        <v>166</v>
      </c>
      <c r="E17" s="128">
        <v>109.8</v>
      </c>
      <c r="F17" s="115">
        <f>SUM(E17*104/100)</f>
        <v>114.19199999999999</v>
      </c>
      <c r="G17" s="115">
        <v>261.45</v>
      </c>
      <c r="H17" s="135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23" t="s">
        <v>114</v>
      </c>
      <c r="C18" s="124" t="s">
        <v>81</v>
      </c>
      <c r="D18" s="123" t="s">
        <v>211</v>
      </c>
      <c r="E18" s="128">
        <f>SUM(E16+E17)</f>
        <v>164.7</v>
      </c>
      <c r="F18" s="115">
        <f>SUM(E18*18/100)</f>
        <v>29.646000000000001</v>
      </c>
      <c r="G18" s="115">
        <v>752.16</v>
      </c>
      <c r="H18" s="135">
        <f t="shared" si="0"/>
        <v>22.298535359999999</v>
      </c>
      <c r="I18" s="34">
        <f>F18/18*2*G18</f>
        <v>2477.6150400000001</v>
      </c>
      <c r="J18" s="23"/>
      <c r="K18" s="8"/>
      <c r="L18" s="8"/>
      <c r="M18" s="8"/>
    </row>
    <row r="19" spans="1:13" ht="15.75" customHeight="1">
      <c r="A19" s="30">
        <v>4</v>
      </c>
      <c r="B19" s="123" t="s">
        <v>88</v>
      </c>
      <c r="C19" s="124" t="s">
        <v>89</v>
      </c>
      <c r="D19" s="123" t="s">
        <v>161</v>
      </c>
      <c r="E19" s="128">
        <v>21.6</v>
      </c>
      <c r="F19" s="115">
        <f>SUM(E19/10)</f>
        <v>2.16</v>
      </c>
      <c r="G19" s="115">
        <v>253.7</v>
      </c>
      <c r="H19" s="66">
        <f t="shared" ref="H19:H26" si="1">SUM(F19*G19/1000)</f>
        <v>0.54799199999999992</v>
      </c>
      <c r="I19" s="13">
        <f>F19*G19</f>
        <v>547.99199999999996</v>
      </c>
      <c r="J19" s="23"/>
      <c r="K19" s="8"/>
      <c r="L19" s="8"/>
      <c r="M19" s="8"/>
    </row>
    <row r="20" spans="1:13" ht="15.75" customHeight="1">
      <c r="A20" s="30">
        <v>5</v>
      </c>
      <c r="B20" s="123" t="s">
        <v>91</v>
      </c>
      <c r="C20" s="124" t="s">
        <v>81</v>
      </c>
      <c r="D20" s="123" t="s">
        <v>161</v>
      </c>
      <c r="E20" s="128">
        <v>9.18</v>
      </c>
      <c r="F20" s="115">
        <f>SUM(E20*2/100)</f>
        <v>0.18359999999999999</v>
      </c>
      <c r="G20" s="115">
        <v>324.83999999999997</v>
      </c>
      <c r="H20" s="66">
        <f t="shared" si="1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customHeight="1">
      <c r="A21" s="30">
        <v>6</v>
      </c>
      <c r="B21" s="123" t="s">
        <v>92</v>
      </c>
      <c r="C21" s="124" t="s">
        <v>81</v>
      </c>
      <c r="D21" s="123" t="s">
        <v>161</v>
      </c>
      <c r="E21" s="128">
        <v>8.1</v>
      </c>
      <c r="F21" s="115">
        <f>SUM(E21*2/100)</f>
        <v>0.16200000000000001</v>
      </c>
      <c r="G21" s="115">
        <v>322.20999999999998</v>
      </c>
      <c r="H21" s="66">
        <f t="shared" si="1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customHeight="1">
      <c r="A22" s="30">
        <v>7</v>
      </c>
      <c r="B22" s="123" t="s">
        <v>93</v>
      </c>
      <c r="C22" s="124" t="s">
        <v>52</v>
      </c>
      <c r="D22" s="123" t="s">
        <v>161</v>
      </c>
      <c r="E22" s="128">
        <v>220.32</v>
      </c>
      <c r="F22" s="115">
        <f>SUM(E22/100)</f>
        <v>2.2031999999999998</v>
      </c>
      <c r="G22" s="115">
        <v>401.44</v>
      </c>
      <c r="H22" s="66">
        <f t="shared" si="1"/>
        <v>0.88445260799999992</v>
      </c>
      <c r="I22" s="13">
        <f>F22*G22</f>
        <v>884.45260799999994</v>
      </c>
      <c r="J22" s="23"/>
      <c r="K22" s="8"/>
      <c r="L22" s="8"/>
      <c r="M22" s="8"/>
    </row>
    <row r="23" spans="1:13" ht="15.75" customHeight="1">
      <c r="A23" s="30">
        <v>8</v>
      </c>
      <c r="B23" s="123" t="s">
        <v>94</v>
      </c>
      <c r="C23" s="124" t="s">
        <v>52</v>
      </c>
      <c r="D23" s="123" t="s">
        <v>161</v>
      </c>
      <c r="E23" s="147">
        <v>17.64</v>
      </c>
      <c r="F23" s="115">
        <f>SUM(E23/100)</f>
        <v>0.1764</v>
      </c>
      <c r="G23" s="115">
        <v>66.03</v>
      </c>
      <c r="H23" s="66">
        <f t="shared" si="1"/>
        <v>1.1647692000000001E-2</v>
      </c>
      <c r="I23" s="13">
        <f t="shared" ref="I23:I26" si="2">F23*G23</f>
        <v>11.647692000000001</v>
      </c>
      <c r="J23" s="23"/>
      <c r="K23" s="8"/>
      <c r="L23" s="8"/>
      <c r="M23" s="8"/>
    </row>
    <row r="24" spans="1:13" ht="15.75" customHeight="1">
      <c r="A24" s="30">
        <v>9</v>
      </c>
      <c r="B24" s="123" t="s">
        <v>95</v>
      </c>
      <c r="C24" s="124" t="s">
        <v>52</v>
      </c>
      <c r="D24" s="123" t="s">
        <v>161</v>
      </c>
      <c r="E24" s="128">
        <v>7.2</v>
      </c>
      <c r="F24" s="115">
        <f>E24/100</f>
        <v>7.2000000000000008E-2</v>
      </c>
      <c r="G24" s="115">
        <v>581.02</v>
      </c>
      <c r="H24" s="66">
        <f t="shared" si="1"/>
        <v>4.1833440000000006E-2</v>
      </c>
      <c r="I24" s="13">
        <f t="shared" si="2"/>
        <v>41.833440000000003</v>
      </c>
      <c r="J24" s="23"/>
      <c r="K24" s="8"/>
      <c r="L24" s="8"/>
      <c r="M24" s="8"/>
    </row>
    <row r="25" spans="1:13" ht="15.75" customHeight="1">
      <c r="A25" s="30">
        <v>10</v>
      </c>
      <c r="B25" s="123" t="s">
        <v>97</v>
      </c>
      <c r="C25" s="124" t="s">
        <v>52</v>
      </c>
      <c r="D25" s="123" t="s">
        <v>161</v>
      </c>
      <c r="E25" s="128">
        <v>9.4499999999999993</v>
      </c>
      <c r="F25" s="115">
        <f>E25/100</f>
        <v>9.4499999999999987E-2</v>
      </c>
      <c r="G25" s="115">
        <v>322.20999999999998</v>
      </c>
      <c r="H25" s="66">
        <f t="shared" si="1"/>
        <v>3.0448844999999995E-2</v>
      </c>
      <c r="I25" s="13">
        <f t="shared" si="2"/>
        <v>30.448844999999995</v>
      </c>
      <c r="J25" s="23"/>
      <c r="K25" s="8"/>
      <c r="L25" s="8"/>
      <c r="M25" s="8"/>
    </row>
    <row r="26" spans="1:13" ht="15.75" customHeight="1">
      <c r="A26" s="30">
        <v>11</v>
      </c>
      <c r="B26" s="123" t="s">
        <v>98</v>
      </c>
      <c r="C26" s="124" t="s">
        <v>52</v>
      </c>
      <c r="D26" s="123" t="s">
        <v>161</v>
      </c>
      <c r="E26" s="128">
        <v>10.8</v>
      </c>
      <c r="F26" s="115">
        <f>SUM(E26/100)</f>
        <v>0.10800000000000001</v>
      </c>
      <c r="G26" s="115">
        <v>776.46</v>
      </c>
      <c r="H26" s="66">
        <f t="shared" si="1"/>
        <v>8.3857680000000018E-2</v>
      </c>
      <c r="I26" s="13">
        <f t="shared" si="2"/>
        <v>83.857680000000016</v>
      </c>
      <c r="J26" s="23"/>
      <c r="K26" s="8"/>
      <c r="L26" s="8"/>
      <c r="M26" s="8"/>
    </row>
    <row r="27" spans="1:13" ht="15.75" customHeight="1">
      <c r="A27" s="30">
        <v>12</v>
      </c>
      <c r="B27" s="123" t="s">
        <v>164</v>
      </c>
      <c r="C27" s="124" t="s">
        <v>25</v>
      </c>
      <c r="D27" s="123" t="s">
        <v>168</v>
      </c>
      <c r="E27" s="125">
        <v>2.91</v>
      </c>
      <c r="F27" s="115">
        <f>E27*258</f>
        <v>750.78000000000009</v>
      </c>
      <c r="G27" s="115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customHeight="1">
      <c r="A28" s="180" t="s">
        <v>150</v>
      </c>
      <c r="B28" s="181"/>
      <c r="C28" s="181"/>
      <c r="D28" s="181"/>
      <c r="E28" s="181"/>
      <c r="F28" s="181"/>
      <c r="G28" s="181"/>
      <c r="H28" s="181"/>
      <c r="I28" s="182"/>
      <c r="J28" s="24"/>
    </row>
    <row r="29" spans="1:13" ht="15.75" customHeight="1">
      <c r="A29" s="30"/>
      <c r="B29" s="82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customHeight="1">
      <c r="A30" s="30">
        <v>13</v>
      </c>
      <c r="B30" s="123" t="s">
        <v>101</v>
      </c>
      <c r="C30" s="124" t="s">
        <v>84</v>
      </c>
      <c r="D30" s="123" t="s">
        <v>171</v>
      </c>
      <c r="E30" s="115">
        <v>61.5</v>
      </c>
      <c r="F30" s="115">
        <f>SUM(E30*24/1000)</f>
        <v>1.476</v>
      </c>
      <c r="G30" s="115">
        <v>232.4</v>
      </c>
      <c r="H30" s="66">
        <f t="shared" ref="H30:H33" si="3">SUM(F30*G30/1000)</f>
        <v>0.34302240000000001</v>
      </c>
      <c r="I30" s="13">
        <f t="shared" ref="I30:I31" si="4">F30/6*G30</f>
        <v>57.170400000000001</v>
      </c>
      <c r="J30" s="23"/>
      <c r="K30" s="8"/>
      <c r="L30" s="8"/>
      <c r="M30" s="8"/>
    </row>
    <row r="31" spans="1:13" ht="31.5" customHeight="1">
      <c r="A31" s="30">
        <v>14</v>
      </c>
      <c r="B31" s="123" t="s">
        <v>100</v>
      </c>
      <c r="C31" s="124" t="s">
        <v>84</v>
      </c>
      <c r="D31" s="123" t="s">
        <v>195</v>
      </c>
      <c r="E31" s="115">
        <v>35.299999999999997</v>
      </c>
      <c r="F31" s="115">
        <f>SUM(E31*72/1000)</f>
        <v>2.5415999999999999</v>
      </c>
      <c r="G31" s="115">
        <v>385.6</v>
      </c>
      <c r="H31" s="66">
        <f t="shared" si="3"/>
        <v>0.98004096000000007</v>
      </c>
      <c r="I31" s="13">
        <f t="shared" si="4"/>
        <v>163.34016</v>
      </c>
      <c r="J31" s="23"/>
      <c r="K31" s="8"/>
      <c r="L31" s="8"/>
      <c r="M31" s="8"/>
    </row>
    <row r="32" spans="1:13" ht="15.75" hidden="1" customHeight="1">
      <c r="A32" s="30">
        <v>16</v>
      </c>
      <c r="B32" s="123" t="s">
        <v>27</v>
      </c>
      <c r="C32" s="124" t="s">
        <v>84</v>
      </c>
      <c r="D32" s="123" t="s">
        <v>161</v>
      </c>
      <c r="E32" s="115">
        <v>61.5</v>
      </c>
      <c r="F32" s="115">
        <f>SUM(E32/1000)</f>
        <v>6.1499999999999999E-2</v>
      </c>
      <c r="G32" s="115">
        <v>4502.97</v>
      </c>
      <c r="H32" s="66">
        <f t="shared" si="3"/>
        <v>0.27693265500000003</v>
      </c>
      <c r="I32" s="13">
        <f>F32*G32</f>
        <v>276.93265500000001</v>
      </c>
      <c r="J32" s="23"/>
      <c r="K32" s="8"/>
      <c r="L32" s="8"/>
      <c r="M32" s="8"/>
    </row>
    <row r="33" spans="1:14" ht="15.75" customHeight="1">
      <c r="A33" s="30">
        <v>15</v>
      </c>
      <c r="B33" s="121" t="s">
        <v>208</v>
      </c>
      <c r="C33" s="111" t="s">
        <v>209</v>
      </c>
      <c r="D33" s="123" t="s">
        <v>195</v>
      </c>
      <c r="E33" s="115">
        <v>4</v>
      </c>
      <c r="F33" s="115">
        <f>E33*72/100</f>
        <v>2.88</v>
      </c>
      <c r="G33" s="115">
        <v>1941.17</v>
      </c>
      <c r="H33" s="66">
        <f t="shared" si="3"/>
        <v>5.5905696000000002</v>
      </c>
      <c r="I33" s="13">
        <f>G33*F33/6</f>
        <v>931.76159999999993</v>
      </c>
      <c r="J33" s="24"/>
    </row>
    <row r="34" spans="1:14" ht="15.75" hidden="1" customHeight="1">
      <c r="A34" s="30"/>
      <c r="B34" s="82" t="s">
        <v>5</v>
      </c>
      <c r="C34" s="63"/>
      <c r="D34" s="62"/>
      <c r="E34" s="64"/>
      <c r="F34" s="65"/>
      <c r="G34" s="65"/>
      <c r="H34" s="66" t="s">
        <v>115</v>
      </c>
      <c r="I34" s="13"/>
      <c r="J34" s="24"/>
      <c r="L34" s="19"/>
      <c r="M34" s="20"/>
      <c r="N34" s="21"/>
    </row>
    <row r="35" spans="1:14" ht="15.75" hidden="1" customHeight="1">
      <c r="A35" s="30">
        <v>6</v>
      </c>
      <c r="B35" s="62" t="s">
        <v>26</v>
      </c>
      <c r="C35" s="63" t="s">
        <v>31</v>
      </c>
      <c r="D35" s="62"/>
      <c r="E35" s="64"/>
      <c r="F35" s="65">
        <v>3</v>
      </c>
      <c r="G35" s="65">
        <v>1900.37</v>
      </c>
      <c r="H35" s="66">
        <f t="shared" ref="H35:H40" si="5">SUM(F35*G35/1000)</f>
        <v>5.7011099999999999</v>
      </c>
      <c r="I35" s="13">
        <f t="shared" ref="I35:I40" si="6">F35/6*G35</f>
        <v>950.18499999999995</v>
      </c>
      <c r="J35" s="24"/>
      <c r="L35" s="19"/>
      <c r="M35" s="20"/>
      <c r="N35" s="21"/>
    </row>
    <row r="36" spans="1:14" ht="31.5" hidden="1" customHeight="1">
      <c r="A36" s="30">
        <v>7</v>
      </c>
      <c r="B36" s="62" t="s">
        <v>116</v>
      </c>
      <c r="C36" s="63" t="s">
        <v>29</v>
      </c>
      <c r="D36" s="62" t="s">
        <v>82</v>
      </c>
      <c r="E36" s="64">
        <v>35.299999999999997</v>
      </c>
      <c r="F36" s="65">
        <f>E36*30/1000</f>
        <v>1.0589999999999999</v>
      </c>
      <c r="G36" s="65">
        <v>2616.4899999999998</v>
      </c>
      <c r="H36" s="66">
        <f t="shared" si="5"/>
        <v>2.77086291</v>
      </c>
      <c r="I36" s="13">
        <f t="shared" si="6"/>
        <v>461.81048499999991</v>
      </c>
      <c r="J36" s="24"/>
      <c r="L36" s="19"/>
      <c r="M36" s="20"/>
      <c r="N36" s="21"/>
    </row>
    <row r="37" spans="1:14" ht="15.75" hidden="1" customHeight="1">
      <c r="A37" s="30">
        <v>8</v>
      </c>
      <c r="B37" s="62" t="s">
        <v>117</v>
      </c>
      <c r="C37" s="63" t="s">
        <v>29</v>
      </c>
      <c r="D37" s="62" t="s">
        <v>83</v>
      </c>
      <c r="E37" s="64">
        <v>35.299999999999997</v>
      </c>
      <c r="F37" s="65">
        <f>SUM(E37*155/1000)</f>
        <v>5.4714999999999998</v>
      </c>
      <c r="G37" s="65">
        <v>436.45</v>
      </c>
      <c r="H37" s="66">
        <f t="shared" si="5"/>
        <v>2.3880361749999999</v>
      </c>
      <c r="I37" s="13">
        <f t="shared" si="6"/>
        <v>398.00602916666662</v>
      </c>
      <c r="J37" s="24"/>
      <c r="L37" s="19"/>
      <c r="M37" s="20"/>
      <c r="N37" s="21"/>
    </row>
    <row r="38" spans="1:14" ht="47.25" hidden="1" customHeight="1">
      <c r="A38" s="30">
        <v>9</v>
      </c>
      <c r="B38" s="62" t="s">
        <v>118</v>
      </c>
      <c r="C38" s="63" t="s">
        <v>84</v>
      </c>
      <c r="D38" s="62" t="s">
        <v>119</v>
      </c>
      <c r="E38" s="64">
        <v>35.299999999999997</v>
      </c>
      <c r="F38" s="65">
        <f>SUM(E38*24/1000)</f>
        <v>0.84719999999999995</v>
      </c>
      <c r="G38" s="65">
        <v>7221.21</v>
      </c>
      <c r="H38" s="66">
        <f t="shared" si="5"/>
        <v>6.1178091119999998</v>
      </c>
      <c r="I38" s="13">
        <f t="shared" si="6"/>
        <v>1019.6348519999999</v>
      </c>
      <c r="J38" s="24"/>
      <c r="L38" s="19"/>
      <c r="M38" s="20"/>
      <c r="N38" s="21"/>
    </row>
    <row r="39" spans="1:14" ht="15.75" hidden="1" customHeight="1">
      <c r="A39" s="30">
        <v>10</v>
      </c>
      <c r="B39" s="62" t="s">
        <v>120</v>
      </c>
      <c r="C39" s="63" t="s">
        <v>84</v>
      </c>
      <c r="D39" s="62" t="s">
        <v>66</v>
      </c>
      <c r="E39" s="64">
        <v>35.299999999999997</v>
      </c>
      <c r="F39" s="65">
        <f>SUM(E39*45/1000)</f>
        <v>1.5884999999999998</v>
      </c>
      <c r="G39" s="65">
        <v>533.45000000000005</v>
      </c>
      <c r="H39" s="66">
        <f t="shared" si="5"/>
        <v>0.84738532499999997</v>
      </c>
      <c r="I39" s="13">
        <f t="shared" si="6"/>
        <v>141.23088749999999</v>
      </c>
      <c r="J39" s="24"/>
      <c r="L39" s="19"/>
      <c r="M39" s="20"/>
      <c r="N39" s="21"/>
    </row>
    <row r="40" spans="1:14" ht="15.75" hidden="1" customHeight="1">
      <c r="A40" s="30">
        <v>11</v>
      </c>
      <c r="B40" s="62" t="s">
        <v>67</v>
      </c>
      <c r="C40" s="63" t="s">
        <v>32</v>
      </c>
      <c r="D40" s="62"/>
      <c r="E40" s="64"/>
      <c r="F40" s="65">
        <v>0.3</v>
      </c>
      <c r="G40" s="65">
        <v>992.97</v>
      </c>
      <c r="H40" s="66">
        <f t="shared" si="5"/>
        <v>0.29789100000000002</v>
      </c>
      <c r="I40" s="13">
        <f t="shared" si="6"/>
        <v>49.648499999999999</v>
      </c>
      <c r="J40" s="24"/>
      <c r="L40" s="19"/>
      <c r="M40" s="20"/>
      <c r="N40" s="21"/>
    </row>
    <row r="41" spans="1:14" ht="15.75" hidden="1" customHeight="1">
      <c r="A41" s="180" t="s">
        <v>135</v>
      </c>
      <c r="B41" s="181"/>
      <c r="C41" s="181"/>
      <c r="D41" s="181"/>
      <c r="E41" s="181"/>
      <c r="F41" s="181"/>
      <c r="G41" s="181"/>
      <c r="H41" s="181"/>
      <c r="I41" s="182"/>
      <c r="J41" s="24"/>
      <c r="L41" s="19"/>
      <c r="M41" s="20"/>
      <c r="N41" s="21"/>
    </row>
    <row r="42" spans="1:14" ht="15.75" hidden="1" customHeight="1">
      <c r="A42" s="30">
        <v>18</v>
      </c>
      <c r="B42" s="62" t="s">
        <v>102</v>
      </c>
      <c r="C42" s="63" t="s">
        <v>84</v>
      </c>
      <c r="D42" s="62" t="s">
        <v>42</v>
      </c>
      <c r="E42" s="64">
        <v>907.4</v>
      </c>
      <c r="F42" s="65">
        <f>SUM(E42*2/1000)</f>
        <v>1.8148</v>
      </c>
      <c r="G42" s="13">
        <v>1283.46</v>
      </c>
      <c r="H42" s="66">
        <f t="shared" ref="H42:H51" si="7">SUM(F42*G42/1000)</f>
        <v>2.3292232079999997</v>
      </c>
      <c r="I42" s="13">
        <f>F42/2*G42</f>
        <v>1164.6116039999999</v>
      </c>
      <c r="J42" s="24"/>
      <c r="L42" s="19"/>
      <c r="M42" s="20"/>
      <c r="N42" s="21"/>
    </row>
    <row r="43" spans="1:14" ht="15.75" hidden="1" customHeight="1">
      <c r="A43" s="30">
        <v>19</v>
      </c>
      <c r="B43" s="62" t="s">
        <v>35</v>
      </c>
      <c r="C43" s="63" t="s">
        <v>84</v>
      </c>
      <c r="D43" s="62" t="s">
        <v>42</v>
      </c>
      <c r="E43" s="64">
        <v>27</v>
      </c>
      <c r="F43" s="65">
        <f>SUM(E43*2/1000)</f>
        <v>5.3999999999999999E-2</v>
      </c>
      <c r="G43" s="13">
        <v>4192.6400000000003</v>
      </c>
      <c r="H43" s="66">
        <f t="shared" si="7"/>
        <v>0.22640256000000003</v>
      </c>
      <c r="I43" s="13">
        <f t="shared" ref="I43:I50" si="8">F43/2*G43</f>
        <v>113.20128000000001</v>
      </c>
      <c r="J43" s="24"/>
      <c r="L43" s="19"/>
      <c r="M43" s="20"/>
      <c r="N43" s="21"/>
    </row>
    <row r="44" spans="1:14" ht="15.75" hidden="1" customHeight="1">
      <c r="A44" s="30">
        <v>20</v>
      </c>
      <c r="B44" s="62" t="s">
        <v>36</v>
      </c>
      <c r="C44" s="63" t="s">
        <v>84</v>
      </c>
      <c r="D44" s="62" t="s">
        <v>42</v>
      </c>
      <c r="E44" s="64">
        <v>772</v>
      </c>
      <c r="F44" s="65">
        <f>SUM(E44*2/1000)</f>
        <v>1.544</v>
      </c>
      <c r="G44" s="13">
        <v>1711.28</v>
      </c>
      <c r="H44" s="66">
        <f t="shared" si="7"/>
        <v>2.6422163200000002</v>
      </c>
      <c r="I44" s="13">
        <f t="shared" si="8"/>
        <v>1321.10816</v>
      </c>
      <c r="J44" s="24"/>
      <c r="L44" s="19"/>
      <c r="M44" s="20"/>
      <c r="N44" s="21"/>
    </row>
    <row r="45" spans="1:14" ht="15.75" hidden="1" customHeight="1">
      <c r="A45" s="30">
        <v>21</v>
      </c>
      <c r="B45" s="62" t="s">
        <v>37</v>
      </c>
      <c r="C45" s="63" t="s">
        <v>84</v>
      </c>
      <c r="D45" s="62" t="s">
        <v>42</v>
      </c>
      <c r="E45" s="64">
        <v>959.4</v>
      </c>
      <c r="F45" s="65">
        <f>SUM(E45*2/1000)</f>
        <v>1.9188000000000001</v>
      </c>
      <c r="G45" s="13">
        <v>1179.73</v>
      </c>
      <c r="H45" s="66">
        <f t="shared" si="7"/>
        <v>2.2636659240000001</v>
      </c>
      <c r="I45" s="13">
        <f t="shared" si="8"/>
        <v>1131.832962</v>
      </c>
      <c r="J45" s="24"/>
      <c r="L45" s="19"/>
      <c r="M45" s="20"/>
      <c r="N45" s="21"/>
    </row>
    <row r="46" spans="1:14" ht="15.75" hidden="1" customHeight="1">
      <c r="A46" s="30">
        <v>22</v>
      </c>
      <c r="B46" s="62" t="s">
        <v>33</v>
      </c>
      <c r="C46" s="63" t="s">
        <v>34</v>
      </c>
      <c r="D46" s="62" t="s">
        <v>42</v>
      </c>
      <c r="E46" s="64">
        <v>66.02</v>
      </c>
      <c r="F46" s="65">
        <f>SUM(E46*2/100)</f>
        <v>1.3204</v>
      </c>
      <c r="G46" s="13">
        <v>90.61</v>
      </c>
      <c r="H46" s="66">
        <f t="shared" si="7"/>
        <v>0.11964144400000001</v>
      </c>
      <c r="I46" s="13">
        <f t="shared" si="8"/>
        <v>59.820722000000004</v>
      </c>
      <c r="J46" s="24"/>
      <c r="L46" s="19"/>
      <c r="M46" s="20"/>
      <c r="N46" s="21"/>
    </row>
    <row r="47" spans="1:14" ht="15.75" hidden="1" customHeight="1">
      <c r="A47" s="30">
        <v>23</v>
      </c>
      <c r="B47" s="62" t="s">
        <v>55</v>
      </c>
      <c r="C47" s="63" t="s">
        <v>84</v>
      </c>
      <c r="D47" s="62" t="s">
        <v>134</v>
      </c>
      <c r="E47" s="64">
        <v>1536.4</v>
      </c>
      <c r="F47" s="65">
        <f>SUM(E47*5/1000)</f>
        <v>7.6820000000000004</v>
      </c>
      <c r="G47" s="13">
        <v>1711.28</v>
      </c>
      <c r="H47" s="66">
        <f t="shared" si="7"/>
        <v>13.14605296</v>
      </c>
      <c r="I47" s="13">
        <f>F47/5*G47</f>
        <v>2629.2105919999999</v>
      </c>
      <c r="J47" s="24"/>
      <c r="L47" s="19"/>
      <c r="M47" s="20"/>
      <c r="N47" s="21"/>
    </row>
    <row r="48" spans="1:14" ht="32.25" hidden="1" customHeight="1">
      <c r="A48" s="30">
        <v>12</v>
      </c>
      <c r="B48" s="62" t="s">
        <v>85</v>
      </c>
      <c r="C48" s="63" t="s">
        <v>84</v>
      </c>
      <c r="D48" s="62" t="s">
        <v>42</v>
      </c>
      <c r="E48" s="64">
        <v>1536.4</v>
      </c>
      <c r="F48" s="65">
        <f>SUM(E48*2/1000)</f>
        <v>3.0728</v>
      </c>
      <c r="G48" s="13">
        <v>1510.06</v>
      </c>
      <c r="H48" s="66">
        <f t="shared" si="7"/>
        <v>4.6401123680000005</v>
      </c>
      <c r="I48" s="13">
        <f t="shared" si="8"/>
        <v>2320.056184</v>
      </c>
      <c r="J48" s="24"/>
      <c r="L48" s="19"/>
      <c r="M48" s="20"/>
      <c r="N48" s="21"/>
    </row>
    <row r="49" spans="1:22" ht="32.25" hidden="1" customHeight="1">
      <c r="A49" s="30">
        <v>13</v>
      </c>
      <c r="B49" s="62" t="s">
        <v>86</v>
      </c>
      <c r="C49" s="63" t="s">
        <v>38</v>
      </c>
      <c r="D49" s="62" t="s">
        <v>42</v>
      </c>
      <c r="E49" s="64">
        <v>9</v>
      </c>
      <c r="F49" s="65">
        <f>SUM(E49*2/100)</f>
        <v>0.18</v>
      </c>
      <c r="G49" s="13">
        <v>3850.4</v>
      </c>
      <c r="H49" s="66">
        <f t="shared" si="7"/>
        <v>0.69307200000000002</v>
      </c>
      <c r="I49" s="13">
        <f t="shared" si="8"/>
        <v>346.536</v>
      </c>
      <c r="J49" s="24"/>
      <c r="L49" s="19"/>
      <c r="M49" s="20"/>
      <c r="N49" s="21"/>
    </row>
    <row r="50" spans="1:22" ht="15.75" hidden="1" customHeight="1">
      <c r="A50" s="30">
        <v>14</v>
      </c>
      <c r="B50" s="62" t="s">
        <v>39</v>
      </c>
      <c r="C50" s="63" t="s">
        <v>40</v>
      </c>
      <c r="D50" s="62" t="s">
        <v>42</v>
      </c>
      <c r="E50" s="64">
        <v>1</v>
      </c>
      <c r="F50" s="65">
        <v>0.02</v>
      </c>
      <c r="G50" s="13">
        <v>7033.13</v>
      </c>
      <c r="H50" s="66">
        <f t="shared" si="7"/>
        <v>0.1406626</v>
      </c>
      <c r="I50" s="13">
        <f t="shared" si="8"/>
        <v>70.331299999999999</v>
      </c>
      <c r="J50" s="24"/>
      <c r="L50" s="19"/>
      <c r="M50" s="20"/>
      <c r="N50" s="21"/>
    </row>
    <row r="51" spans="1:22" ht="15.75" hidden="1" customHeight="1">
      <c r="A51" s="30">
        <v>24</v>
      </c>
      <c r="B51" s="62" t="s">
        <v>41</v>
      </c>
      <c r="C51" s="63" t="s">
        <v>103</v>
      </c>
      <c r="D51" s="62" t="s">
        <v>68</v>
      </c>
      <c r="E51" s="64">
        <v>53</v>
      </c>
      <c r="F51" s="65">
        <f>53*3</f>
        <v>159</v>
      </c>
      <c r="G51" s="13">
        <v>81.73</v>
      </c>
      <c r="H51" s="66">
        <f t="shared" si="7"/>
        <v>12.995070000000002</v>
      </c>
      <c r="I51" s="13">
        <f>F51/3*G51</f>
        <v>4331.6900000000005</v>
      </c>
      <c r="J51" s="24"/>
      <c r="L51" s="19"/>
    </row>
    <row r="52" spans="1:22" ht="15.75" customHeight="1">
      <c r="A52" s="180" t="s">
        <v>141</v>
      </c>
      <c r="B52" s="181"/>
      <c r="C52" s="181"/>
      <c r="D52" s="181"/>
      <c r="E52" s="181"/>
      <c r="F52" s="181"/>
      <c r="G52" s="181"/>
      <c r="H52" s="181"/>
      <c r="I52" s="182"/>
    </row>
    <row r="53" spans="1:22" ht="15.75" hidden="1" customHeight="1">
      <c r="A53" s="30"/>
      <c r="B53" s="82" t="s">
        <v>43</v>
      </c>
      <c r="C53" s="63"/>
      <c r="D53" s="62"/>
      <c r="E53" s="64"/>
      <c r="F53" s="65"/>
      <c r="G53" s="65"/>
      <c r="H53" s="66"/>
      <c r="I53" s="13"/>
    </row>
    <row r="54" spans="1:22" ht="31.5" hidden="1" customHeight="1">
      <c r="A54" s="30">
        <v>15</v>
      </c>
      <c r="B54" s="62" t="s">
        <v>104</v>
      </c>
      <c r="C54" s="63" t="s">
        <v>81</v>
      </c>
      <c r="D54" s="62" t="s">
        <v>105</v>
      </c>
      <c r="E54" s="64">
        <v>11.5</v>
      </c>
      <c r="F54" s="65">
        <f>SUM(E54*6/100)</f>
        <v>0.69</v>
      </c>
      <c r="G54" s="13">
        <v>2306.62</v>
      </c>
      <c r="H54" s="66">
        <f>SUM(F54*G54/1000)</f>
        <v>1.5915677999999998</v>
      </c>
      <c r="I54" s="13">
        <f>F54/6*G54</f>
        <v>265.26129999999995</v>
      </c>
    </row>
    <row r="55" spans="1:22" ht="15.75" hidden="1" customHeight="1">
      <c r="A55" s="30"/>
      <c r="B55" s="62" t="s">
        <v>121</v>
      </c>
      <c r="C55" s="63" t="s">
        <v>122</v>
      </c>
      <c r="D55" s="62" t="s">
        <v>65</v>
      </c>
      <c r="E55" s="64"/>
      <c r="F55" s="65">
        <v>2</v>
      </c>
      <c r="G55" s="85">
        <v>1501</v>
      </c>
      <c r="H55" s="66">
        <f>SUM(F55*G55/1000)</f>
        <v>3.0019999999999998</v>
      </c>
      <c r="I55" s="13">
        <v>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9"/>
    </row>
    <row r="56" spans="1:22" ht="15.75" customHeight="1">
      <c r="A56" s="30"/>
      <c r="B56" s="82" t="s">
        <v>44</v>
      </c>
      <c r="C56" s="63"/>
      <c r="D56" s="62"/>
      <c r="E56" s="64"/>
      <c r="F56" s="65"/>
      <c r="G56" s="86"/>
      <c r="H56" s="66"/>
      <c r="I56" s="13"/>
      <c r="J56" s="26"/>
      <c r="K56" s="26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2" ht="15.75" hidden="1" customHeight="1">
      <c r="A57" s="30"/>
      <c r="B57" s="62" t="s">
        <v>106</v>
      </c>
      <c r="C57" s="63" t="s">
        <v>81</v>
      </c>
      <c r="D57" s="62" t="s">
        <v>53</v>
      </c>
      <c r="E57" s="64">
        <v>148</v>
      </c>
      <c r="F57" s="66">
        <f>E57/100</f>
        <v>1.48</v>
      </c>
      <c r="G57" s="13">
        <v>987.51</v>
      </c>
      <c r="H57" s="71">
        <f>F57*G57/1000</f>
        <v>1.4615148</v>
      </c>
      <c r="I57" s="13">
        <v>0</v>
      </c>
      <c r="J57" s="3"/>
      <c r="K57" s="3"/>
      <c r="L57" s="3"/>
      <c r="M57" s="3"/>
      <c r="N57" s="3"/>
      <c r="O57" s="3"/>
      <c r="P57" s="3"/>
      <c r="Q57" s="3"/>
      <c r="S57" s="3"/>
      <c r="T57" s="3"/>
      <c r="U57" s="3"/>
    </row>
    <row r="58" spans="1:22" ht="15.75" customHeight="1">
      <c r="A58" s="30">
        <v>16</v>
      </c>
      <c r="B58" s="73" t="s">
        <v>131</v>
      </c>
      <c r="C58" s="72" t="s">
        <v>25</v>
      </c>
      <c r="D58" s="73" t="s">
        <v>161</v>
      </c>
      <c r="E58" s="74">
        <v>140.5</v>
      </c>
      <c r="F58" s="65">
        <f>E58*12</f>
        <v>1686</v>
      </c>
      <c r="G58" s="87">
        <v>1.4</v>
      </c>
      <c r="H58" s="71">
        <f>F58*G58/1000</f>
        <v>2.3603999999999998</v>
      </c>
      <c r="I58" s="13">
        <f>1320/12*G58</f>
        <v>154</v>
      </c>
      <c r="J58" s="5"/>
      <c r="K58" s="5"/>
      <c r="L58" s="5"/>
      <c r="M58" s="5"/>
      <c r="N58" s="5"/>
      <c r="O58" s="5"/>
      <c r="P58" s="5"/>
      <c r="Q58" s="5"/>
      <c r="R58" s="173"/>
      <c r="S58" s="173"/>
      <c r="T58" s="173"/>
      <c r="U58" s="173"/>
    </row>
    <row r="59" spans="1:22" ht="15.75" customHeight="1">
      <c r="A59" s="30"/>
      <c r="B59" s="83" t="s">
        <v>45</v>
      </c>
      <c r="C59" s="72"/>
      <c r="D59" s="73"/>
      <c r="E59" s="74"/>
      <c r="F59" s="75"/>
      <c r="G59" s="75"/>
      <c r="H59" s="76" t="s">
        <v>115</v>
      </c>
      <c r="I59" s="13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2" ht="21" hidden="1" customHeight="1">
      <c r="A60" s="30">
        <v>8</v>
      </c>
      <c r="B60" s="14" t="s">
        <v>46</v>
      </c>
      <c r="C60" s="16" t="s">
        <v>103</v>
      </c>
      <c r="D60" s="14" t="s">
        <v>167</v>
      </c>
      <c r="E60" s="18">
        <v>2</v>
      </c>
      <c r="F60" s="65">
        <f>E60</f>
        <v>2</v>
      </c>
      <c r="G60" s="13">
        <v>276.74</v>
      </c>
      <c r="H60" s="61">
        <f t="shared" ref="H60:H78" si="9">SUM(F60*G60/1000)</f>
        <v>0.55347999999999997</v>
      </c>
      <c r="I60" s="13">
        <f>G60*2</f>
        <v>553.48</v>
      </c>
    </row>
    <row r="61" spans="1:22" ht="26.25" hidden="1" customHeight="1">
      <c r="A61" s="30"/>
      <c r="B61" s="14" t="s">
        <v>47</v>
      </c>
      <c r="C61" s="16" t="s">
        <v>103</v>
      </c>
      <c r="D61" s="14" t="s">
        <v>65</v>
      </c>
      <c r="E61" s="18">
        <v>1</v>
      </c>
      <c r="F61" s="65">
        <f>E61</f>
        <v>1</v>
      </c>
      <c r="G61" s="13">
        <v>94.89</v>
      </c>
      <c r="H61" s="61">
        <f t="shared" si="9"/>
        <v>9.4890000000000002E-2</v>
      </c>
      <c r="I61" s="13">
        <v>0</v>
      </c>
    </row>
    <row r="62" spans="1:22" ht="17.25" customHeight="1">
      <c r="A62" s="30">
        <v>17</v>
      </c>
      <c r="B62" s="151" t="s">
        <v>48</v>
      </c>
      <c r="C62" s="152" t="s">
        <v>107</v>
      </c>
      <c r="D62" s="139"/>
      <c r="E62" s="128">
        <v>6307</v>
      </c>
      <c r="F62" s="129">
        <f>SUM(E62/100)</f>
        <v>63.07</v>
      </c>
      <c r="G62" s="34">
        <v>316.3</v>
      </c>
      <c r="H62" s="61">
        <f t="shared" si="9"/>
        <v>19.949041000000001</v>
      </c>
      <c r="I62" s="13">
        <f>F62*G62</f>
        <v>19949.041000000001</v>
      </c>
    </row>
    <row r="63" spans="1:22" ht="18.75" customHeight="1">
      <c r="A63" s="30">
        <v>18</v>
      </c>
      <c r="B63" s="151" t="s">
        <v>49</v>
      </c>
      <c r="C63" s="130" t="s">
        <v>108</v>
      </c>
      <c r="D63" s="139"/>
      <c r="E63" s="128">
        <v>6307</v>
      </c>
      <c r="F63" s="34">
        <f>SUM(E63/1000)</f>
        <v>6.3070000000000004</v>
      </c>
      <c r="G63" s="34">
        <v>246.31</v>
      </c>
      <c r="H63" s="61">
        <f t="shared" si="9"/>
        <v>1.5534771700000001</v>
      </c>
      <c r="I63" s="13">
        <f t="shared" ref="I63:I66" si="10">F63*G63</f>
        <v>1553.4771700000001</v>
      </c>
    </row>
    <row r="64" spans="1:22" ht="21" customHeight="1">
      <c r="A64" s="30">
        <v>19</v>
      </c>
      <c r="B64" s="151" t="s">
        <v>50</v>
      </c>
      <c r="C64" s="130" t="s">
        <v>74</v>
      </c>
      <c r="D64" s="139"/>
      <c r="E64" s="128">
        <v>1003</v>
      </c>
      <c r="F64" s="34">
        <f>SUM(E64/100)</f>
        <v>10.029999999999999</v>
      </c>
      <c r="G64" s="34">
        <v>3093.06</v>
      </c>
      <c r="H64" s="61">
        <f t="shared" si="9"/>
        <v>31.023391799999999</v>
      </c>
      <c r="I64" s="13">
        <f t="shared" si="10"/>
        <v>31023.391799999998</v>
      </c>
    </row>
    <row r="65" spans="1:9" ht="19.5" customHeight="1">
      <c r="A65" s="30">
        <v>20</v>
      </c>
      <c r="B65" s="153" t="s">
        <v>109</v>
      </c>
      <c r="C65" s="130" t="s">
        <v>32</v>
      </c>
      <c r="D65" s="139"/>
      <c r="E65" s="128">
        <v>6.6</v>
      </c>
      <c r="F65" s="34">
        <f>SUM(E65)</f>
        <v>6.6</v>
      </c>
      <c r="G65" s="34">
        <v>49.36</v>
      </c>
      <c r="H65" s="61">
        <f t="shared" si="9"/>
        <v>0.32577599999999995</v>
      </c>
      <c r="I65" s="13">
        <f t="shared" si="10"/>
        <v>325.77599999999995</v>
      </c>
    </row>
    <row r="66" spans="1:9" ht="17.25" customHeight="1">
      <c r="A66" s="30">
        <v>21</v>
      </c>
      <c r="B66" s="153" t="s">
        <v>110</v>
      </c>
      <c r="C66" s="130" t="s">
        <v>32</v>
      </c>
      <c r="D66" s="139"/>
      <c r="E66" s="128">
        <v>6.6</v>
      </c>
      <c r="F66" s="34">
        <f>SUM(E66)</f>
        <v>6.6</v>
      </c>
      <c r="G66" s="34">
        <v>56.66</v>
      </c>
      <c r="H66" s="61">
        <f t="shared" si="9"/>
        <v>0.37395599999999996</v>
      </c>
      <c r="I66" s="13">
        <f t="shared" si="10"/>
        <v>373.95599999999996</v>
      </c>
    </row>
    <row r="67" spans="1:9" ht="18.75" hidden="1" customHeight="1">
      <c r="A67" s="30">
        <v>11</v>
      </c>
      <c r="B67" s="148" t="s">
        <v>56</v>
      </c>
      <c r="C67" s="149" t="s">
        <v>57</v>
      </c>
      <c r="D67" s="148" t="s">
        <v>53</v>
      </c>
      <c r="E67" s="150">
        <v>3</v>
      </c>
      <c r="F67" s="146">
        <v>3</v>
      </c>
      <c r="G67" s="120">
        <v>74.37</v>
      </c>
      <c r="H67" s="61">
        <f t="shared" si="9"/>
        <v>0.22311</v>
      </c>
      <c r="I67" s="13">
        <f>F67*G67</f>
        <v>223.11</v>
      </c>
    </row>
    <row r="68" spans="1:9" ht="18.75" customHeight="1">
      <c r="A68" s="30"/>
      <c r="B68" s="154" t="s">
        <v>163</v>
      </c>
      <c r="C68" s="149"/>
      <c r="D68" s="148"/>
      <c r="E68" s="150"/>
      <c r="F68" s="134"/>
      <c r="G68" s="120"/>
      <c r="H68" s="61"/>
      <c r="I68" s="13"/>
    </row>
    <row r="69" spans="1:9" ht="15.75" customHeight="1">
      <c r="A69" s="30">
        <v>22</v>
      </c>
      <c r="B69" s="139" t="s">
        <v>123</v>
      </c>
      <c r="C69" s="131" t="s">
        <v>124</v>
      </c>
      <c r="D69" s="139" t="s">
        <v>161</v>
      </c>
      <c r="E69" s="17">
        <v>1536.4</v>
      </c>
      <c r="F69" s="140">
        <f>E69*12</f>
        <v>18436.800000000003</v>
      </c>
      <c r="G69" s="34">
        <v>2.6</v>
      </c>
      <c r="H69" s="61">
        <f t="shared" ref="H69" si="11">SUM(F69*G69/1000)</f>
        <v>47.935680000000005</v>
      </c>
      <c r="I69" s="13">
        <f>F69/12*G69</f>
        <v>3994.6400000000008</v>
      </c>
    </row>
    <row r="70" spans="1:9" ht="15.75" customHeight="1">
      <c r="A70" s="30"/>
      <c r="B70" s="93" t="s">
        <v>69</v>
      </c>
      <c r="C70" s="16"/>
      <c r="D70" s="14"/>
      <c r="E70" s="18"/>
      <c r="F70" s="13"/>
      <c r="G70" s="13"/>
      <c r="H70" s="61" t="s">
        <v>115</v>
      </c>
      <c r="I70" s="13"/>
    </row>
    <row r="71" spans="1:9" ht="15.75" hidden="1" customHeight="1">
      <c r="A71" s="30"/>
      <c r="B71" s="14" t="s">
        <v>125</v>
      </c>
      <c r="C71" s="16" t="s">
        <v>126</v>
      </c>
      <c r="D71" s="14" t="s">
        <v>65</v>
      </c>
      <c r="E71" s="18">
        <v>1</v>
      </c>
      <c r="F71" s="13">
        <f>E71</f>
        <v>1</v>
      </c>
      <c r="G71" s="13">
        <v>976.4</v>
      </c>
      <c r="H71" s="61">
        <f t="shared" ref="H71:H72" si="12">SUM(F71*G71/1000)</f>
        <v>0.97639999999999993</v>
      </c>
      <c r="I71" s="13">
        <v>0</v>
      </c>
    </row>
    <row r="72" spans="1:9" ht="15.75" hidden="1" customHeight="1">
      <c r="A72" s="30"/>
      <c r="B72" s="14" t="s">
        <v>127</v>
      </c>
      <c r="C72" s="16" t="s">
        <v>128</v>
      </c>
      <c r="D72" s="14"/>
      <c r="E72" s="18">
        <v>1</v>
      </c>
      <c r="F72" s="13">
        <v>1</v>
      </c>
      <c r="G72" s="13">
        <v>650</v>
      </c>
      <c r="H72" s="61">
        <f t="shared" si="12"/>
        <v>0.65</v>
      </c>
      <c r="I72" s="13">
        <v>0</v>
      </c>
    </row>
    <row r="73" spans="1:9" ht="15.75" hidden="1" customHeight="1">
      <c r="A73" s="30">
        <v>11</v>
      </c>
      <c r="B73" s="14" t="s">
        <v>70</v>
      </c>
      <c r="C73" s="16" t="s">
        <v>72</v>
      </c>
      <c r="D73" s="14"/>
      <c r="E73" s="18">
        <v>3</v>
      </c>
      <c r="F73" s="13">
        <v>0.3</v>
      </c>
      <c r="G73" s="13">
        <v>624.16999999999996</v>
      </c>
      <c r="H73" s="61">
        <f t="shared" si="9"/>
        <v>0.18725099999999997</v>
      </c>
      <c r="I73" s="13">
        <f>G73*0.3</f>
        <v>187.25099999999998</v>
      </c>
    </row>
    <row r="74" spans="1:9" ht="15.75" hidden="1" customHeight="1">
      <c r="A74" s="30"/>
      <c r="B74" s="14" t="s">
        <v>71</v>
      </c>
      <c r="C74" s="16" t="s">
        <v>30</v>
      </c>
      <c r="D74" s="14"/>
      <c r="E74" s="18">
        <v>1</v>
      </c>
      <c r="F74" s="56">
        <v>1</v>
      </c>
      <c r="G74" s="13">
        <v>1061.4100000000001</v>
      </c>
      <c r="H74" s="61">
        <f>F74*G74/1000</f>
        <v>1.0614100000000002</v>
      </c>
      <c r="I74" s="13">
        <v>0</v>
      </c>
    </row>
    <row r="75" spans="1:9" ht="15.75" customHeight="1">
      <c r="A75" s="30">
        <v>23</v>
      </c>
      <c r="B75" s="46" t="s">
        <v>197</v>
      </c>
      <c r="C75" s="47" t="s">
        <v>103</v>
      </c>
      <c r="D75" s="139" t="s">
        <v>173</v>
      </c>
      <c r="E75" s="17">
        <v>2</v>
      </c>
      <c r="F75" s="34">
        <f>E75*12</f>
        <v>24</v>
      </c>
      <c r="G75" s="34">
        <v>420</v>
      </c>
      <c r="H75" s="61">
        <f>G75*F75/1000</f>
        <v>10.08</v>
      </c>
      <c r="I75" s="13">
        <f>G75*2</f>
        <v>840</v>
      </c>
    </row>
    <row r="76" spans="1:9" ht="15.75" customHeight="1">
      <c r="A76" s="30"/>
      <c r="B76" s="46" t="s">
        <v>198</v>
      </c>
      <c r="C76" s="47" t="s">
        <v>30</v>
      </c>
      <c r="D76" s="139" t="s">
        <v>173</v>
      </c>
      <c r="E76" s="17">
        <v>1</v>
      </c>
      <c r="F76" s="34">
        <f>E76*12</f>
        <v>12</v>
      </c>
      <c r="G76" s="34">
        <v>1829</v>
      </c>
      <c r="H76" s="61"/>
      <c r="I76" s="13">
        <f>G76*F76/12</f>
        <v>1829</v>
      </c>
    </row>
    <row r="77" spans="1:9" ht="20.25" hidden="1" customHeight="1">
      <c r="A77" s="30"/>
      <c r="B77" s="79" t="s">
        <v>73</v>
      </c>
      <c r="C77" s="16"/>
      <c r="D77" s="14"/>
      <c r="E77" s="18"/>
      <c r="F77" s="13"/>
      <c r="G77" s="13" t="s">
        <v>115</v>
      </c>
      <c r="H77" s="61" t="s">
        <v>115</v>
      </c>
      <c r="I77" s="13" t="str">
        <f>G77</f>
        <v xml:space="preserve"> </v>
      </c>
    </row>
    <row r="78" spans="1:9" ht="20.25" hidden="1" customHeight="1">
      <c r="A78" s="30"/>
      <c r="B78" s="43" t="s">
        <v>130</v>
      </c>
      <c r="C78" s="16" t="s">
        <v>74</v>
      </c>
      <c r="D78" s="14"/>
      <c r="E78" s="18"/>
      <c r="F78" s="13">
        <v>0.1</v>
      </c>
      <c r="G78" s="13">
        <v>3433.69</v>
      </c>
      <c r="H78" s="61">
        <f t="shared" si="9"/>
        <v>0.34336900000000004</v>
      </c>
      <c r="I78" s="13">
        <v>0</v>
      </c>
    </row>
    <row r="79" spans="1:9" ht="24.75" hidden="1" customHeight="1">
      <c r="A79" s="30"/>
      <c r="B79" s="55" t="s">
        <v>87</v>
      </c>
      <c r="C79" s="79"/>
      <c r="D79" s="31"/>
      <c r="E79" s="32"/>
      <c r="F79" s="68"/>
      <c r="G79" s="68"/>
      <c r="H79" s="80">
        <f>SUM(H54:H78)</f>
        <v>123.74671456999999</v>
      </c>
      <c r="I79" s="13"/>
    </row>
    <row r="80" spans="1:9" ht="18.75" hidden="1" customHeight="1">
      <c r="A80" s="30">
        <v>13</v>
      </c>
      <c r="B80" s="62" t="s">
        <v>111</v>
      </c>
      <c r="C80" s="16"/>
      <c r="D80" s="14"/>
      <c r="E80" s="57"/>
      <c r="F80" s="13">
        <v>1</v>
      </c>
      <c r="G80" s="35">
        <v>6486.6</v>
      </c>
      <c r="H80" s="61">
        <f>G80*F80/1000</f>
        <v>6.4866000000000001</v>
      </c>
      <c r="I80" s="13">
        <f>G80</f>
        <v>6486.6</v>
      </c>
    </row>
    <row r="81" spans="1:9" ht="15.75" customHeight="1">
      <c r="A81" s="180" t="s">
        <v>142</v>
      </c>
      <c r="B81" s="181"/>
      <c r="C81" s="181"/>
      <c r="D81" s="181"/>
      <c r="E81" s="181"/>
      <c r="F81" s="181"/>
      <c r="G81" s="181"/>
      <c r="H81" s="181"/>
      <c r="I81" s="182"/>
    </row>
    <row r="82" spans="1:9" ht="15.75" customHeight="1">
      <c r="A82" s="30">
        <v>24</v>
      </c>
      <c r="B82" s="123" t="s">
        <v>112</v>
      </c>
      <c r="C82" s="130" t="s">
        <v>54</v>
      </c>
      <c r="D82" s="141"/>
      <c r="E82" s="34">
        <v>1536.4</v>
      </c>
      <c r="F82" s="34">
        <f>SUM(E82*12)</f>
        <v>18436.800000000003</v>
      </c>
      <c r="G82" s="34">
        <v>3.5</v>
      </c>
      <c r="H82" s="61">
        <f>SUM(F82*G82/1000)</f>
        <v>64.528800000000004</v>
      </c>
      <c r="I82" s="13">
        <f>F82/12*G82</f>
        <v>5377.4000000000015</v>
      </c>
    </row>
    <row r="83" spans="1:9" ht="31.5" customHeight="1">
      <c r="A83" s="30">
        <v>25</v>
      </c>
      <c r="B83" s="123" t="s">
        <v>199</v>
      </c>
      <c r="C83" s="130" t="s">
        <v>54</v>
      </c>
      <c r="D83" s="141"/>
      <c r="E83" s="34">
        <v>1536.4</v>
      </c>
      <c r="F83" s="34">
        <f>E83*12</f>
        <v>18436.800000000003</v>
      </c>
      <c r="G83" s="34">
        <v>3.2</v>
      </c>
      <c r="H83" s="61">
        <f>F83*G83/1000</f>
        <v>58.997760000000007</v>
      </c>
      <c r="I83" s="13">
        <f>F83/12*G83</f>
        <v>4916.4800000000014</v>
      </c>
    </row>
    <row r="84" spans="1:9" ht="15.75" customHeight="1">
      <c r="A84" s="30"/>
      <c r="B84" s="36" t="s">
        <v>77</v>
      </c>
      <c r="C84" s="79"/>
      <c r="D84" s="78"/>
      <c r="E84" s="68"/>
      <c r="F84" s="68"/>
      <c r="G84" s="68"/>
      <c r="H84" s="80">
        <f>H83</f>
        <v>58.997760000000007</v>
      </c>
      <c r="I84" s="68">
        <f>I83+I82+I76+I75+I69+I66+I65+I64+I63+I62+I58+I33+I31+I30+I27+I26+I25+I24+I23+I22+I21+I20+I19+I18+I17+I16</f>
        <v>80653.455257000023</v>
      </c>
    </row>
    <row r="85" spans="1:9" ht="15.75" customHeight="1">
      <c r="A85" s="166" t="s">
        <v>59</v>
      </c>
      <c r="B85" s="167"/>
      <c r="C85" s="167"/>
      <c r="D85" s="167"/>
      <c r="E85" s="167"/>
      <c r="F85" s="167"/>
      <c r="G85" s="167"/>
      <c r="H85" s="167"/>
      <c r="I85" s="168"/>
    </row>
    <row r="86" spans="1:9" ht="15.75" customHeight="1">
      <c r="A86" s="30"/>
      <c r="B86" s="41" t="s">
        <v>51</v>
      </c>
      <c r="C86" s="37"/>
      <c r="D86" s="44"/>
      <c r="E86" s="37">
        <v>1</v>
      </c>
      <c r="F86" s="37"/>
      <c r="G86" s="37"/>
      <c r="H86" s="37"/>
      <c r="I86" s="32">
        <v>0</v>
      </c>
    </row>
    <row r="87" spans="1:9" ht="15.75" customHeight="1">
      <c r="A87" s="30"/>
      <c r="B87" s="43" t="s">
        <v>76</v>
      </c>
      <c r="C87" s="15"/>
      <c r="D87" s="15"/>
      <c r="E87" s="38"/>
      <c r="F87" s="38"/>
      <c r="G87" s="39"/>
      <c r="H87" s="39"/>
      <c r="I87" s="17">
        <v>0</v>
      </c>
    </row>
    <row r="88" spans="1:9">
      <c r="A88" s="45"/>
      <c r="B88" s="42" t="s">
        <v>153</v>
      </c>
      <c r="C88" s="33"/>
      <c r="D88" s="33"/>
      <c r="E88" s="33"/>
      <c r="F88" s="33"/>
      <c r="G88" s="33"/>
      <c r="H88" s="33"/>
      <c r="I88" s="40">
        <f>I84+I86</f>
        <v>80653.455257000023</v>
      </c>
    </row>
    <row r="89" spans="1:9" ht="15.75">
      <c r="A89" s="175" t="s">
        <v>215</v>
      </c>
      <c r="B89" s="175"/>
      <c r="C89" s="175"/>
      <c r="D89" s="175"/>
      <c r="E89" s="175"/>
      <c r="F89" s="175"/>
      <c r="G89" s="175"/>
      <c r="H89" s="175"/>
      <c r="I89" s="175"/>
    </row>
    <row r="90" spans="1:9" ht="15.75" customHeight="1">
      <c r="A90" s="54"/>
      <c r="B90" s="176" t="s">
        <v>216</v>
      </c>
      <c r="C90" s="176"/>
      <c r="D90" s="176"/>
      <c r="E90" s="176"/>
      <c r="F90" s="176"/>
      <c r="G90" s="176"/>
      <c r="H90" s="60"/>
      <c r="I90" s="3"/>
    </row>
    <row r="91" spans="1:9">
      <c r="A91" s="91"/>
      <c r="B91" s="171" t="s">
        <v>6</v>
      </c>
      <c r="C91" s="171"/>
      <c r="D91" s="171"/>
      <c r="E91" s="171"/>
      <c r="F91" s="171"/>
      <c r="G91" s="171"/>
      <c r="H91" s="25"/>
      <c r="I91" s="5"/>
    </row>
    <row r="92" spans="1:9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77" t="s">
        <v>7</v>
      </c>
      <c r="B93" s="177"/>
      <c r="C93" s="177"/>
      <c r="D93" s="177"/>
      <c r="E93" s="177"/>
      <c r="F93" s="177"/>
      <c r="G93" s="177"/>
      <c r="H93" s="177"/>
      <c r="I93" s="177"/>
    </row>
    <row r="94" spans="1:9" ht="15.75" customHeight="1">
      <c r="A94" s="177" t="s">
        <v>8</v>
      </c>
      <c r="B94" s="177"/>
      <c r="C94" s="177"/>
      <c r="D94" s="177"/>
      <c r="E94" s="177"/>
      <c r="F94" s="177"/>
      <c r="G94" s="177"/>
      <c r="H94" s="177"/>
      <c r="I94" s="177"/>
    </row>
    <row r="95" spans="1:9" ht="15.75">
      <c r="A95" s="178" t="s">
        <v>60</v>
      </c>
      <c r="B95" s="178"/>
      <c r="C95" s="178"/>
      <c r="D95" s="178"/>
      <c r="E95" s="178"/>
      <c r="F95" s="178"/>
      <c r="G95" s="178"/>
      <c r="H95" s="178"/>
      <c r="I95" s="178"/>
    </row>
    <row r="96" spans="1:9" ht="15.75">
      <c r="A96" s="11"/>
    </row>
    <row r="97" spans="1:9" ht="15.75">
      <c r="A97" s="169" t="s">
        <v>9</v>
      </c>
      <c r="B97" s="169"/>
      <c r="C97" s="169"/>
      <c r="D97" s="169"/>
      <c r="E97" s="169"/>
      <c r="F97" s="169"/>
      <c r="G97" s="169"/>
      <c r="H97" s="169"/>
      <c r="I97" s="169"/>
    </row>
    <row r="98" spans="1:9" ht="15.75">
      <c r="A98" s="4"/>
    </row>
    <row r="99" spans="1:9" ht="15.75">
      <c r="B99" s="88" t="s">
        <v>10</v>
      </c>
      <c r="C99" s="170" t="s">
        <v>133</v>
      </c>
      <c r="D99" s="170"/>
      <c r="E99" s="170"/>
      <c r="F99" s="58"/>
      <c r="I99" s="90"/>
    </row>
    <row r="100" spans="1:9">
      <c r="A100" s="91"/>
      <c r="C100" s="171" t="s">
        <v>11</v>
      </c>
      <c r="D100" s="171"/>
      <c r="E100" s="171"/>
      <c r="F100" s="25"/>
      <c r="I100" s="89" t="s">
        <v>12</v>
      </c>
    </row>
    <row r="101" spans="1:9" ht="15.75">
      <c r="A101" s="26"/>
      <c r="C101" s="12"/>
      <c r="D101" s="12"/>
      <c r="G101" s="12"/>
      <c r="H101" s="12"/>
    </row>
    <row r="102" spans="1:9" ht="15.75" customHeight="1">
      <c r="B102" s="88" t="s">
        <v>13</v>
      </c>
      <c r="C102" s="172"/>
      <c r="D102" s="172"/>
      <c r="E102" s="172"/>
      <c r="F102" s="59"/>
      <c r="I102" s="90"/>
    </row>
    <row r="103" spans="1:9" ht="15.75" customHeight="1">
      <c r="A103" s="91"/>
      <c r="C103" s="173" t="s">
        <v>11</v>
      </c>
      <c r="D103" s="173"/>
      <c r="E103" s="173"/>
      <c r="F103" s="91"/>
      <c r="I103" s="89" t="s">
        <v>12</v>
      </c>
    </row>
    <row r="104" spans="1:9" ht="15.75" customHeight="1">
      <c r="A104" s="4" t="s">
        <v>14</v>
      </c>
    </row>
    <row r="105" spans="1:9">
      <c r="A105" s="174" t="s">
        <v>15</v>
      </c>
      <c r="B105" s="174"/>
      <c r="C105" s="174"/>
      <c r="D105" s="174"/>
      <c r="E105" s="174"/>
      <c r="F105" s="174"/>
      <c r="G105" s="174"/>
      <c r="H105" s="174"/>
      <c r="I105" s="174"/>
    </row>
    <row r="106" spans="1:9" ht="45" customHeight="1">
      <c r="A106" s="165" t="s">
        <v>16</v>
      </c>
      <c r="B106" s="165"/>
      <c r="C106" s="165"/>
      <c r="D106" s="165"/>
      <c r="E106" s="165"/>
      <c r="F106" s="165"/>
      <c r="G106" s="165"/>
      <c r="H106" s="165"/>
      <c r="I106" s="165"/>
    </row>
    <row r="107" spans="1:9" ht="30" customHeight="1">
      <c r="A107" s="165" t="s">
        <v>17</v>
      </c>
      <c r="B107" s="165"/>
      <c r="C107" s="165"/>
      <c r="D107" s="165"/>
      <c r="E107" s="165"/>
      <c r="F107" s="165"/>
      <c r="G107" s="165"/>
      <c r="H107" s="165"/>
      <c r="I107" s="165"/>
    </row>
    <row r="108" spans="1:9" ht="30" customHeight="1">
      <c r="A108" s="165" t="s">
        <v>21</v>
      </c>
      <c r="B108" s="165"/>
      <c r="C108" s="165"/>
      <c r="D108" s="165"/>
      <c r="E108" s="165"/>
      <c r="F108" s="165"/>
      <c r="G108" s="165"/>
      <c r="H108" s="165"/>
      <c r="I108" s="165"/>
    </row>
    <row r="109" spans="1:9" ht="15" customHeight="1">
      <c r="A109" s="165" t="s">
        <v>20</v>
      </c>
      <c r="B109" s="165"/>
      <c r="C109" s="165"/>
      <c r="D109" s="165"/>
      <c r="E109" s="165"/>
      <c r="F109" s="165"/>
      <c r="G109" s="165"/>
      <c r="H109" s="165"/>
      <c r="I109" s="165"/>
    </row>
  </sheetData>
  <autoFilter ref="I12:I53"/>
  <mergeCells count="29">
    <mergeCell ref="A14:I14"/>
    <mergeCell ref="A15:I15"/>
    <mergeCell ref="A28:I28"/>
    <mergeCell ref="A41:I41"/>
    <mergeCell ref="A52:I52"/>
    <mergeCell ref="A3:I3"/>
    <mergeCell ref="A4:I4"/>
    <mergeCell ref="A5:I5"/>
    <mergeCell ref="A8:I8"/>
    <mergeCell ref="A10:I10"/>
    <mergeCell ref="R58:U58"/>
    <mergeCell ref="C103:E103"/>
    <mergeCell ref="A85:I85"/>
    <mergeCell ref="A89:I89"/>
    <mergeCell ref="B90:G90"/>
    <mergeCell ref="B91:G91"/>
    <mergeCell ref="A93:I93"/>
    <mergeCell ref="A94:I94"/>
    <mergeCell ref="A95:I95"/>
    <mergeCell ref="A97:I97"/>
    <mergeCell ref="C99:E99"/>
    <mergeCell ref="C100:E100"/>
    <mergeCell ref="C102:E102"/>
    <mergeCell ref="A81:I81"/>
    <mergeCell ref="A105:I105"/>
    <mergeCell ref="A106:I106"/>
    <mergeCell ref="A107:I107"/>
    <mergeCell ref="A108:I108"/>
    <mergeCell ref="A109:I109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topLeftCell="A54" workbookViewId="0">
      <selection activeCell="B83" sqref="B83:I8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83" t="s">
        <v>146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132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220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84">
        <v>44043</v>
      </c>
      <c r="J6" s="2"/>
      <c r="K6" s="2"/>
      <c r="L6" s="2"/>
      <c r="M6" s="2"/>
    </row>
    <row r="7" spans="1:13" ht="15.75">
      <c r="B7" s="88"/>
      <c r="C7" s="88"/>
      <c r="D7" s="8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221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7" t="s">
        <v>149</v>
      </c>
      <c r="B10" s="187"/>
      <c r="C10" s="187"/>
      <c r="D10" s="187"/>
      <c r="E10" s="187"/>
      <c r="F10" s="187"/>
      <c r="G10" s="187"/>
      <c r="H10" s="187"/>
      <c r="I10" s="18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123" t="s">
        <v>80</v>
      </c>
      <c r="C16" s="124" t="s">
        <v>81</v>
      </c>
      <c r="D16" s="123" t="s">
        <v>165</v>
      </c>
      <c r="E16" s="128">
        <v>54.9</v>
      </c>
      <c r="F16" s="115">
        <f>SUM(E16*156/100)</f>
        <v>85.643999999999991</v>
      </c>
      <c r="G16" s="115">
        <v>261.45</v>
      </c>
      <c r="H16" s="135">
        <f t="shared" ref="H16:H18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23" t="s">
        <v>113</v>
      </c>
      <c r="C17" s="124" t="s">
        <v>81</v>
      </c>
      <c r="D17" s="123" t="s">
        <v>166</v>
      </c>
      <c r="E17" s="128">
        <v>109.8</v>
      </c>
      <c r="F17" s="115">
        <f>SUM(E17*104/100)</f>
        <v>114.19199999999999</v>
      </c>
      <c r="G17" s="115">
        <v>261.45</v>
      </c>
      <c r="H17" s="135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23" t="s">
        <v>114</v>
      </c>
      <c r="C18" s="124" t="s">
        <v>81</v>
      </c>
      <c r="D18" s="123" t="s">
        <v>211</v>
      </c>
      <c r="E18" s="128">
        <f>SUM(E16+E17)</f>
        <v>164.7</v>
      </c>
      <c r="F18" s="115">
        <f>SUM(E18*18/100)</f>
        <v>29.646000000000001</v>
      </c>
      <c r="G18" s="115">
        <v>752.16</v>
      </c>
      <c r="H18" s="135">
        <f t="shared" si="0"/>
        <v>22.298535359999999</v>
      </c>
      <c r="I18" s="34">
        <f>F18/18*2*G18</f>
        <v>2477.6150400000001</v>
      </c>
      <c r="J18" s="23"/>
      <c r="K18" s="8"/>
      <c r="L18" s="8"/>
      <c r="M18" s="8"/>
    </row>
    <row r="19" spans="1:13" ht="15.75" hidden="1" customHeight="1">
      <c r="A19" s="30">
        <v>4</v>
      </c>
      <c r="B19" s="62" t="s">
        <v>88</v>
      </c>
      <c r="C19" s="63" t="s">
        <v>89</v>
      </c>
      <c r="D19" s="62" t="s">
        <v>90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5</v>
      </c>
      <c r="B20" s="62" t="s">
        <v>91</v>
      </c>
      <c r="C20" s="63" t="s">
        <v>81</v>
      </c>
      <c r="D20" s="62" t="s">
        <v>42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1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6</v>
      </c>
      <c r="B21" s="62" t="s">
        <v>92</v>
      </c>
      <c r="C21" s="63" t="s">
        <v>81</v>
      </c>
      <c r="D21" s="62" t="s">
        <v>42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1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>
        <v>7</v>
      </c>
      <c r="B22" s="62" t="s">
        <v>93</v>
      </c>
      <c r="C22" s="63" t="s">
        <v>52</v>
      </c>
      <c r="D22" s="62" t="s">
        <v>90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>
        <v>8</v>
      </c>
      <c r="B23" s="62" t="s">
        <v>94</v>
      </c>
      <c r="C23" s="63" t="s">
        <v>52</v>
      </c>
      <c r="D23" s="62" t="s">
        <v>90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62" t="s">
        <v>95</v>
      </c>
      <c r="C24" s="63" t="s">
        <v>52</v>
      </c>
      <c r="D24" s="62" t="s">
        <v>96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>
        <v>10</v>
      </c>
      <c r="B25" s="62" t="s">
        <v>97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>
        <v>11</v>
      </c>
      <c r="B26" s="62" t="s">
        <v>98</v>
      </c>
      <c r="C26" s="63" t="s">
        <v>52</v>
      </c>
      <c r="D26" s="62" t="s">
        <v>90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123" t="s">
        <v>164</v>
      </c>
      <c r="C27" s="124" t="s">
        <v>25</v>
      </c>
      <c r="D27" s="123" t="s">
        <v>168</v>
      </c>
      <c r="E27" s="125">
        <v>2.91</v>
      </c>
      <c r="F27" s="115">
        <f>E27*258</f>
        <v>750.78000000000009</v>
      </c>
      <c r="G27" s="115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s="100" customFormat="1" ht="15.75" hidden="1" customHeight="1">
      <c r="A28" s="30">
        <v>5</v>
      </c>
      <c r="B28" s="70" t="s">
        <v>23</v>
      </c>
      <c r="C28" s="63" t="s">
        <v>24</v>
      </c>
      <c r="D28" s="62"/>
      <c r="E28" s="64">
        <v>1536.4</v>
      </c>
      <c r="F28" s="65">
        <f>SUM(E28*12)</f>
        <v>18436.800000000003</v>
      </c>
      <c r="G28" s="65">
        <v>4.5599999999999996</v>
      </c>
      <c r="H28" s="66">
        <f>SUM(F28*G28/1000)</f>
        <v>84.071808000000004</v>
      </c>
      <c r="I28" s="13">
        <f>F28/12*G28</f>
        <v>7005.9840000000013</v>
      </c>
      <c r="J28" s="103"/>
    </row>
    <row r="29" spans="1:13" ht="15.75" customHeight="1">
      <c r="A29" s="180" t="s">
        <v>150</v>
      </c>
      <c r="B29" s="181"/>
      <c r="C29" s="181"/>
      <c r="D29" s="181"/>
      <c r="E29" s="181"/>
      <c r="F29" s="181"/>
      <c r="G29" s="181"/>
      <c r="H29" s="181"/>
      <c r="I29" s="182"/>
      <c r="J29" s="24"/>
    </row>
    <row r="30" spans="1:13" ht="15.75" customHeight="1">
      <c r="A30" s="30"/>
      <c r="B30" s="82" t="s">
        <v>28</v>
      </c>
      <c r="C30" s="63"/>
      <c r="D30" s="62"/>
      <c r="E30" s="64"/>
      <c r="F30" s="65"/>
      <c r="G30" s="65"/>
      <c r="H30" s="66"/>
      <c r="I30" s="13"/>
      <c r="J30" s="24"/>
    </row>
    <row r="31" spans="1:13" ht="15.75" customHeight="1">
      <c r="A31" s="30">
        <v>5</v>
      </c>
      <c r="B31" s="123" t="s">
        <v>101</v>
      </c>
      <c r="C31" s="124" t="s">
        <v>84</v>
      </c>
      <c r="D31" s="123" t="s">
        <v>171</v>
      </c>
      <c r="E31" s="115">
        <v>61.5</v>
      </c>
      <c r="F31" s="115">
        <f>SUM(E31*24/1000)</f>
        <v>1.476</v>
      </c>
      <c r="G31" s="115">
        <v>232.4</v>
      </c>
      <c r="H31" s="66">
        <f t="shared" ref="H31:H34" si="3">SUM(F31*G31/1000)</f>
        <v>0.34302240000000001</v>
      </c>
      <c r="I31" s="13">
        <f t="shared" ref="I31:I32" si="4">F31/6*G31</f>
        <v>57.170400000000001</v>
      </c>
      <c r="J31" s="23"/>
      <c r="K31" s="8"/>
      <c r="L31" s="8"/>
      <c r="M31" s="8"/>
    </row>
    <row r="32" spans="1:13" ht="31.5" customHeight="1">
      <c r="A32" s="30">
        <v>6</v>
      </c>
      <c r="B32" s="123" t="s">
        <v>100</v>
      </c>
      <c r="C32" s="124" t="s">
        <v>84</v>
      </c>
      <c r="D32" s="123" t="s">
        <v>195</v>
      </c>
      <c r="E32" s="115">
        <v>35.299999999999997</v>
      </c>
      <c r="F32" s="115">
        <f>SUM(E32*72/1000)</f>
        <v>2.5415999999999999</v>
      </c>
      <c r="G32" s="115">
        <v>385.6</v>
      </c>
      <c r="H32" s="66">
        <f t="shared" si="3"/>
        <v>0.98004096000000007</v>
      </c>
      <c r="I32" s="13">
        <f t="shared" si="4"/>
        <v>163.34016</v>
      </c>
      <c r="J32" s="23"/>
      <c r="K32" s="8"/>
      <c r="L32" s="8"/>
      <c r="M32" s="8"/>
    </row>
    <row r="33" spans="1:14" ht="15.75" hidden="1" customHeight="1">
      <c r="A33" s="30">
        <v>16</v>
      </c>
      <c r="B33" s="123" t="s">
        <v>27</v>
      </c>
      <c r="C33" s="124" t="s">
        <v>84</v>
      </c>
      <c r="D33" s="123" t="s">
        <v>161</v>
      </c>
      <c r="E33" s="115">
        <v>61.5</v>
      </c>
      <c r="F33" s="115">
        <f>SUM(E33/1000)</f>
        <v>6.1499999999999999E-2</v>
      </c>
      <c r="G33" s="115">
        <v>4502.97</v>
      </c>
      <c r="H33" s="66">
        <f t="shared" si="3"/>
        <v>0.27693265500000003</v>
      </c>
      <c r="I33" s="13">
        <f>F33*G33</f>
        <v>276.93265500000001</v>
      </c>
      <c r="J33" s="23"/>
      <c r="K33" s="8"/>
      <c r="L33" s="8"/>
      <c r="M33" s="8"/>
    </row>
    <row r="34" spans="1:14" ht="15.75" customHeight="1">
      <c r="A34" s="30">
        <v>7</v>
      </c>
      <c r="B34" s="121" t="s">
        <v>208</v>
      </c>
      <c r="C34" s="111" t="s">
        <v>209</v>
      </c>
      <c r="D34" s="123" t="s">
        <v>195</v>
      </c>
      <c r="E34" s="115">
        <v>4</v>
      </c>
      <c r="F34" s="115">
        <f>E34*72/100</f>
        <v>2.88</v>
      </c>
      <c r="G34" s="115">
        <v>1941.17</v>
      </c>
      <c r="H34" s="66">
        <f t="shared" si="3"/>
        <v>5.5905696000000002</v>
      </c>
      <c r="I34" s="13">
        <f>G34*F34/6</f>
        <v>931.76159999999993</v>
      </c>
      <c r="J34" s="24"/>
    </row>
    <row r="35" spans="1:14" ht="15.75" hidden="1" customHeight="1">
      <c r="A35" s="30"/>
      <c r="B35" s="62" t="s">
        <v>64</v>
      </c>
      <c r="C35" s="63" t="s">
        <v>31</v>
      </c>
      <c r="D35" s="62" t="s">
        <v>65</v>
      </c>
      <c r="E35" s="64"/>
      <c r="F35" s="65">
        <v>1</v>
      </c>
      <c r="G35" s="65">
        <v>1413.96</v>
      </c>
      <c r="H35" s="66">
        <f t="shared" ref="H35" si="5">SUM(F35*G35/1000)</f>
        <v>1.4139600000000001</v>
      </c>
      <c r="I35" s="13">
        <v>0</v>
      </c>
      <c r="J35" s="24"/>
    </row>
    <row r="36" spans="1:14" ht="15.75" hidden="1" customHeight="1">
      <c r="A36" s="30"/>
      <c r="B36" s="82" t="s">
        <v>5</v>
      </c>
      <c r="C36" s="63"/>
      <c r="D36" s="62"/>
      <c r="E36" s="64"/>
      <c r="F36" s="65"/>
      <c r="G36" s="65"/>
      <c r="H36" s="66" t="s">
        <v>115</v>
      </c>
      <c r="I36" s="13"/>
      <c r="J36" s="24"/>
      <c r="L36" s="19"/>
      <c r="M36" s="20"/>
      <c r="N36" s="21"/>
    </row>
    <row r="37" spans="1:14" ht="15.75" hidden="1" customHeight="1">
      <c r="A37" s="30">
        <v>6</v>
      </c>
      <c r="B37" s="62" t="s">
        <v>26</v>
      </c>
      <c r="C37" s="63" t="s">
        <v>31</v>
      </c>
      <c r="D37" s="62"/>
      <c r="E37" s="64"/>
      <c r="F37" s="65">
        <v>3</v>
      </c>
      <c r="G37" s="65">
        <v>1900.37</v>
      </c>
      <c r="H37" s="66">
        <f t="shared" ref="H37:H42" si="6">SUM(F37*G37/1000)</f>
        <v>5.7011099999999999</v>
      </c>
      <c r="I37" s="13">
        <f t="shared" ref="I37:I42" si="7">F37/6*G37</f>
        <v>950.18499999999995</v>
      </c>
      <c r="J37" s="24"/>
      <c r="L37" s="19"/>
      <c r="M37" s="20"/>
      <c r="N37" s="21"/>
    </row>
    <row r="38" spans="1:14" ht="31.5" hidden="1" customHeight="1">
      <c r="A38" s="30">
        <v>7</v>
      </c>
      <c r="B38" s="62" t="s">
        <v>116</v>
      </c>
      <c r="C38" s="63" t="s">
        <v>29</v>
      </c>
      <c r="D38" s="62" t="s">
        <v>82</v>
      </c>
      <c r="E38" s="64">
        <v>35.299999999999997</v>
      </c>
      <c r="F38" s="65">
        <f>E38*30/1000</f>
        <v>1.0589999999999999</v>
      </c>
      <c r="G38" s="65">
        <v>2616.4899999999998</v>
      </c>
      <c r="H38" s="66">
        <f t="shared" si="6"/>
        <v>2.77086291</v>
      </c>
      <c r="I38" s="13">
        <f t="shared" si="7"/>
        <v>461.81048499999991</v>
      </c>
      <c r="J38" s="24"/>
      <c r="L38" s="19"/>
      <c r="M38" s="20"/>
      <c r="N38" s="21"/>
    </row>
    <row r="39" spans="1:14" ht="15.75" hidden="1" customHeight="1">
      <c r="A39" s="30">
        <v>8</v>
      </c>
      <c r="B39" s="62" t="s">
        <v>117</v>
      </c>
      <c r="C39" s="63" t="s">
        <v>29</v>
      </c>
      <c r="D39" s="62" t="s">
        <v>83</v>
      </c>
      <c r="E39" s="64">
        <v>35.299999999999997</v>
      </c>
      <c r="F39" s="65">
        <f>SUM(E39*155/1000)</f>
        <v>5.4714999999999998</v>
      </c>
      <c r="G39" s="65">
        <v>436.45</v>
      </c>
      <c r="H39" s="66">
        <f t="shared" si="6"/>
        <v>2.3880361749999999</v>
      </c>
      <c r="I39" s="13">
        <f t="shared" si="7"/>
        <v>398.00602916666662</v>
      </c>
      <c r="J39" s="24"/>
      <c r="L39" s="19"/>
      <c r="M39" s="20"/>
      <c r="N39" s="21"/>
    </row>
    <row r="40" spans="1:14" ht="47.25" hidden="1" customHeight="1">
      <c r="A40" s="30">
        <v>9</v>
      </c>
      <c r="B40" s="62" t="s">
        <v>118</v>
      </c>
      <c r="C40" s="63" t="s">
        <v>84</v>
      </c>
      <c r="D40" s="62" t="s">
        <v>119</v>
      </c>
      <c r="E40" s="64">
        <v>35.299999999999997</v>
      </c>
      <c r="F40" s="65">
        <f>SUM(E40*24/1000)</f>
        <v>0.84719999999999995</v>
      </c>
      <c r="G40" s="65">
        <v>7221.21</v>
      </c>
      <c r="H40" s="66">
        <f t="shared" si="6"/>
        <v>6.1178091119999998</v>
      </c>
      <c r="I40" s="13">
        <f t="shared" si="7"/>
        <v>1019.6348519999999</v>
      </c>
      <c r="J40" s="24"/>
      <c r="L40" s="19"/>
      <c r="M40" s="20"/>
      <c r="N40" s="21"/>
    </row>
    <row r="41" spans="1:14" ht="15.75" hidden="1" customHeight="1">
      <c r="A41" s="30">
        <v>10</v>
      </c>
      <c r="B41" s="62" t="s">
        <v>120</v>
      </c>
      <c r="C41" s="63" t="s">
        <v>84</v>
      </c>
      <c r="D41" s="62" t="s">
        <v>66</v>
      </c>
      <c r="E41" s="64">
        <v>35.299999999999997</v>
      </c>
      <c r="F41" s="65">
        <f>SUM(E41*45/1000)</f>
        <v>1.5884999999999998</v>
      </c>
      <c r="G41" s="65">
        <v>533.45000000000005</v>
      </c>
      <c r="H41" s="66">
        <f t="shared" si="6"/>
        <v>0.84738532499999997</v>
      </c>
      <c r="I41" s="13">
        <f t="shared" si="7"/>
        <v>141.23088749999999</v>
      </c>
      <c r="J41" s="24"/>
      <c r="L41" s="19"/>
      <c r="M41" s="20"/>
      <c r="N41" s="21"/>
    </row>
    <row r="42" spans="1:14" ht="15.75" hidden="1" customHeight="1">
      <c r="A42" s="30">
        <v>11</v>
      </c>
      <c r="B42" s="62" t="s">
        <v>67</v>
      </c>
      <c r="C42" s="63" t="s">
        <v>32</v>
      </c>
      <c r="D42" s="62"/>
      <c r="E42" s="64"/>
      <c r="F42" s="65">
        <v>0.3</v>
      </c>
      <c r="G42" s="65">
        <v>992.97</v>
      </c>
      <c r="H42" s="66">
        <f t="shared" si="6"/>
        <v>0.29789100000000002</v>
      </c>
      <c r="I42" s="13">
        <f t="shared" si="7"/>
        <v>49.648499999999999</v>
      </c>
      <c r="J42" s="24"/>
      <c r="L42" s="19"/>
      <c r="M42" s="20"/>
      <c r="N42" s="21"/>
    </row>
    <row r="43" spans="1:14" ht="15.75" hidden="1" customHeight="1">
      <c r="A43" s="180" t="s">
        <v>135</v>
      </c>
      <c r="B43" s="181"/>
      <c r="C43" s="181"/>
      <c r="D43" s="181"/>
      <c r="E43" s="181"/>
      <c r="F43" s="181"/>
      <c r="G43" s="181"/>
      <c r="H43" s="181"/>
      <c r="I43" s="182"/>
      <c r="J43" s="24"/>
      <c r="L43" s="19"/>
      <c r="M43" s="20"/>
      <c r="N43" s="21"/>
    </row>
    <row r="44" spans="1:14" ht="15.75" hidden="1" customHeight="1">
      <c r="A44" s="30">
        <v>18</v>
      </c>
      <c r="B44" s="62" t="s">
        <v>102</v>
      </c>
      <c r="C44" s="63" t="s">
        <v>84</v>
      </c>
      <c r="D44" s="62" t="s">
        <v>42</v>
      </c>
      <c r="E44" s="64">
        <v>907.4</v>
      </c>
      <c r="F44" s="65">
        <f>SUM(E44*2/1000)</f>
        <v>1.8148</v>
      </c>
      <c r="G44" s="13">
        <v>1283.46</v>
      </c>
      <c r="H44" s="66">
        <f t="shared" ref="H44:H53" si="8">SUM(F44*G44/1000)</f>
        <v>2.3292232079999997</v>
      </c>
      <c r="I44" s="13">
        <f>F44/2*G44</f>
        <v>1164.6116039999999</v>
      </c>
      <c r="J44" s="24"/>
      <c r="L44" s="19"/>
      <c r="M44" s="20"/>
      <c r="N44" s="21"/>
    </row>
    <row r="45" spans="1:14" ht="15.75" hidden="1" customHeight="1">
      <c r="A45" s="30">
        <v>19</v>
      </c>
      <c r="B45" s="62" t="s">
        <v>35</v>
      </c>
      <c r="C45" s="63" t="s">
        <v>84</v>
      </c>
      <c r="D45" s="62" t="s">
        <v>42</v>
      </c>
      <c r="E45" s="64">
        <v>27</v>
      </c>
      <c r="F45" s="65">
        <f>SUM(E45*2/1000)</f>
        <v>5.3999999999999999E-2</v>
      </c>
      <c r="G45" s="13">
        <v>4192.6400000000003</v>
      </c>
      <c r="H45" s="66">
        <f t="shared" si="8"/>
        <v>0.22640256000000003</v>
      </c>
      <c r="I45" s="13">
        <f t="shared" ref="I45:I52" si="9">F45/2*G45</f>
        <v>113.20128000000001</v>
      </c>
      <c r="J45" s="24"/>
      <c r="L45" s="19"/>
      <c r="M45" s="20"/>
      <c r="N45" s="21"/>
    </row>
    <row r="46" spans="1:14" ht="15.75" hidden="1" customHeight="1">
      <c r="A46" s="30">
        <v>20</v>
      </c>
      <c r="B46" s="62" t="s">
        <v>36</v>
      </c>
      <c r="C46" s="63" t="s">
        <v>84</v>
      </c>
      <c r="D46" s="62" t="s">
        <v>42</v>
      </c>
      <c r="E46" s="64">
        <v>772</v>
      </c>
      <c r="F46" s="65">
        <f>SUM(E46*2/1000)</f>
        <v>1.544</v>
      </c>
      <c r="G46" s="13">
        <v>1711.28</v>
      </c>
      <c r="H46" s="66">
        <f t="shared" si="8"/>
        <v>2.6422163200000002</v>
      </c>
      <c r="I46" s="13">
        <f t="shared" si="9"/>
        <v>1321.10816</v>
      </c>
      <c r="J46" s="24"/>
      <c r="L46" s="19"/>
      <c r="M46" s="20"/>
      <c r="N46" s="21"/>
    </row>
    <row r="47" spans="1:14" ht="15.75" hidden="1" customHeight="1">
      <c r="A47" s="30">
        <v>21</v>
      </c>
      <c r="B47" s="62" t="s">
        <v>37</v>
      </c>
      <c r="C47" s="63" t="s">
        <v>84</v>
      </c>
      <c r="D47" s="62" t="s">
        <v>42</v>
      </c>
      <c r="E47" s="64">
        <v>959.4</v>
      </c>
      <c r="F47" s="65">
        <f>SUM(E47*2/1000)</f>
        <v>1.9188000000000001</v>
      </c>
      <c r="G47" s="13">
        <v>1179.73</v>
      </c>
      <c r="H47" s="66">
        <f t="shared" si="8"/>
        <v>2.2636659240000001</v>
      </c>
      <c r="I47" s="13">
        <f t="shared" si="9"/>
        <v>1131.832962</v>
      </c>
      <c r="J47" s="24"/>
      <c r="L47" s="19"/>
      <c r="M47" s="20"/>
      <c r="N47" s="21"/>
    </row>
    <row r="48" spans="1:14" ht="15.75" hidden="1" customHeight="1">
      <c r="A48" s="30">
        <v>22</v>
      </c>
      <c r="B48" s="62" t="s">
        <v>33</v>
      </c>
      <c r="C48" s="63" t="s">
        <v>34</v>
      </c>
      <c r="D48" s="62" t="s">
        <v>42</v>
      </c>
      <c r="E48" s="64">
        <v>66.02</v>
      </c>
      <c r="F48" s="65">
        <f>SUM(E48*2/100)</f>
        <v>1.3204</v>
      </c>
      <c r="G48" s="13">
        <v>90.61</v>
      </c>
      <c r="H48" s="66">
        <f t="shared" si="8"/>
        <v>0.11964144400000001</v>
      </c>
      <c r="I48" s="13">
        <f t="shared" si="9"/>
        <v>59.820722000000004</v>
      </c>
      <c r="J48" s="24"/>
      <c r="L48" s="19"/>
      <c r="M48" s="20"/>
      <c r="N48" s="21"/>
    </row>
    <row r="49" spans="1:22" ht="15.75" hidden="1" customHeight="1">
      <c r="A49" s="30">
        <v>23</v>
      </c>
      <c r="B49" s="62" t="s">
        <v>55</v>
      </c>
      <c r="C49" s="63" t="s">
        <v>84</v>
      </c>
      <c r="D49" s="62" t="s">
        <v>134</v>
      </c>
      <c r="E49" s="64">
        <v>1536.4</v>
      </c>
      <c r="F49" s="65">
        <f>SUM(E49*5/1000)</f>
        <v>7.6820000000000004</v>
      </c>
      <c r="G49" s="13">
        <v>1711.28</v>
      </c>
      <c r="H49" s="66">
        <f t="shared" si="8"/>
        <v>13.14605296</v>
      </c>
      <c r="I49" s="13">
        <f>F49/5*G49</f>
        <v>2629.2105919999999</v>
      </c>
      <c r="J49" s="24"/>
      <c r="L49" s="19"/>
      <c r="M49" s="20"/>
      <c r="N49" s="21"/>
    </row>
    <row r="50" spans="1:22" ht="32.25" hidden="1" customHeight="1">
      <c r="A50" s="30">
        <v>12</v>
      </c>
      <c r="B50" s="62" t="s">
        <v>85</v>
      </c>
      <c r="C50" s="63" t="s">
        <v>84</v>
      </c>
      <c r="D50" s="62" t="s">
        <v>42</v>
      </c>
      <c r="E50" s="64">
        <v>1536.4</v>
      </c>
      <c r="F50" s="65">
        <f>SUM(E50*2/1000)</f>
        <v>3.0728</v>
      </c>
      <c r="G50" s="13">
        <v>1510.06</v>
      </c>
      <c r="H50" s="66">
        <f t="shared" si="8"/>
        <v>4.6401123680000005</v>
      </c>
      <c r="I50" s="13">
        <f t="shared" si="9"/>
        <v>2320.056184</v>
      </c>
      <c r="J50" s="24"/>
      <c r="L50" s="19"/>
      <c r="M50" s="20"/>
      <c r="N50" s="21"/>
    </row>
    <row r="51" spans="1:22" ht="32.25" hidden="1" customHeight="1">
      <c r="A51" s="30">
        <v>13</v>
      </c>
      <c r="B51" s="62" t="s">
        <v>86</v>
      </c>
      <c r="C51" s="63" t="s">
        <v>38</v>
      </c>
      <c r="D51" s="62" t="s">
        <v>42</v>
      </c>
      <c r="E51" s="64">
        <v>9</v>
      </c>
      <c r="F51" s="65">
        <f>SUM(E51*2/100)</f>
        <v>0.18</v>
      </c>
      <c r="G51" s="13">
        <v>3850.4</v>
      </c>
      <c r="H51" s="66">
        <f t="shared" si="8"/>
        <v>0.69307200000000002</v>
      </c>
      <c r="I51" s="13">
        <f t="shared" si="9"/>
        <v>346.536</v>
      </c>
      <c r="J51" s="24"/>
      <c r="L51" s="19"/>
      <c r="M51" s="20"/>
      <c r="N51" s="21"/>
    </row>
    <row r="52" spans="1:22" ht="15.75" hidden="1" customHeight="1">
      <c r="A52" s="30">
        <v>14</v>
      </c>
      <c r="B52" s="62" t="s">
        <v>39</v>
      </c>
      <c r="C52" s="63" t="s">
        <v>40</v>
      </c>
      <c r="D52" s="62" t="s">
        <v>42</v>
      </c>
      <c r="E52" s="64">
        <v>1</v>
      </c>
      <c r="F52" s="65">
        <v>0.02</v>
      </c>
      <c r="G52" s="13">
        <v>7033.13</v>
      </c>
      <c r="H52" s="66">
        <f t="shared" si="8"/>
        <v>0.1406626</v>
      </c>
      <c r="I52" s="13">
        <f t="shared" si="9"/>
        <v>70.331299999999999</v>
      </c>
      <c r="J52" s="24"/>
      <c r="L52" s="19"/>
      <c r="M52" s="20"/>
      <c r="N52" s="21"/>
    </row>
    <row r="53" spans="1:22" ht="15.75" hidden="1" customHeight="1">
      <c r="A53" s="30">
        <v>24</v>
      </c>
      <c r="B53" s="62" t="s">
        <v>41</v>
      </c>
      <c r="C53" s="63" t="s">
        <v>103</v>
      </c>
      <c r="D53" s="62" t="s">
        <v>68</v>
      </c>
      <c r="E53" s="64">
        <v>53</v>
      </c>
      <c r="F53" s="65">
        <f>53*3</f>
        <v>159</v>
      </c>
      <c r="G53" s="13">
        <v>81.73</v>
      </c>
      <c r="H53" s="66">
        <f t="shared" si="8"/>
        <v>12.995070000000002</v>
      </c>
      <c r="I53" s="13">
        <f>F53/3*G53</f>
        <v>4331.6900000000005</v>
      </c>
      <c r="J53" s="24"/>
      <c r="L53" s="19"/>
    </row>
    <row r="54" spans="1:22" ht="15.75" customHeight="1">
      <c r="A54" s="180" t="s">
        <v>141</v>
      </c>
      <c r="B54" s="181"/>
      <c r="C54" s="181"/>
      <c r="D54" s="181"/>
      <c r="E54" s="181"/>
      <c r="F54" s="181"/>
      <c r="G54" s="181"/>
      <c r="H54" s="181"/>
      <c r="I54" s="182"/>
    </row>
    <row r="55" spans="1:22" ht="15.75" hidden="1" customHeight="1">
      <c r="A55" s="30"/>
      <c r="B55" s="82" t="s">
        <v>43</v>
      </c>
      <c r="C55" s="63"/>
      <c r="D55" s="62"/>
      <c r="E55" s="64"/>
      <c r="F55" s="65"/>
      <c r="G55" s="65"/>
      <c r="H55" s="66"/>
      <c r="I55" s="13"/>
    </row>
    <row r="56" spans="1:22" ht="17.25" hidden="1" customHeight="1">
      <c r="A56" s="30">
        <v>15</v>
      </c>
      <c r="B56" s="62" t="s">
        <v>104</v>
      </c>
      <c r="C56" s="63" t="s">
        <v>81</v>
      </c>
      <c r="D56" s="62" t="s">
        <v>105</v>
      </c>
      <c r="E56" s="64">
        <v>11.5</v>
      </c>
      <c r="F56" s="65">
        <f>SUM(E56*6/100)</f>
        <v>0.69</v>
      </c>
      <c r="G56" s="13">
        <v>2306.62</v>
      </c>
      <c r="H56" s="66">
        <f>SUM(F56*G56/1000)</f>
        <v>1.5915677999999998</v>
      </c>
      <c r="I56" s="13">
        <f>F56/6*G56</f>
        <v>265.26129999999995</v>
      </c>
    </row>
    <row r="57" spans="1:22" ht="20.25" hidden="1" customHeight="1">
      <c r="A57" s="30">
        <v>7</v>
      </c>
      <c r="B57" s="62" t="s">
        <v>121</v>
      </c>
      <c r="C57" s="63" t="s">
        <v>122</v>
      </c>
      <c r="D57" s="62" t="s">
        <v>176</v>
      </c>
      <c r="E57" s="64"/>
      <c r="F57" s="65">
        <v>2</v>
      </c>
      <c r="G57" s="85">
        <v>1501</v>
      </c>
      <c r="H57" s="66">
        <f>SUM(F57*G57/1000)</f>
        <v>3.0019999999999998</v>
      </c>
      <c r="I57" s="13">
        <f>G57*1.5</f>
        <v>2251.5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customHeight="1">
      <c r="A58" s="30"/>
      <c r="B58" s="82" t="s">
        <v>44</v>
      </c>
      <c r="C58" s="63"/>
      <c r="D58" s="62"/>
      <c r="E58" s="64"/>
      <c r="F58" s="65"/>
      <c r="G58" s="86"/>
      <c r="H58" s="66"/>
      <c r="I58" s="13"/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21.75" hidden="1" customHeight="1">
      <c r="A59" s="30"/>
      <c r="B59" s="62" t="s">
        <v>106</v>
      </c>
      <c r="C59" s="63" t="s">
        <v>81</v>
      </c>
      <c r="D59" s="62" t="s">
        <v>53</v>
      </c>
      <c r="E59" s="64">
        <v>148</v>
      </c>
      <c r="F59" s="66">
        <f>E59/100</f>
        <v>1.48</v>
      </c>
      <c r="G59" s="13">
        <v>987.51</v>
      </c>
      <c r="H59" s="71">
        <f>F59*G59/1000</f>
        <v>1.4615148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customHeight="1">
      <c r="A60" s="30">
        <v>8</v>
      </c>
      <c r="B60" s="73" t="s">
        <v>131</v>
      </c>
      <c r="C60" s="72" t="s">
        <v>25</v>
      </c>
      <c r="D60" s="73" t="s">
        <v>161</v>
      </c>
      <c r="E60" s="74">
        <v>140.5</v>
      </c>
      <c r="F60" s="65">
        <v>1320</v>
      </c>
      <c r="G60" s="87">
        <v>1.4</v>
      </c>
      <c r="H60" s="71">
        <f>F60*G60/1000</f>
        <v>1.8479999999999999</v>
      </c>
      <c r="I60" s="13">
        <f>F60/12*G60</f>
        <v>154</v>
      </c>
      <c r="J60" s="5"/>
      <c r="K60" s="5"/>
      <c r="L60" s="5"/>
      <c r="M60" s="5"/>
      <c r="N60" s="5"/>
      <c r="O60" s="5"/>
      <c r="P60" s="5"/>
      <c r="Q60" s="5"/>
      <c r="R60" s="173"/>
      <c r="S60" s="173"/>
      <c r="T60" s="173"/>
      <c r="U60" s="173"/>
    </row>
    <row r="61" spans="1:22" ht="15.75" customHeight="1">
      <c r="A61" s="30"/>
      <c r="B61" s="83" t="s">
        <v>45</v>
      </c>
      <c r="C61" s="72"/>
      <c r="D61" s="73"/>
      <c r="E61" s="74"/>
      <c r="F61" s="75"/>
      <c r="G61" s="75"/>
      <c r="H61" s="76" t="s">
        <v>115</v>
      </c>
      <c r="I61" s="13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ht="15.75" hidden="1" customHeight="1">
      <c r="A62" s="30">
        <v>9</v>
      </c>
      <c r="B62" s="14" t="s">
        <v>46</v>
      </c>
      <c r="C62" s="16" t="s">
        <v>103</v>
      </c>
      <c r="D62" s="14" t="s">
        <v>175</v>
      </c>
      <c r="E62" s="18">
        <v>2</v>
      </c>
      <c r="F62" s="65">
        <f>E62</f>
        <v>2</v>
      </c>
      <c r="G62" s="13">
        <v>276.74</v>
      </c>
      <c r="H62" s="61">
        <f t="shared" ref="H62:H79" si="10">SUM(F62*G62/1000)</f>
        <v>0.55347999999999997</v>
      </c>
      <c r="I62" s="13">
        <f>G62*3</f>
        <v>830.22</v>
      </c>
    </row>
    <row r="63" spans="1:22" ht="15.75" hidden="1" customHeight="1">
      <c r="A63" s="30"/>
      <c r="B63" s="14" t="s">
        <v>47</v>
      </c>
      <c r="C63" s="16" t="s">
        <v>103</v>
      </c>
      <c r="D63" s="14" t="s">
        <v>65</v>
      </c>
      <c r="E63" s="18">
        <v>1</v>
      </c>
      <c r="F63" s="65">
        <f>E63</f>
        <v>1</v>
      </c>
      <c r="G63" s="13">
        <v>94.89</v>
      </c>
      <c r="H63" s="61">
        <f t="shared" si="10"/>
        <v>9.4890000000000002E-2</v>
      </c>
      <c r="I63" s="13">
        <v>0</v>
      </c>
    </row>
    <row r="64" spans="1:22" ht="15.75" hidden="1" customHeight="1">
      <c r="A64" s="30">
        <v>26</v>
      </c>
      <c r="B64" s="14" t="s">
        <v>48</v>
      </c>
      <c r="C64" s="16" t="s">
        <v>107</v>
      </c>
      <c r="D64" s="14" t="s">
        <v>53</v>
      </c>
      <c r="E64" s="64">
        <v>6307</v>
      </c>
      <c r="F64" s="13">
        <f>SUM(E64/100)</f>
        <v>63.07</v>
      </c>
      <c r="G64" s="13">
        <v>263.99</v>
      </c>
      <c r="H64" s="61">
        <f t="shared" si="10"/>
        <v>16.649849300000003</v>
      </c>
      <c r="I64" s="13">
        <f>F64*G64</f>
        <v>16649.849300000002</v>
      </c>
    </row>
    <row r="65" spans="1:9" ht="15.75" hidden="1" customHeight="1">
      <c r="A65" s="30">
        <v>27</v>
      </c>
      <c r="B65" s="14" t="s">
        <v>49</v>
      </c>
      <c r="C65" s="16" t="s">
        <v>108</v>
      </c>
      <c r="D65" s="14"/>
      <c r="E65" s="64">
        <v>6307</v>
      </c>
      <c r="F65" s="13">
        <f>SUM(E65/1000)</f>
        <v>6.3070000000000004</v>
      </c>
      <c r="G65" s="13">
        <v>205.57</v>
      </c>
      <c r="H65" s="61">
        <f t="shared" si="10"/>
        <v>1.29652999</v>
      </c>
      <c r="I65" s="13">
        <f t="shared" ref="I65:I68" si="11">F65*G65</f>
        <v>1296.52999</v>
      </c>
    </row>
    <row r="66" spans="1:9" ht="15.75" hidden="1" customHeight="1">
      <c r="A66" s="30">
        <v>28</v>
      </c>
      <c r="B66" s="14" t="s">
        <v>50</v>
      </c>
      <c r="C66" s="16" t="s">
        <v>74</v>
      </c>
      <c r="D66" s="14" t="s">
        <v>53</v>
      </c>
      <c r="E66" s="64">
        <v>1003</v>
      </c>
      <c r="F66" s="13">
        <f>SUM(E66/100)</f>
        <v>10.029999999999999</v>
      </c>
      <c r="G66" s="13">
        <v>2581.5300000000002</v>
      </c>
      <c r="H66" s="61">
        <f t="shared" si="10"/>
        <v>25.892745900000001</v>
      </c>
      <c r="I66" s="13">
        <f t="shared" si="11"/>
        <v>25892.745900000002</v>
      </c>
    </row>
    <row r="67" spans="1:9" ht="15.75" hidden="1" customHeight="1">
      <c r="A67" s="30">
        <v>29</v>
      </c>
      <c r="B67" s="77" t="s">
        <v>109</v>
      </c>
      <c r="C67" s="16" t="s">
        <v>32</v>
      </c>
      <c r="D67" s="14"/>
      <c r="E67" s="64">
        <v>6.6</v>
      </c>
      <c r="F67" s="13">
        <f>SUM(E67)</f>
        <v>6.6</v>
      </c>
      <c r="G67" s="13">
        <v>47.75</v>
      </c>
      <c r="H67" s="61">
        <f t="shared" si="10"/>
        <v>0.31514999999999999</v>
      </c>
      <c r="I67" s="13">
        <f t="shared" si="11"/>
        <v>315.14999999999998</v>
      </c>
    </row>
    <row r="68" spans="1:9" ht="15.75" hidden="1" customHeight="1">
      <c r="A68" s="30">
        <v>30</v>
      </c>
      <c r="B68" s="77" t="s">
        <v>110</v>
      </c>
      <c r="C68" s="16" t="s">
        <v>32</v>
      </c>
      <c r="D68" s="14"/>
      <c r="E68" s="64">
        <v>6.6</v>
      </c>
      <c r="F68" s="13">
        <f>SUM(E68)</f>
        <v>6.6</v>
      </c>
      <c r="G68" s="13">
        <v>44.27</v>
      </c>
      <c r="H68" s="61">
        <f t="shared" si="10"/>
        <v>0.292182</v>
      </c>
      <c r="I68" s="13">
        <f t="shared" si="11"/>
        <v>292.18200000000002</v>
      </c>
    </row>
    <row r="69" spans="1:9" ht="15.75" hidden="1" customHeight="1">
      <c r="A69" s="30">
        <v>19</v>
      </c>
      <c r="B69" s="14" t="s">
        <v>56</v>
      </c>
      <c r="C69" s="16" t="s">
        <v>57</v>
      </c>
      <c r="D69" s="14" t="s">
        <v>53</v>
      </c>
      <c r="E69" s="18">
        <v>3</v>
      </c>
      <c r="F69" s="65">
        <v>3</v>
      </c>
      <c r="G69" s="13">
        <v>62.07</v>
      </c>
      <c r="H69" s="61">
        <f t="shared" si="10"/>
        <v>0.18621000000000001</v>
      </c>
      <c r="I69" s="13">
        <f>F69*G69</f>
        <v>186.21</v>
      </c>
    </row>
    <row r="70" spans="1:9" ht="19.5" customHeight="1">
      <c r="A70" s="30">
        <v>9</v>
      </c>
      <c r="B70" s="139" t="s">
        <v>123</v>
      </c>
      <c r="C70" s="131" t="s">
        <v>124</v>
      </c>
      <c r="D70" s="139" t="s">
        <v>161</v>
      </c>
      <c r="E70" s="17">
        <v>1536.4</v>
      </c>
      <c r="F70" s="140">
        <f>E70*12</f>
        <v>18436.800000000003</v>
      </c>
      <c r="G70" s="34">
        <v>2.6</v>
      </c>
      <c r="H70" s="61">
        <f t="shared" si="10"/>
        <v>47.935680000000005</v>
      </c>
      <c r="I70" s="13">
        <f>F70/12*G70</f>
        <v>3994.6400000000008</v>
      </c>
    </row>
    <row r="71" spans="1:9" ht="15.75" customHeight="1">
      <c r="A71" s="30"/>
      <c r="B71" s="93" t="s">
        <v>69</v>
      </c>
      <c r="C71" s="16"/>
      <c r="D71" s="14"/>
      <c r="E71" s="18"/>
      <c r="F71" s="13"/>
      <c r="G71" s="13"/>
      <c r="H71" s="61" t="s">
        <v>115</v>
      </c>
      <c r="I71" s="13"/>
    </row>
    <row r="72" spans="1:9" ht="15.75" hidden="1" customHeight="1">
      <c r="A72" s="30"/>
      <c r="B72" s="14" t="s">
        <v>125</v>
      </c>
      <c r="C72" s="16" t="s">
        <v>126</v>
      </c>
      <c r="D72" s="14" t="s">
        <v>65</v>
      </c>
      <c r="E72" s="18">
        <v>1</v>
      </c>
      <c r="F72" s="13">
        <f>E72</f>
        <v>1</v>
      </c>
      <c r="G72" s="13">
        <v>976.4</v>
      </c>
      <c r="H72" s="61">
        <f t="shared" ref="H72:H73" si="12">SUM(F72*G72/1000)</f>
        <v>0.97639999999999993</v>
      </c>
      <c r="I72" s="13">
        <v>0</v>
      </c>
    </row>
    <row r="73" spans="1:9" ht="15.75" hidden="1" customHeight="1">
      <c r="A73" s="30"/>
      <c r="B73" s="14" t="s">
        <v>127</v>
      </c>
      <c r="C73" s="16" t="s">
        <v>128</v>
      </c>
      <c r="D73" s="14"/>
      <c r="E73" s="18">
        <v>1</v>
      </c>
      <c r="F73" s="13">
        <v>1</v>
      </c>
      <c r="G73" s="13">
        <v>650</v>
      </c>
      <c r="H73" s="61">
        <f t="shared" si="12"/>
        <v>0.65</v>
      </c>
      <c r="I73" s="13">
        <v>0</v>
      </c>
    </row>
    <row r="74" spans="1:9" ht="15.75" hidden="1" customHeight="1">
      <c r="A74" s="30">
        <v>11</v>
      </c>
      <c r="B74" s="14" t="s">
        <v>70</v>
      </c>
      <c r="C74" s="16" t="s">
        <v>72</v>
      </c>
      <c r="D74" s="14"/>
      <c r="E74" s="18">
        <v>3</v>
      </c>
      <c r="F74" s="13">
        <v>0.3</v>
      </c>
      <c r="G74" s="13">
        <v>624.16999999999996</v>
      </c>
      <c r="H74" s="61">
        <f t="shared" si="10"/>
        <v>0.18725099999999997</v>
      </c>
      <c r="I74" s="13">
        <f>G74*0.3</f>
        <v>187.25099999999998</v>
      </c>
    </row>
    <row r="75" spans="1:9" ht="15.75" hidden="1" customHeight="1">
      <c r="A75" s="30"/>
      <c r="B75" s="14" t="s">
        <v>71</v>
      </c>
      <c r="C75" s="16" t="s">
        <v>30</v>
      </c>
      <c r="D75" s="14"/>
      <c r="E75" s="18">
        <v>1</v>
      </c>
      <c r="F75" s="56">
        <v>1</v>
      </c>
      <c r="G75" s="13">
        <v>1061.4100000000001</v>
      </c>
      <c r="H75" s="61">
        <f>F75*G75/1000</f>
        <v>1.0614100000000002</v>
      </c>
      <c r="I75" s="13">
        <v>0</v>
      </c>
    </row>
    <row r="76" spans="1:9" ht="32.25" customHeight="1">
      <c r="A76" s="30">
        <v>10</v>
      </c>
      <c r="B76" s="46" t="s">
        <v>197</v>
      </c>
      <c r="C76" s="47" t="s">
        <v>103</v>
      </c>
      <c r="D76" s="139" t="s">
        <v>173</v>
      </c>
      <c r="E76" s="17">
        <v>2</v>
      </c>
      <c r="F76" s="34">
        <f>E76*12</f>
        <v>24</v>
      </c>
      <c r="G76" s="34">
        <v>420</v>
      </c>
      <c r="H76" s="61">
        <f>G76*F76/1000</f>
        <v>10.08</v>
      </c>
      <c r="I76" s="13">
        <f>G76*2</f>
        <v>840</v>
      </c>
    </row>
    <row r="77" spans="1:9" ht="32.25" customHeight="1">
      <c r="A77" s="30">
        <v>11</v>
      </c>
      <c r="B77" s="46" t="s">
        <v>198</v>
      </c>
      <c r="C77" s="47" t="s">
        <v>30</v>
      </c>
      <c r="D77" s="139" t="s">
        <v>173</v>
      </c>
      <c r="E77" s="17">
        <v>1</v>
      </c>
      <c r="F77" s="34">
        <f>E77*12</f>
        <v>12</v>
      </c>
      <c r="G77" s="34">
        <v>1829</v>
      </c>
      <c r="H77" s="61"/>
      <c r="I77" s="13">
        <f>G77*F77/12</f>
        <v>1829</v>
      </c>
    </row>
    <row r="78" spans="1:9" ht="15.75" hidden="1" customHeight="1">
      <c r="A78" s="30"/>
      <c r="B78" s="79" t="s">
        <v>73</v>
      </c>
      <c r="C78" s="16"/>
      <c r="D78" s="14"/>
      <c r="E78" s="18"/>
      <c r="F78" s="13"/>
      <c r="G78" s="13" t="s">
        <v>115</v>
      </c>
      <c r="H78" s="61" t="s">
        <v>115</v>
      </c>
      <c r="I78" s="13" t="str">
        <f>G78</f>
        <v xml:space="preserve"> </v>
      </c>
    </row>
    <row r="79" spans="1:9" ht="15.75" hidden="1" customHeight="1">
      <c r="A79" s="30"/>
      <c r="B79" s="43" t="s">
        <v>130</v>
      </c>
      <c r="C79" s="16" t="s">
        <v>74</v>
      </c>
      <c r="D79" s="14"/>
      <c r="E79" s="18"/>
      <c r="F79" s="13">
        <v>0.1</v>
      </c>
      <c r="G79" s="13">
        <v>3433.69</v>
      </c>
      <c r="H79" s="61">
        <f t="shared" si="10"/>
        <v>0.34336900000000004</v>
      </c>
      <c r="I79" s="13">
        <v>0</v>
      </c>
    </row>
    <row r="80" spans="1:9" ht="21.75" hidden="1" customHeight="1">
      <c r="A80" s="30"/>
      <c r="B80" s="55" t="s">
        <v>87</v>
      </c>
      <c r="C80" s="79"/>
      <c r="D80" s="31"/>
      <c r="E80" s="32"/>
      <c r="F80" s="68"/>
      <c r="G80" s="68"/>
      <c r="H80" s="80">
        <f>SUM(H56:H79)</f>
        <v>114.41822979000001</v>
      </c>
      <c r="I80" s="13"/>
    </row>
    <row r="81" spans="1:9" ht="20.25" hidden="1" customHeight="1">
      <c r="A81" s="30">
        <v>13</v>
      </c>
      <c r="B81" s="62" t="s">
        <v>111</v>
      </c>
      <c r="C81" s="16"/>
      <c r="D81" s="14"/>
      <c r="E81" s="57"/>
      <c r="F81" s="13">
        <v>1</v>
      </c>
      <c r="G81" s="35">
        <v>3790.6</v>
      </c>
      <c r="H81" s="61">
        <f>G81*F81/1000</f>
        <v>3.7906</v>
      </c>
      <c r="I81" s="13">
        <f>G81</f>
        <v>3790.6</v>
      </c>
    </row>
    <row r="82" spans="1:9" ht="15.75" customHeight="1">
      <c r="A82" s="180" t="s">
        <v>142</v>
      </c>
      <c r="B82" s="181"/>
      <c r="C82" s="181"/>
      <c r="D82" s="181"/>
      <c r="E82" s="181"/>
      <c r="F82" s="181"/>
      <c r="G82" s="181"/>
      <c r="H82" s="181"/>
      <c r="I82" s="182"/>
    </row>
    <row r="83" spans="1:9" ht="15.75" customHeight="1">
      <c r="A83" s="30">
        <v>12</v>
      </c>
      <c r="B83" s="123" t="s">
        <v>112</v>
      </c>
      <c r="C83" s="130" t="s">
        <v>54</v>
      </c>
      <c r="D83" s="141"/>
      <c r="E83" s="34">
        <v>1536.4</v>
      </c>
      <c r="F83" s="34">
        <f>SUM(E83*12)</f>
        <v>18436.800000000003</v>
      </c>
      <c r="G83" s="34">
        <v>3.5</v>
      </c>
      <c r="H83" s="61">
        <f>SUM(F83*G83/1000)</f>
        <v>64.528800000000004</v>
      </c>
      <c r="I83" s="13">
        <f>F83/12*G83</f>
        <v>5377.4000000000015</v>
      </c>
    </row>
    <row r="84" spans="1:9" ht="31.5" customHeight="1">
      <c r="A84" s="30">
        <v>13</v>
      </c>
      <c r="B84" s="123" t="s">
        <v>199</v>
      </c>
      <c r="C84" s="130" t="s">
        <v>54</v>
      </c>
      <c r="D84" s="141"/>
      <c r="E84" s="34">
        <v>1536.4</v>
      </c>
      <c r="F84" s="34">
        <f>E84*12</f>
        <v>18436.800000000003</v>
      </c>
      <c r="G84" s="34">
        <v>3.2</v>
      </c>
      <c r="H84" s="61">
        <f>F84*G84/1000</f>
        <v>58.997760000000007</v>
      </c>
      <c r="I84" s="13">
        <f>F84/12*G84</f>
        <v>4916.4800000000014</v>
      </c>
    </row>
    <row r="85" spans="1:9" ht="15.75" customHeight="1">
      <c r="A85" s="30"/>
      <c r="B85" s="36" t="s">
        <v>77</v>
      </c>
      <c r="C85" s="79"/>
      <c r="D85" s="78"/>
      <c r="E85" s="68"/>
      <c r="F85" s="68"/>
      <c r="G85" s="68"/>
      <c r="H85" s="80">
        <f>H84</f>
        <v>58.997760000000007</v>
      </c>
      <c r="I85" s="68">
        <f>I84+I83+I77+I76+I70+I60+I34+I32+I31+I27+I18+I17+I16</f>
        <v>25771.661700000004</v>
      </c>
    </row>
    <row r="86" spans="1:9" ht="15.75" customHeight="1">
      <c r="A86" s="166" t="s">
        <v>59</v>
      </c>
      <c r="B86" s="167"/>
      <c r="C86" s="167"/>
      <c r="D86" s="167"/>
      <c r="E86" s="167"/>
      <c r="F86" s="167"/>
      <c r="G86" s="167"/>
      <c r="H86" s="167"/>
      <c r="I86" s="168"/>
    </row>
    <row r="87" spans="1:9" s="100" customFormat="1" ht="19.5" customHeight="1">
      <c r="A87" s="30">
        <v>14</v>
      </c>
      <c r="B87" s="158" t="s">
        <v>222</v>
      </c>
      <c r="C87" s="159" t="s">
        <v>223</v>
      </c>
      <c r="D87" s="101"/>
      <c r="E87" s="34"/>
      <c r="F87" s="34">
        <f>0.5/3</f>
        <v>0.16666666666666666</v>
      </c>
      <c r="G87" s="34">
        <v>1274.19</v>
      </c>
      <c r="H87" s="13">
        <f t="shared" ref="H87" si="13">G87*F87/1000</f>
        <v>0.212365</v>
      </c>
      <c r="I87" s="13">
        <f>G87*0.5/3</f>
        <v>212.36500000000001</v>
      </c>
    </row>
    <row r="88" spans="1:9" s="100" customFormat="1" ht="14.25" customHeight="1">
      <c r="A88" s="30">
        <v>15</v>
      </c>
      <c r="B88" s="110" t="s">
        <v>224</v>
      </c>
      <c r="C88" s="111" t="s">
        <v>103</v>
      </c>
      <c r="D88" s="101"/>
      <c r="E88" s="34"/>
      <c r="F88" s="34">
        <v>1</v>
      </c>
      <c r="G88" s="34">
        <v>215.85</v>
      </c>
      <c r="H88" s="13"/>
      <c r="I88" s="13">
        <f>G88*1</f>
        <v>215.85</v>
      </c>
    </row>
    <row r="89" spans="1:9" ht="15.75" customHeight="1">
      <c r="A89" s="30"/>
      <c r="B89" s="41" t="s">
        <v>51</v>
      </c>
      <c r="C89" s="37"/>
      <c r="D89" s="44"/>
      <c r="E89" s="37">
        <v>1</v>
      </c>
      <c r="F89" s="37"/>
      <c r="G89" s="37"/>
      <c r="H89" s="37"/>
      <c r="I89" s="32">
        <f>SUM(I87:I88)</f>
        <v>428.21500000000003</v>
      </c>
    </row>
    <row r="90" spans="1:9" ht="15.75" customHeight="1">
      <c r="A90" s="30"/>
      <c r="B90" s="43" t="s">
        <v>76</v>
      </c>
      <c r="C90" s="15"/>
      <c r="D90" s="15"/>
      <c r="E90" s="38"/>
      <c r="F90" s="38"/>
      <c r="G90" s="39"/>
      <c r="H90" s="39"/>
      <c r="I90" s="17">
        <v>0</v>
      </c>
    </row>
    <row r="91" spans="1:9">
      <c r="A91" s="45"/>
      <c r="B91" s="42" t="s">
        <v>153</v>
      </c>
      <c r="C91" s="33"/>
      <c r="D91" s="33"/>
      <c r="E91" s="33"/>
      <c r="F91" s="33"/>
      <c r="G91" s="33"/>
      <c r="H91" s="33"/>
      <c r="I91" s="40">
        <f>I85+I89</f>
        <v>26199.876700000004</v>
      </c>
    </row>
    <row r="92" spans="1:9" ht="15.75">
      <c r="A92" s="175" t="s">
        <v>225</v>
      </c>
      <c r="B92" s="175"/>
      <c r="C92" s="175"/>
      <c r="D92" s="175"/>
      <c r="E92" s="175"/>
      <c r="F92" s="175"/>
      <c r="G92" s="175"/>
      <c r="H92" s="175"/>
      <c r="I92" s="175"/>
    </row>
    <row r="93" spans="1:9" ht="15.75" customHeight="1">
      <c r="A93" s="54"/>
      <c r="B93" s="176" t="s">
        <v>226</v>
      </c>
      <c r="C93" s="176"/>
      <c r="D93" s="176"/>
      <c r="E93" s="176"/>
      <c r="F93" s="176"/>
      <c r="G93" s="176"/>
      <c r="H93" s="60"/>
      <c r="I93" s="3"/>
    </row>
    <row r="94" spans="1:9">
      <c r="A94" s="91"/>
      <c r="B94" s="171" t="s">
        <v>6</v>
      </c>
      <c r="C94" s="171"/>
      <c r="D94" s="171"/>
      <c r="E94" s="171"/>
      <c r="F94" s="171"/>
      <c r="G94" s="171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77" t="s">
        <v>7</v>
      </c>
      <c r="B96" s="177"/>
      <c r="C96" s="177"/>
      <c r="D96" s="177"/>
      <c r="E96" s="177"/>
      <c r="F96" s="177"/>
      <c r="G96" s="177"/>
      <c r="H96" s="177"/>
      <c r="I96" s="177"/>
    </row>
    <row r="97" spans="1:9" ht="15.75" customHeight="1">
      <c r="A97" s="177" t="s">
        <v>8</v>
      </c>
      <c r="B97" s="177"/>
      <c r="C97" s="177"/>
      <c r="D97" s="177"/>
      <c r="E97" s="177"/>
      <c r="F97" s="177"/>
      <c r="G97" s="177"/>
      <c r="H97" s="177"/>
      <c r="I97" s="177"/>
    </row>
    <row r="98" spans="1:9" ht="15.75">
      <c r="A98" s="178" t="s">
        <v>60</v>
      </c>
      <c r="B98" s="178"/>
      <c r="C98" s="178"/>
      <c r="D98" s="178"/>
      <c r="E98" s="178"/>
      <c r="F98" s="178"/>
      <c r="G98" s="178"/>
      <c r="H98" s="178"/>
      <c r="I98" s="178"/>
    </row>
    <row r="99" spans="1:9" ht="15.75">
      <c r="A99" s="11"/>
    </row>
    <row r="100" spans="1:9" ht="15.75">
      <c r="A100" s="169" t="s">
        <v>9</v>
      </c>
      <c r="B100" s="169"/>
      <c r="C100" s="169"/>
      <c r="D100" s="169"/>
      <c r="E100" s="169"/>
      <c r="F100" s="169"/>
      <c r="G100" s="169"/>
      <c r="H100" s="169"/>
      <c r="I100" s="169"/>
    </row>
    <row r="101" spans="1:9" ht="15.75">
      <c r="A101" s="4"/>
    </row>
    <row r="102" spans="1:9" ht="15.75">
      <c r="B102" s="88" t="s">
        <v>10</v>
      </c>
      <c r="C102" s="170" t="s">
        <v>133</v>
      </c>
      <c r="D102" s="170"/>
      <c r="E102" s="170"/>
      <c r="F102" s="58"/>
      <c r="I102" s="90"/>
    </row>
    <row r="103" spans="1:9">
      <c r="A103" s="91"/>
      <c r="C103" s="171" t="s">
        <v>11</v>
      </c>
      <c r="D103" s="171"/>
      <c r="E103" s="171"/>
      <c r="F103" s="25"/>
      <c r="I103" s="89" t="s">
        <v>12</v>
      </c>
    </row>
    <row r="104" spans="1:9" ht="15.75">
      <c r="A104" s="26"/>
      <c r="C104" s="12"/>
      <c r="D104" s="12"/>
      <c r="G104" s="12"/>
      <c r="H104" s="12"/>
    </row>
    <row r="105" spans="1:9" ht="15.75" customHeight="1">
      <c r="B105" s="88" t="s">
        <v>13</v>
      </c>
      <c r="C105" s="172"/>
      <c r="D105" s="172"/>
      <c r="E105" s="172"/>
      <c r="F105" s="59"/>
      <c r="I105" s="90"/>
    </row>
    <row r="106" spans="1:9" ht="15.75" customHeight="1">
      <c r="A106" s="91"/>
      <c r="C106" s="173" t="s">
        <v>11</v>
      </c>
      <c r="D106" s="173"/>
      <c r="E106" s="173"/>
      <c r="F106" s="91"/>
      <c r="I106" s="89" t="s">
        <v>12</v>
      </c>
    </row>
    <row r="107" spans="1:9" ht="15.75" customHeight="1">
      <c r="A107" s="4" t="s">
        <v>14</v>
      </c>
    </row>
    <row r="108" spans="1:9">
      <c r="A108" s="174" t="s">
        <v>15</v>
      </c>
      <c r="B108" s="174"/>
      <c r="C108" s="174"/>
      <c r="D108" s="174"/>
      <c r="E108" s="174"/>
      <c r="F108" s="174"/>
      <c r="G108" s="174"/>
      <c r="H108" s="174"/>
      <c r="I108" s="174"/>
    </row>
    <row r="109" spans="1:9" ht="45" customHeight="1">
      <c r="A109" s="165" t="s">
        <v>16</v>
      </c>
      <c r="B109" s="165"/>
      <c r="C109" s="165"/>
      <c r="D109" s="165"/>
      <c r="E109" s="165"/>
      <c r="F109" s="165"/>
      <c r="G109" s="165"/>
      <c r="H109" s="165"/>
      <c r="I109" s="165"/>
    </row>
    <row r="110" spans="1:9" ht="30" customHeight="1">
      <c r="A110" s="165" t="s">
        <v>17</v>
      </c>
      <c r="B110" s="165"/>
      <c r="C110" s="165"/>
      <c r="D110" s="165"/>
      <c r="E110" s="165"/>
      <c r="F110" s="165"/>
      <c r="G110" s="165"/>
      <c r="H110" s="165"/>
      <c r="I110" s="165"/>
    </row>
    <row r="111" spans="1:9" ht="30" customHeight="1">
      <c r="A111" s="165" t="s">
        <v>21</v>
      </c>
      <c r="B111" s="165"/>
      <c r="C111" s="165"/>
      <c r="D111" s="165"/>
      <c r="E111" s="165"/>
      <c r="F111" s="165"/>
      <c r="G111" s="165"/>
      <c r="H111" s="165"/>
      <c r="I111" s="165"/>
    </row>
    <row r="112" spans="1:9" ht="15" customHeight="1">
      <c r="A112" s="165" t="s">
        <v>20</v>
      </c>
      <c r="B112" s="165"/>
      <c r="C112" s="165"/>
      <c r="D112" s="165"/>
      <c r="E112" s="165"/>
      <c r="F112" s="165"/>
      <c r="G112" s="165"/>
      <c r="H112" s="165"/>
      <c r="I112" s="165"/>
    </row>
  </sheetData>
  <autoFilter ref="I12:I55"/>
  <mergeCells count="29">
    <mergeCell ref="A14:I14"/>
    <mergeCell ref="A15:I15"/>
    <mergeCell ref="A29:I29"/>
    <mergeCell ref="A43:I43"/>
    <mergeCell ref="A54:I54"/>
    <mergeCell ref="A3:I3"/>
    <mergeCell ref="A4:I4"/>
    <mergeCell ref="A5:I5"/>
    <mergeCell ref="A8:I8"/>
    <mergeCell ref="A10:I10"/>
    <mergeCell ref="R60:U60"/>
    <mergeCell ref="C106:E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2:I82"/>
    <mergeCell ref="A108:I108"/>
    <mergeCell ref="A109:I109"/>
    <mergeCell ref="A110:I110"/>
    <mergeCell ref="A111:I111"/>
    <mergeCell ref="A112:I112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6"/>
  <sheetViews>
    <sheetView topLeftCell="A84" workbookViewId="0">
      <selection activeCell="B82" sqref="B82:I8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83" t="s">
        <v>154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132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227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95"/>
      <c r="C6" s="95"/>
      <c r="D6" s="95"/>
      <c r="E6" s="95"/>
      <c r="F6" s="95"/>
      <c r="G6" s="95"/>
      <c r="H6" s="95"/>
      <c r="I6" s="84">
        <v>44074</v>
      </c>
      <c r="J6" s="2"/>
      <c r="K6" s="2"/>
      <c r="L6" s="2"/>
      <c r="M6" s="2"/>
    </row>
    <row r="7" spans="1:13" ht="15.75">
      <c r="B7" s="97"/>
      <c r="C7" s="97"/>
      <c r="D7" s="97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207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7" t="s">
        <v>149</v>
      </c>
      <c r="B10" s="187"/>
      <c r="C10" s="187"/>
      <c r="D10" s="187"/>
      <c r="E10" s="187"/>
      <c r="F10" s="187"/>
      <c r="G10" s="187"/>
      <c r="H10" s="187"/>
      <c r="I10" s="18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123" t="s">
        <v>80</v>
      </c>
      <c r="C16" s="124" t="s">
        <v>81</v>
      </c>
      <c r="D16" s="123" t="s">
        <v>165</v>
      </c>
      <c r="E16" s="128">
        <v>54.9</v>
      </c>
      <c r="F16" s="115">
        <f>SUM(E16*156/100)</f>
        <v>85.643999999999991</v>
      </c>
      <c r="G16" s="115">
        <v>261.45</v>
      </c>
      <c r="H16" s="135">
        <f t="shared" ref="H16:H18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23" t="s">
        <v>113</v>
      </c>
      <c r="C17" s="124" t="s">
        <v>81</v>
      </c>
      <c r="D17" s="123" t="s">
        <v>166</v>
      </c>
      <c r="E17" s="128">
        <v>109.8</v>
      </c>
      <c r="F17" s="115">
        <f>SUM(E17*104/100)</f>
        <v>114.19199999999999</v>
      </c>
      <c r="G17" s="115">
        <v>261.45</v>
      </c>
      <c r="H17" s="135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23" t="s">
        <v>114</v>
      </c>
      <c r="C18" s="124" t="s">
        <v>81</v>
      </c>
      <c r="D18" s="123" t="s">
        <v>211</v>
      </c>
      <c r="E18" s="128">
        <f>SUM(E16+E17)</f>
        <v>164.7</v>
      </c>
      <c r="F18" s="115">
        <f>SUM(E18*18/100)</f>
        <v>29.646000000000001</v>
      </c>
      <c r="G18" s="115">
        <v>752.16</v>
      </c>
      <c r="H18" s="135">
        <f t="shared" si="0"/>
        <v>22.298535359999999</v>
      </c>
      <c r="I18" s="34">
        <f>F18/18*2*G18</f>
        <v>2477.6150400000001</v>
      </c>
      <c r="J18" s="23"/>
      <c r="K18" s="8"/>
      <c r="L18" s="8"/>
      <c r="M18" s="8"/>
    </row>
    <row r="19" spans="1:13" ht="15.75" hidden="1" customHeight="1">
      <c r="A19" s="30">
        <v>4</v>
      </c>
      <c r="B19" s="62" t="s">
        <v>88</v>
      </c>
      <c r="C19" s="63" t="s">
        <v>89</v>
      </c>
      <c r="D19" s="62" t="s">
        <v>90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hidden="1" customHeight="1">
      <c r="A20" s="30">
        <v>5</v>
      </c>
      <c r="B20" s="62" t="s">
        <v>91</v>
      </c>
      <c r="C20" s="63" t="s">
        <v>81</v>
      </c>
      <c r="D20" s="62" t="s">
        <v>42</v>
      </c>
      <c r="E20" s="64">
        <v>9.18</v>
      </c>
      <c r="F20" s="65">
        <f>SUM(E20*2/100)</f>
        <v>0.18359999999999999</v>
      </c>
      <c r="G20" s="65">
        <v>271.12</v>
      </c>
      <c r="H20" s="66">
        <f t="shared" si="1"/>
        <v>4.9777631999999995E-2</v>
      </c>
      <c r="I20" s="13">
        <f>F20/2*G20</f>
        <v>24.888815999999998</v>
      </c>
      <c r="J20" s="23"/>
      <c r="K20" s="8"/>
      <c r="L20" s="8"/>
      <c r="M20" s="8"/>
    </row>
    <row r="21" spans="1:13" ht="15.75" hidden="1" customHeight="1">
      <c r="A21" s="30">
        <v>6</v>
      </c>
      <c r="B21" s="62" t="s">
        <v>92</v>
      </c>
      <c r="C21" s="63" t="s">
        <v>81</v>
      </c>
      <c r="D21" s="62" t="s">
        <v>42</v>
      </c>
      <c r="E21" s="64">
        <v>8.1</v>
      </c>
      <c r="F21" s="65">
        <f>SUM(E21*2/100)</f>
        <v>0.16200000000000001</v>
      </c>
      <c r="G21" s="65">
        <v>268.92</v>
      </c>
      <c r="H21" s="66">
        <f t="shared" si="1"/>
        <v>4.3565040000000006E-2</v>
      </c>
      <c r="I21" s="13">
        <f>F21/2*G21</f>
        <v>21.782520000000002</v>
      </c>
      <c r="J21" s="23"/>
      <c r="K21" s="8"/>
      <c r="L21" s="8"/>
      <c r="M21" s="8"/>
    </row>
    <row r="22" spans="1:13" ht="15.75" hidden="1" customHeight="1">
      <c r="A22" s="30">
        <v>7</v>
      </c>
      <c r="B22" s="62" t="s">
        <v>93</v>
      </c>
      <c r="C22" s="63" t="s">
        <v>52</v>
      </c>
      <c r="D22" s="62" t="s">
        <v>90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>
        <v>8</v>
      </c>
      <c r="B23" s="62" t="s">
        <v>94</v>
      </c>
      <c r="C23" s="63" t="s">
        <v>52</v>
      </c>
      <c r="D23" s="62" t="s">
        <v>90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62" t="s">
        <v>95</v>
      </c>
      <c r="C24" s="63" t="s">
        <v>52</v>
      </c>
      <c r="D24" s="62" t="s">
        <v>96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>
        <v>10</v>
      </c>
      <c r="B25" s="62" t="s">
        <v>97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>
        <v>11</v>
      </c>
      <c r="B26" s="62" t="s">
        <v>98</v>
      </c>
      <c r="C26" s="63" t="s">
        <v>52</v>
      </c>
      <c r="D26" s="62" t="s">
        <v>90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customHeight="1">
      <c r="A27" s="30">
        <v>4</v>
      </c>
      <c r="B27" s="123" t="s">
        <v>164</v>
      </c>
      <c r="C27" s="124" t="s">
        <v>25</v>
      </c>
      <c r="D27" s="123" t="s">
        <v>168</v>
      </c>
      <c r="E27" s="125">
        <v>2.91</v>
      </c>
      <c r="F27" s="115">
        <f>E27*258</f>
        <v>750.78000000000009</v>
      </c>
      <c r="G27" s="115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customHeight="1">
      <c r="A28" s="180" t="s">
        <v>150</v>
      </c>
      <c r="B28" s="181"/>
      <c r="C28" s="181"/>
      <c r="D28" s="181"/>
      <c r="E28" s="181"/>
      <c r="F28" s="181"/>
      <c r="G28" s="181"/>
      <c r="H28" s="181"/>
      <c r="I28" s="182"/>
      <c r="J28" s="24"/>
    </row>
    <row r="29" spans="1:13" ht="15.75" customHeight="1">
      <c r="A29" s="30"/>
      <c r="B29" s="82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customHeight="1">
      <c r="A30" s="30">
        <v>5</v>
      </c>
      <c r="B30" s="123" t="s">
        <v>101</v>
      </c>
      <c r="C30" s="124" t="s">
        <v>84</v>
      </c>
      <c r="D30" s="123" t="s">
        <v>171</v>
      </c>
      <c r="E30" s="115">
        <v>61.5</v>
      </c>
      <c r="F30" s="115">
        <f>SUM(E30*24/1000)</f>
        <v>1.476</v>
      </c>
      <c r="G30" s="115">
        <v>232.4</v>
      </c>
      <c r="H30" s="66">
        <f t="shared" ref="H30:H33" si="3">SUM(F30*G30/1000)</f>
        <v>0.34302240000000001</v>
      </c>
      <c r="I30" s="13">
        <f t="shared" ref="I30:I31" si="4">F30/6*G30</f>
        <v>57.170400000000001</v>
      </c>
      <c r="J30" s="23"/>
      <c r="K30" s="8"/>
      <c r="L30" s="8"/>
      <c r="M30" s="8"/>
    </row>
    <row r="31" spans="1:13" ht="31.5" customHeight="1">
      <c r="A31" s="30">
        <v>6</v>
      </c>
      <c r="B31" s="123" t="s">
        <v>100</v>
      </c>
      <c r="C31" s="124" t="s">
        <v>84</v>
      </c>
      <c r="D31" s="123" t="s">
        <v>195</v>
      </c>
      <c r="E31" s="115">
        <v>35.299999999999997</v>
      </c>
      <c r="F31" s="115">
        <f>SUM(E31*72/1000)</f>
        <v>2.5415999999999999</v>
      </c>
      <c r="G31" s="115">
        <v>385.6</v>
      </c>
      <c r="H31" s="66">
        <f t="shared" si="3"/>
        <v>0.98004096000000007</v>
      </c>
      <c r="I31" s="13">
        <f t="shared" si="4"/>
        <v>163.34016</v>
      </c>
      <c r="J31" s="23"/>
      <c r="K31" s="8"/>
      <c r="L31" s="8"/>
      <c r="M31" s="8"/>
    </row>
    <row r="32" spans="1:13" ht="15.75" hidden="1" customHeight="1">
      <c r="A32" s="30">
        <v>16</v>
      </c>
      <c r="B32" s="123" t="s">
        <v>27</v>
      </c>
      <c r="C32" s="124" t="s">
        <v>84</v>
      </c>
      <c r="D32" s="123" t="s">
        <v>161</v>
      </c>
      <c r="E32" s="115">
        <v>61.5</v>
      </c>
      <c r="F32" s="115">
        <f>SUM(E32/1000)</f>
        <v>6.1499999999999999E-2</v>
      </c>
      <c r="G32" s="115">
        <v>4502.97</v>
      </c>
      <c r="H32" s="66">
        <f t="shared" si="3"/>
        <v>0.27693265500000003</v>
      </c>
      <c r="I32" s="13">
        <f>F32*G32</f>
        <v>276.93265500000001</v>
      </c>
      <c r="J32" s="23"/>
      <c r="K32" s="8"/>
      <c r="L32" s="8"/>
      <c r="M32" s="8"/>
    </row>
    <row r="33" spans="1:14" ht="15.75" customHeight="1">
      <c r="A33" s="30"/>
      <c r="B33" s="121" t="s">
        <v>208</v>
      </c>
      <c r="C33" s="111" t="s">
        <v>209</v>
      </c>
      <c r="D33" s="123" t="s">
        <v>195</v>
      </c>
      <c r="E33" s="115">
        <v>4</v>
      </c>
      <c r="F33" s="115">
        <f>E33*72/100</f>
        <v>2.88</v>
      </c>
      <c r="G33" s="115">
        <v>1941.17</v>
      </c>
      <c r="H33" s="66">
        <f t="shared" si="3"/>
        <v>5.5905696000000002</v>
      </c>
      <c r="I33" s="13">
        <f>G33*F33/6</f>
        <v>931.76159999999993</v>
      </c>
      <c r="J33" s="24"/>
    </row>
    <row r="34" spans="1:14" ht="15.75" hidden="1" customHeight="1">
      <c r="A34" s="30"/>
      <c r="B34" s="62" t="s">
        <v>64</v>
      </c>
      <c r="C34" s="63" t="s">
        <v>31</v>
      </c>
      <c r="D34" s="62" t="s">
        <v>65</v>
      </c>
      <c r="E34" s="64"/>
      <c r="F34" s="65">
        <v>1</v>
      </c>
      <c r="G34" s="65">
        <v>1413.96</v>
      </c>
      <c r="H34" s="66">
        <f t="shared" ref="H34" si="5">SUM(F34*G34/1000)</f>
        <v>1.4139600000000001</v>
      </c>
      <c r="I34" s="13">
        <v>0</v>
      </c>
      <c r="J34" s="24"/>
    </row>
    <row r="35" spans="1:14" ht="15.75" hidden="1" customHeight="1">
      <c r="A35" s="30"/>
      <c r="B35" s="82" t="s">
        <v>5</v>
      </c>
      <c r="C35" s="63"/>
      <c r="D35" s="62"/>
      <c r="E35" s="64"/>
      <c r="F35" s="65"/>
      <c r="G35" s="65"/>
      <c r="H35" s="66" t="s">
        <v>115</v>
      </c>
      <c r="I35" s="13"/>
      <c r="J35" s="24"/>
      <c r="L35" s="19"/>
      <c r="M35" s="20"/>
      <c r="N35" s="21"/>
    </row>
    <row r="36" spans="1:14" ht="15.75" hidden="1" customHeight="1">
      <c r="A36" s="30">
        <v>6</v>
      </c>
      <c r="B36" s="62" t="s">
        <v>26</v>
      </c>
      <c r="C36" s="63" t="s">
        <v>31</v>
      </c>
      <c r="D36" s="62"/>
      <c r="E36" s="64"/>
      <c r="F36" s="65">
        <v>3</v>
      </c>
      <c r="G36" s="65">
        <v>1900.37</v>
      </c>
      <c r="H36" s="66">
        <f t="shared" ref="H36:H41" si="6">SUM(F36*G36/1000)</f>
        <v>5.7011099999999999</v>
      </c>
      <c r="I36" s="13">
        <f t="shared" ref="I36:I41" si="7">F36/6*G36</f>
        <v>950.18499999999995</v>
      </c>
      <c r="J36" s="24"/>
      <c r="L36" s="19"/>
      <c r="M36" s="20"/>
      <c r="N36" s="21"/>
    </row>
    <row r="37" spans="1:14" ht="31.5" hidden="1" customHeight="1">
      <c r="A37" s="30">
        <v>7</v>
      </c>
      <c r="B37" s="62" t="s">
        <v>116</v>
      </c>
      <c r="C37" s="63" t="s">
        <v>29</v>
      </c>
      <c r="D37" s="62" t="s">
        <v>82</v>
      </c>
      <c r="E37" s="64">
        <v>35.299999999999997</v>
      </c>
      <c r="F37" s="65">
        <f>E37*30/1000</f>
        <v>1.0589999999999999</v>
      </c>
      <c r="G37" s="65">
        <v>2616.4899999999998</v>
      </c>
      <c r="H37" s="66">
        <f t="shared" si="6"/>
        <v>2.77086291</v>
      </c>
      <c r="I37" s="13">
        <f t="shared" si="7"/>
        <v>461.81048499999991</v>
      </c>
      <c r="J37" s="24"/>
      <c r="L37" s="19"/>
      <c r="M37" s="20"/>
      <c r="N37" s="21"/>
    </row>
    <row r="38" spans="1:14" ht="15.75" hidden="1" customHeight="1">
      <c r="A38" s="30">
        <v>8</v>
      </c>
      <c r="B38" s="62" t="s">
        <v>117</v>
      </c>
      <c r="C38" s="63" t="s">
        <v>29</v>
      </c>
      <c r="D38" s="62" t="s">
        <v>83</v>
      </c>
      <c r="E38" s="64">
        <v>35.299999999999997</v>
      </c>
      <c r="F38" s="65">
        <f>SUM(E38*155/1000)</f>
        <v>5.4714999999999998</v>
      </c>
      <c r="G38" s="65">
        <v>436.45</v>
      </c>
      <c r="H38" s="66">
        <f t="shared" si="6"/>
        <v>2.3880361749999999</v>
      </c>
      <c r="I38" s="13">
        <f t="shared" si="7"/>
        <v>398.00602916666662</v>
      </c>
      <c r="J38" s="24"/>
      <c r="L38" s="19"/>
      <c r="M38" s="20"/>
      <c r="N38" s="21"/>
    </row>
    <row r="39" spans="1:14" ht="47.25" hidden="1" customHeight="1">
      <c r="A39" s="30">
        <v>9</v>
      </c>
      <c r="B39" s="62" t="s">
        <v>118</v>
      </c>
      <c r="C39" s="63" t="s">
        <v>84</v>
      </c>
      <c r="D39" s="62" t="s">
        <v>119</v>
      </c>
      <c r="E39" s="64">
        <v>35.299999999999997</v>
      </c>
      <c r="F39" s="65">
        <f>SUM(E39*24/1000)</f>
        <v>0.84719999999999995</v>
      </c>
      <c r="G39" s="65">
        <v>7221.21</v>
      </c>
      <c r="H39" s="66">
        <f t="shared" si="6"/>
        <v>6.1178091119999998</v>
      </c>
      <c r="I39" s="13">
        <f t="shared" si="7"/>
        <v>1019.6348519999999</v>
      </c>
      <c r="J39" s="24"/>
      <c r="L39" s="19"/>
      <c r="M39" s="20"/>
      <c r="N39" s="21"/>
    </row>
    <row r="40" spans="1:14" ht="15.75" hidden="1" customHeight="1">
      <c r="A40" s="30">
        <v>10</v>
      </c>
      <c r="B40" s="62" t="s">
        <v>120</v>
      </c>
      <c r="C40" s="63" t="s">
        <v>84</v>
      </c>
      <c r="D40" s="62" t="s">
        <v>66</v>
      </c>
      <c r="E40" s="64">
        <v>35.299999999999997</v>
      </c>
      <c r="F40" s="65">
        <f>SUM(E40*45/1000)</f>
        <v>1.5884999999999998</v>
      </c>
      <c r="G40" s="65">
        <v>533.45000000000005</v>
      </c>
      <c r="H40" s="66">
        <f t="shared" si="6"/>
        <v>0.84738532499999997</v>
      </c>
      <c r="I40" s="13">
        <f t="shared" si="7"/>
        <v>141.23088749999999</v>
      </c>
      <c r="J40" s="24"/>
      <c r="L40" s="19"/>
      <c r="M40" s="20"/>
      <c r="N40" s="21"/>
    </row>
    <row r="41" spans="1:14" ht="15.75" hidden="1" customHeight="1">
      <c r="A41" s="30">
        <v>11</v>
      </c>
      <c r="B41" s="62" t="s">
        <v>67</v>
      </c>
      <c r="C41" s="63" t="s">
        <v>32</v>
      </c>
      <c r="D41" s="62"/>
      <c r="E41" s="64"/>
      <c r="F41" s="65">
        <v>0.3</v>
      </c>
      <c r="G41" s="65">
        <v>992.97</v>
      </c>
      <c r="H41" s="66">
        <f t="shared" si="6"/>
        <v>0.29789100000000002</v>
      </c>
      <c r="I41" s="13">
        <f t="shared" si="7"/>
        <v>49.648499999999999</v>
      </c>
      <c r="J41" s="24"/>
      <c r="L41" s="19"/>
      <c r="M41" s="20"/>
      <c r="N41" s="21"/>
    </row>
    <row r="42" spans="1:14" ht="15.75" customHeight="1">
      <c r="A42" s="180" t="s">
        <v>135</v>
      </c>
      <c r="B42" s="181"/>
      <c r="C42" s="181"/>
      <c r="D42" s="181"/>
      <c r="E42" s="181"/>
      <c r="F42" s="181"/>
      <c r="G42" s="181"/>
      <c r="H42" s="181"/>
      <c r="I42" s="182"/>
      <c r="J42" s="24"/>
      <c r="L42" s="19"/>
      <c r="M42" s="20"/>
      <c r="N42" s="21"/>
    </row>
    <row r="43" spans="1:14" ht="15.75" hidden="1" customHeight="1">
      <c r="A43" s="30">
        <v>18</v>
      </c>
      <c r="B43" s="62" t="s">
        <v>102</v>
      </c>
      <c r="C43" s="63" t="s">
        <v>84</v>
      </c>
      <c r="D43" s="62" t="s">
        <v>42</v>
      </c>
      <c r="E43" s="64">
        <v>907.4</v>
      </c>
      <c r="F43" s="65">
        <f>SUM(E43*2/1000)</f>
        <v>1.8148</v>
      </c>
      <c r="G43" s="13">
        <v>1283.46</v>
      </c>
      <c r="H43" s="66">
        <f t="shared" ref="H43:H52" si="8">SUM(F43*G43/1000)</f>
        <v>2.3292232079999997</v>
      </c>
      <c r="I43" s="13">
        <f>F43/2*G43</f>
        <v>1164.6116039999999</v>
      </c>
      <c r="J43" s="24"/>
      <c r="L43" s="19"/>
      <c r="M43" s="20"/>
      <c r="N43" s="21"/>
    </row>
    <row r="44" spans="1:14" ht="15.75" hidden="1" customHeight="1">
      <c r="A44" s="30">
        <v>19</v>
      </c>
      <c r="B44" s="62" t="s">
        <v>35</v>
      </c>
      <c r="C44" s="63" t="s">
        <v>84</v>
      </c>
      <c r="D44" s="62" t="s">
        <v>42</v>
      </c>
      <c r="E44" s="64">
        <v>27</v>
      </c>
      <c r="F44" s="65">
        <f>SUM(E44*2/1000)</f>
        <v>5.3999999999999999E-2</v>
      </c>
      <c r="G44" s="13">
        <v>4192.6400000000003</v>
      </c>
      <c r="H44" s="66">
        <f t="shared" si="8"/>
        <v>0.22640256000000003</v>
      </c>
      <c r="I44" s="13">
        <f t="shared" ref="I44:I51" si="9">F44/2*G44</f>
        <v>113.20128000000001</v>
      </c>
      <c r="J44" s="24"/>
      <c r="L44" s="19"/>
      <c r="M44" s="20"/>
      <c r="N44" s="21"/>
    </row>
    <row r="45" spans="1:14" ht="15.75" hidden="1" customHeight="1">
      <c r="A45" s="30">
        <v>20</v>
      </c>
      <c r="B45" s="62" t="s">
        <v>36</v>
      </c>
      <c r="C45" s="63" t="s">
        <v>84</v>
      </c>
      <c r="D45" s="62" t="s">
        <v>42</v>
      </c>
      <c r="E45" s="64">
        <v>772</v>
      </c>
      <c r="F45" s="65">
        <f>SUM(E45*2/1000)</f>
        <v>1.544</v>
      </c>
      <c r="G45" s="13">
        <v>1711.28</v>
      </c>
      <c r="H45" s="66">
        <f t="shared" si="8"/>
        <v>2.6422163200000002</v>
      </c>
      <c r="I45" s="13">
        <f t="shared" si="9"/>
        <v>1321.10816</v>
      </c>
      <c r="J45" s="24"/>
      <c r="L45" s="19"/>
      <c r="M45" s="20"/>
      <c r="N45" s="21"/>
    </row>
    <row r="46" spans="1:14" ht="15.75" hidden="1" customHeight="1">
      <c r="A46" s="30">
        <v>21</v>
      </c>
      <c r="B46" s="62" t="s">
        <v>37</v>
      </c>
      <c r="C46" s="63" t="s">
        <v>84</v>
      </c>
      <c r="D46" s="62" t="s">
        <v>42</v>
      </c>
      <c r="E46" s="64">
        <v>959.4</v>
      </c>
      <c r="F46" s="65">
        <f>SUM(E46*2/1000)</f>
        <v>1.9188000000000001</v>
      </c>
      <c r="G46" s="13">
        <v>1179.73</v>
      </c>
      <c r="H46" s="66">
        <f t="shared" si="8"/>
        <v>2.2636659240000001</v>
      </c>
      <c r="I46" s="13">
        <f t="shared" si="9"/>
        <v>1131.832962</v>
      </c>
      <c r="J46" s="24"/>
      <c r="L46" s="19"/>
      <c r="M46" s="20"/>
      <c r="N46" s="21"/>
    </row>
    <row r="47" spans="1:14" ht="15.75" hidden="1" customHeight="1">
      <c r="A47" s="30">
        <v>22</v>
      </c>
      <c r="B47" s="62" t="s">
        <v>33</v>
      </c>
      <c r="C47" s="63" t="s">
        <v>34</v>
      </c>
      <c r="D47" s="62" t="s">
        <v>42</v>
      </c>
      <c r="E47" s="64">
        <v>66.02</v>
      </c>
      <c r="F47" s="65">
        <f>SUM(E47*2/100)</f>
        <v>1.3204</v>
      </c>
      <c r="G47" s="13">
        <v>90.61</v>
      </c>
      <c r="H47" s="66">
        <f t="shared" si="8"/>
        <v>0.11964144400000001</v>
      </c>
      <c r="I47" s="13">
        <f t="shared" si="9"/>
        <v>59.820722000000004</v>
      </c>
      <c r="J47" s="24"/>
      <c r="L47" s="19"/>
      <c r="M47" s="20"/>
      <c r="N47" s="21"/>
    </row>
    <row r="48" spans="1:14" ht="15.75" hidden="1" customHeight="1">
      <c r="A48" s="30">
        <v>23</v>
      </c>
      <c r="B48" s="62" t="s">
        <v>55</v>
      </c>
      <c r="C48" s="63" t="s">
        <v>84</v>
      </c>
      <c r="D48" s="62" t="s">
        <v>134</v>
      </c>
      <c r="E48" s="64">
        <v>1536.4</v>
      </c>
      <c r="F48" s="65">
        <f>SUM(E48*5/1000)</f>
        <v>7.6820000000000004</v>
      </c>
      <c r="G48" s="13">
        <v>1711.28</v>
      </c>
      <c r="H48" s="66">
        <f t="shared" si="8"/>
        <v>13.14605296</v>
      </c>
      <c r="I48" s="13">
        <f>F48/5*G48</f>
        <v>2629.2105919999999</v>
      </c>
      <c r="J48" s="24"/>
      <c r="L48" s="19"/>
      <c r="M48" s="20"/>
      <c r="N48" s="21"/>
    </row>
    <row r="49" spans="1:22" ht="32.25" hidden="1" customHeight="1">
      <c r="A49" s="30">
        <v>12</v>
      </c>
      <c r="B49" s="62" t="s">
        <v>85</v>
      </c>
      <c r="C49" s="63" t="s">
        <v>84</v>
      </c>
      <c r="D49" s="62" t="s">
        <v>42</v>
      </c>
      <c r="E49" s="64">
        <v>1536.4</v>
      </c>
      <c r="F49" s="65">
        <f>SUM(E49*2/1000)</f>
        <v>3.0728</v>
      </c>
      <c r="G49" s="13">
        <v>1510.06</v>
      </c>
      <c r="H49" s="66">
        <f t="shared" si="8"/>
        <v>4.6401123680000005</v>
      </c>
      <c r="I49" s="13">
        <f t="shared" si="9"/>
        <v>2320.056184</v>
      </c>
      <c r="J49" s="24"/>
      <c r="L49" s="19"/>
      <c r="M49" s="20"/>
      <c r="N49" s="21"/>
    </row>
    <row r="50" spans="1:22" ht="32.25" hidden="1" customHeight="1">
      <c r="A50" s="30">
        <v>13</v>
      </c>
      <c r="B50" s="62" t="s">
        <v>86</v>
      </c>
      <c r="C50" s="63" t="s">
        <v>38</v>
      </c>
      <c r="D50" s="62" t="s">
        <v>42</v>
      </c>
      <c r="E50" s="64">
        <v>9</v>
      </c>
      <c r="F50" s="65">
        <f>SUM(E50*2/100)</f>
        <v>0.18</v>
      </c>
      <c r="G50" s="13">
        <v>3850.4</v>
      </c>
      <c r="H50" s="66">
        <f t="shared" si="8"/>
        <v>0.69307200000000002</v>
      </c>
      <c r="I50" s="13">
        <f t="shared" si="9"/>
        <v>346.536</v>
      </c>
      <c r="J50" s="24"/>
      <c r="L50" s="19"/>
      <c r="M50" s="20"/>
      <c r="N50" s="21"/>
    </row>
    <row r="51" spans="1:22" ht="15.75" hidden="1" customHeight="1">
      <c r="A51" s="30">
        <v>14</v>
      </c>
      <c r="B51" s="62" t="s">
        <v>39</v>
      </c>
      <c r="C51" s="63" t="s">
        <v>40</v>
      </c>
      <c r="D51" s="62" t="s">
        <v>42</v>
      </c>
      <c r="E51" s="64">
        <v>1</v>
      </c>
      <c r="F51" s="65">
        <v>0.02</v>
      </c>
      <c r="G51" s="13">
        <v>7033.13</v>
      </c>
      <c r="H51" s="66">
        <f t="shared" si="8"/>
        <v>0.1406626</v>
      </c>
      <c r="I51" s="13">
        <f t="shared" si="9"/>
        <v>70.331299999999999</v>
      </c>
      <c r="J51" s="24"/>
      <c r="L51" s="19"/>
      <c r="M51" s="20"/>
      <c r="N51" s="21"/>
    </row>
    <row r="52" spans="1:22" ht="15.75" customHeight="1">
      <c r="A52" s="30">
        <v>7</v>
      </c>
      <c r="B52" s="123" t="s">
        <v>41</v>
      </c>
      <c r="C52" s="124" t="s">
        <v>103</v>
      </c>
      <c r="D52" s="127">
        <v>44069</v>
      </c>
      <c r="E52" s="128">
        <v>53</v>
      </c>
      <c r="F52" s="115">
        <v>53</v>
      </c>
      <c r="G52" s="160">
        <v>97.93</v>
      </c>
      <c r="H52" s="66">
        <f t="shared" si="8"/>
        <v>5.1902900000000001</v>
      </c>
      <c r="I52" s="13">
        <f>F52/3*G52</f>
        <v>1730.0966666666668</v>
      </c>
      <c r="J52" s="24"/>
      <c r="L52" s="19"/>
    </row>
    <row r="53" spans="1:22" ht="15.75" customHeight="1">
      <c r="A53" s="180" t="s">
        <v>136</v>
      </c>
      <c r="B53" s="181"/>
      <c r="C53" s="181"/>
      <c r="D53" s="181"/>
      <c r="E53" s="181"/>
      <c r="F53" s="181"/>
      <c r="G53" s="181"/>
      <c r="H53" s="181"/>
      <c r="I53" s="182"/>
    </row>
    <row r="54" spans="1:22" ht="15.75" hidden="1" customHeight="1">
      <c r="A54" s="30"/>
      <c r="B54" s="82" t="s">
        <v>43</v>
      </c>
      <c r="C54" s="63"/>
      <c r="D54" s="62"/>
      <c r="E54" s="64"/>
      <c r="F54" s="65"/>
      <c r="G54" s="65"/>
      <c r="H54" s="66"/>
      <c r="I54" s="13"/>
    </row>
    <row r="55" spans="1:22" ht="31.5" hidden="1" customHeight="1">
      <c r="A55" s="30">
        <v>15</v>
      </c>
      <c r="B55" s="62" t="s">
        <v>104</v>
      </c>
      <c r="C55" s="63" t="s">
        <v>81</v>
      </c>
      <c r="D55" s="62" t="s">
        <v>105</v>
      </c>
      <c r="E55" s="64">
        <v>11.5</v>
      </c>
      <c r="F55" s="65">
        <f>SUM(E55*6/100)</f>
        <v>0.69</v>
      </c>
      <c r="G55" s="13">
        <v>2306.62</v>
      </c>
      <c r="H55" s="66">
        <f>SUM(F55*G55/1000)</f>
        <v>1.5915677999999998</v>
      </c>
      <c r="I55" s="13">
        <f>F55/6*G55</f>
        <v>265.26129999999995</v>
      </c>
    </row>
    <row r="56" spans="1:22" ht="15.75" hidden="1" customHeight="1">
      <c r="A56" s="30"/>
      <c r="B56" s="62" t="s">
        <v>121</v>
      </c>
      <c r="C56" s="63" t="s">
        <v>122</v>
      </c>
      <c r="D56" s="62" t="s">
        <v>65</v>
      </c>
      <c r="E56" s="64"/>
      <c r="F56" s="65">
        <v>2</v>
      </c>
      <c r="G56" s="85">
        <v>1501</v>
      </c>
      <c r="H56" s="66">
        <f>SUM(F56*G56/1000)</f>
        <v>3.0019999999999998</v>
      </c>
      <c r="I56" s="13">
        <v>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9"/>
    </row>
    <row r="57" spans="1:22" ht="15.75" customHeight="1">
      <c r="A57" s="30"/>
      <c r="B57" s="82" t="s">
        <v>44</v>
      </c>
      <c r="C57" s="63"/>
      <c r="D57" s="62"/>
      <c r="E57" s="64"/>
      <c r="F57" s="65"/>
      <c r="G57" s="86"/>
      <c r="H57" s="66"/>
      <c r="I57" s="13"/>
      <c r="J57" s="26"/>
      <c r="K57" s="26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2" ht="15.75" hidden="1" customHeight="1">
      <c r="A58" s="30"/>
      <c r="B58" s="62" t="s">
        <v>106</v>
      </c>
      <c r="C58" s="63" t="s">
        <v>81</v>
      </c>
      <c r="D58" s="62" t="s">
        <v>53</v>
      </c>
      <c r="E58" s="64">
        <v>148</v>
      </c>
      <c r="F58" s="66">
        <f>E58/100</f>
        <v>1.48</v>
      </c>
      <c r="G58" s="13">
        <v>987.51</v>
      </c>
      <c r="H58" s="71">
        <f>F58*G58/1000</f>
        <v>1.4615148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S58" s="3"/>
      <c r="T58" s="3"/>
      <c r="U58" s="3"/>
    </row>
    <row r="59" spans="1:22" ht="15.75" customHeight="1">
      <c r="A59" s="30">
        <v>8</v>
      </c>
      <c r="B59" s="73" t="s">
        <v>131</v>
      </c>
      <c r="C59" s="72" t="s">
        <v>25</v>
      </c>
      <c r="D59" s="73" t="s">
        <v>161</v>
      </c>
      <c r="E59" s="74">
        <v>140.5</v>
      </c>
      <c r="F59" s="65">
        <v>1320</v>
      </c>
      <c r="G59" s="87">
        <v>1.4</v>
      </c>
      <c r="H59" s="71">
        <f>F59*G59/1000</f>
        <v>1.8479999999999999</v>
      </c>
      <c r="I59" s="13">
        <f>F59/12*G59</f>
        <v>154</v>
      </c>
      <c r="J59" s="5"/>
      <c r="K59" s="5"/>
      <c r="L59" s="5"/>
      <c r="M59" s="5"/>
      <c r="N59" s="5"/>
      <c r="O59" s="5"/>
      <c r="P59" s="5"/>
      <c r="Q59" s="5"/>
      <c r="R59" s="173"/>
      <c r="S59" s="173"/>
      <c r="T59" s="173"/>
      <c r="U59" s="173"/>
    </row>
    <row r="60" spans="1:22" ht="15.75" customHeight="1">
      <c r="A60" s="30"/>
      <c r="B60" s="83" t="s">
        <v>45</v>
      </c>
      <c r="C60" s="72"/>
      <c r="D60" s="73"/>
      <c r="E60" s="74"/>
      <c r="F60" s="75"/>
      <c r="G60" s="75"/>
      <c r="H60" s="76" t="s">
        <v>115</v>
      </c>
      <c r="I60" s="1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2" ht="15.75" hidden="1" customHeight="1">
      <c r="A61" s="30">
        <v>10</v>
      </c>
      <c r="B61" s="14" t="s">
        <v>46</v>
      </c>
      <c r="C61" s="16" t="s">
        <v>103</v>
      </c>
      <c r="D61" s="14" t="s">
        <v>65</v>
      </c>
      <c r="E61" s="18">
        <v>2</v>
      </c>
      <c r="F61" s="65">
        <f>E61</f>
        <v>2</v>
      </c>
      <c r="G61" s="13">
        <v>276.74</v>
      </c>
      <c r="H61" s="61">
        <f t="shared" ref="H61:H78" si="10">SUM(F61*G61/1000)</f>
        <v>0.55347999999999997</v>
      </c>
      <c r="I61" s="13">
        <f>G61*2</f>
        <v>553.48</v>
      </c>
    </row>
    <row r="62" spans="1:22" ht="15.75" hidden="1" customHeight="1">
      <c r="A62" s="30"/>
      <c r="B62" s="14" t="s">
        <v>47</v>
      </c>
      <c r="C62" s="16" t="s">
        <v>103</v>
      </c>
      <c r="D62" s="14" t="s">
        <v>65</v>
      </c>
      <c r="E62" s="18">
        <v>1</v>
      </c>
      <c r="F62" s="65">
        <f>E62</f>
        <v>1</v>
      </c>
      <c r="G62" s="13">
        <v>94.89</v>
      </c>
      <c r="H62" s="61">
        <f t="shared" si="10"/>
        <v>9.4890000000000002E-2</v>
      </c>
      <c r="I62" s="13">
        <v>0</v>
      </c>
    </row>
    <row r="63" spans="1:22" ht="15.75" hidden="1" customHeight="1">
      <c r="A63" s="30">
        <v>26</v>
      </c>
      <c r="B63" s="14" t="s">
        <v>48</v>
      </c>
      <c r="C63" s="16" t="s">
        <v>107</v>
      </c>
      <c r="D63" s="14" t="s">
        <v>53</v>
      </c>
      <c r="E63" s="64">
        <v>6307</v>
      </c>
      <c r="F63" s="13">
        <f>SUM(E63/100)</f>
        <v>63.07</v>
      </c>
      <c r="G63" s="13">
        <v>263.99</v>
      </c>
      <c r="H63" s="61">
        <f t="shared" si="10"/>
        <v>16.649849300000003</v>
      </c>
      <c r="I63" s="13">
        <f>F63*G63</f>
        <v>16649.849300000002</v>
      </c>
    </row>
    <row r="64" spans="1:22" ht="15.75" hidden="1" customHeight="1">
      <c r="A64" s="30">
        <v>27</v>
      </c>
      <c r="B64" s="14" t="s">
        <v>49</v>
      </c>
      <c r="C64" s="16" t="s">
        <v>108</v>
      </c>
      <c r="D64" s="14"/>
      <c r="E64" s="64">
        <v>6307</v>
      </c>
      <c r="F64" s="13">
        <f>SUM(E64/1000)</f>
        <v>6.3070000000000004</v>
      </c>
      <c r="G64" s="13">
        <v>205.57</v>
      </c>
      <c r="H64" s="61">
        <f t="shared" si="10"/>
        <v>1.29652999</v>
      </c>
      <c r="I64" s="13">
        <f t="shared" ref="I64:I67" si="11">F64*G64</f>
        <v>1296.52999</v>
      </c>
    </row>
    <row r="65" spans="1:9" ht="15.75" hidden="1" customHeight="1">
      <c r="A65" s="30">
        <v>28</v>
      </c>
      <c r="B65" s="14" t="s">
        <v>50</v>
      </c>
      <c r="C65" s="16" t="s">
        <v>74</v>
      </c>
      <c r="D65" s="14" t="s">
        <v>53</v>
      </c>
      <c r="E65" s="64">
        <v>1003</v>
      </c>
      <c r="F65" s="13">
        <f>SUM(E65/100)</f>
        <v>10.029999999999999</v>
      </c>
      <c r="G65" s="13">
        <v>2581.5300000000002</v>
      </c>
      <c r="H65" s="61">
        <f t="shared" si="10"/>
        <v>25.892745900000001</v>
      </c>
      <c r="I65" s="13">
        <f t="shared" si="11"/>
        <v>25892.745900000002</v>
      </c>
    </row>
    <row r="66" spans="1:9" ht="15.75" hidden="1" customHeight="1">
      <c r="A66" s="30">
        <v>29</v>
      </c>
      <c r="B66" s="77" t="s">
        <v>109</v>
      </c>
      <c r="C66" s="16" t="s">
        <v>32</v>
      </c>
      <c r="D66" s="14"/>
      <c r="E66" s="64">
        <v>6.6</v>
      </c>
      <c r="F66" s="13">
        <f>SUM(E66)</f>
        <v>6.6</v>
      </c>
      <c r="G66" s="13">
        <v>47.75</v>
      </c>
      <c r="H66" s="61">
        <f t="shared" si="10"/>
        <v>0.31514999999999999</v>
      </c>
      <c r="I66" s="13">
        <f t="shared" si="11"/>
        <v>315.14999999999998</v>
      </c>
    </row>
    <row r="67" spans="1:9" ht="15.75" hidden="1" customHeight="1">
      <c r="A67" s="30">
        <v>30</v>
      </c>
      <c r="B67" s="77" t="s">
        <v>110</v>
      </c>
      <c r="C67" s="16" t="s">
        <v>32</v>
      </c>
      <c r="D67" s="14"/>
      <c r="E67" s="64">
        <v>6.6</v>
      </c>
      <c r="F67" s="13">
        <f>SUM(E67)</f>
        <v>6.6</v>
      </c>
      <c r="G67" s="13">
        <v>44.27</v>
      </c>
      <c r="H67" s="61">
        <f t="shared" si="10"/>
        <v>0.292182</v>
      </c>
      <c r="I67" s="13">
        <f t="shared" si="11"/>
        <v>292.18200000000002</v>
      </c>
    </row>
    <row r="68" spans="1:9" ht="15.75" hidden="1" customHeight="1">
      <c r="A68" s="30">
        <v>19</v>
      </c>
      <c r="B68" s="14" t="s">
        <v>56</v>
      </c>
      <c r="C68" s="16" t="s">
        <v>57</v>
      </c>
      <c r="D68" s="14" t="s">
        <v>53</v>
      </c>
      <c r="E68" s="18">
        <v>3</v>
      </c>
      <c r="F68" s="65">
        <v>3</v>
      </c>
      <c r="G68" s="13">
        <v>62.07</v>
      </c>
      <c r="H68" s="61">
        <f t="shared" si="10"/>
        <v>0.18621000000000001</v>
      </c>
      <c r="I68" s="13">
        <f>F68*G68</f>
        <v>186.21</v>
      </c>
    </row>
    <row r="69" spans="1:9" ht="15.75" customHeight="1">
      <c r="A69" s="30">
        <v>9</v>
      </c>
      <c r="B69" s="139" t="s">
        <v>123</v>
      </c>
      <c r="C69" s="131" t="s">
        <v>124</v>
      </c>
      <c r="D69" s="139" t="s">
        <v>161</v>
      </c>
      <c r="E69" s="17">
        <v>1536.4</v>
      </c>
      <c r="F69" s="140">
        <f>E69*12</f>
        <v>18436.800000000003</v>
      </c>
      <c r="G69" s="34">
        <v>2.6</v>
      </c>
      <c r="H69" s="61">
        <f t="shared" si="10"/>
        <v>47.935680000000005</v>
      </c>
      <c r="I69" s="13">
        <f>F69/12*G69</f>
        <v>3994.6400000000008</v>
      </c>
    </row>
    <row r="70" spans="1:9" ht="15.75" customHeight="1">
      <c r="A70" s="30"/>
      <c r="B70" s="96" t="s">
        <v>69</v>
      </c>
      <c r="C70" s="16"/>
      <c r="D70" s="14"/>
      <c r="E70" s="18"/>
      <c r="F70" s="13"/>
      <c r="G70" s="13"/>
      <c r="H70" s="61" t="s">
        <v>115</v>
      </c>
      <c r="I70" s="13"/>
    </row>
    <row r="71" spans="1:9" ht="15.75" hidden="1" customHeight="1">
      <c r="A71" s="30"/>
      <c r="B71" s="14" t="s">
        <v>125</v>
      </c>
      <c r="C71" s="16" t="s">
        <v>126</v>
      </c>
      <c r="D71" s="14" t="s">
        <v>65</v>
      </c>
      <c r="E71" s="18">
        <v>1</v>
      </c>
      <c r="F71" s="13">
        <f>E71</f>
        <v>1</v>
      </c>
      <c r="G71" s="13">
        <v>976.4</v>
      </c>
      <c r="H71" s="61">
        <f t="shared" ref="H71:H72" si="12">SUM(F71*G71/1000)</f>
        <v>0.97639999999999993</v>
      </c>
      <c r="I71" s="13">
        <v>0</v>
      </c>
    </row>
    <row r="72" spans="1:9" ht="15.75" hidden="1" customHeight="1">
      <c r="A72" s="30"/>
      <c r="B72" s="14" t="s">
        <v>127</v>
      </c>
      <c r="C72" s="16" t="s">
        <v>128</v>
      </c>
      <c r="D72" s="14"/>
      <c r="E72" s="18">
        <v>1</v>
      </c>
      <c r="F72" s="13">
        <v>1</v>
      </c>
      <c r="G72" s="13">
        <v>650</v>
      </c>
      <c r="H72" s="61">
        <f t="shared" si="12"/>
        <v>0.65</v>
      </c>
      <c r="I72" s="13">
        <v>0</v>
      </c>
    </row>
    <row r="73" spans="1:9" ht="15.75" hidden="1" customHeight="1">
      <c r="A73" s="30">
        <v>11</v>
      </c>
      <c r="B73" s="14" t="s">
        <v>70</v>
      </c>
      <c r="C73" s="16" t="s">
        <v>72</v>
      </c>
      <c r="D73" s="14"/>
      <c r="E73" s="18">
        <v>3</v>
      </c>
      <c r="F73" s="13">
        <v>0.3</v>
      </c>
      <c r="G73" s="13">
        <v>624.16999999999996</v>
      </c>
      <c r="H73" s="61">
        <f t="shared" si="10"/>
        <v>0.18725099999999997</v>
      </c>
      <c r="I73" s="13">
        <f>G73*0.3</f>
        <v>187.25099999999998</v>
      </c>
    </row>
    <row r="74" spans="1:9" ht="15.75" hidden="1" customHeight="1">
      <c r="A74" s="30"/>
      <c r="B74" s="14" t="s">
        <v>71</v>
      </c>
      <c r="C74" s="16" t="s">
        <v>30</v>
      </c>
      <c r="D74" s="14"/>
      <c r="E74" s="18">
        <v>1</v>
      </c>
      <c r="F74" s="56">
        <v>1</v>
      </c>
      <c r="G74" s="13">
        <v>1061.4100000000001</v>
      </c>
      <c r="H74" s="61">
        <f>F74*G74/1000</f>
        <v>1.0614100000000002</v>
      </c>
      <c r="I74" s="13">
        <v>0</v>
      </c>
    </row>
    <row r="75" spans="1:9" ht="30.75" customHeight="1">
      <c r="A75" s="30">
        <v>10</v>
      </c>
      <c r="B75" s="46" t="s">
        <v>197</v>
      </c>
      <c r="C75" s="47" t="s">
        <v>103</v>
      </c>
      <c r="D75" s="139" t="s">
        <v>173</v>
      </c>
      <c r="E75" s="17">
        <v>2</v>
      </c>
      <c r="F75" s="34">
        <f>E75*12</f>
        <v>24</v>
      </c>
      <c r="G75" s="34">
        <v>420</v>
      </c>
      <c r="H75" s="61">
        <f>G75*F75/1000</f>
        <v>10.08</v>
      </c>
      <c r="I75" s="13">
        <f>G75*2</f>
        <v>840</v>
      </c>
    </row>
    <row r="76" spans="1:9" ht="15.75" customHeight="1">
      <c r="A76" s="30"/>
      <c r="B76" s="46" t="s">
        <v>198</v>
      </c>
      <c r="C76" s="47" t="s">
        <v>30</v>
      </c>
      <c r="D76" s="139" t="s">
        <v>173</v>
      </c>
      <c r="E76" s="17">
        <v>1</v>
      </c>
      <c r="F76" s="34">
        <f>E76*12</f>
        <v>12</v>
      </c>
      <c r="G76" s="34">
        <v>1829</v>
      </c>
      <c r="H76" s="61"/>
      <c r="I76" s="13">
        <f>G76*F76/12</f>
        <v>1829</v>
      </c>
    </row>
    <row r="77" spans="1:9" ht="15.75" hidden="1" customHeight="1">
      <c r="A77" s="30"/>
      <c r="B77" s="79" t="s">
        <v>73</v>
      </c>
      <c r="C77" s="16"/>
      <c r="D77" s="14"/>
      <c r="E77" s="18"/>
      <c r="F77" s="13"/>
      <c r="G77" s="13" t="s">
        <v>115</v>
      </c>
      <c r="H77" s="61" t="s">
        <v>115</v>
      </c>
      <c r="I77" s="13" t="str">
        <f>G77</f>
        <v xml:space="preserve"> </v>
      </c>
    </row>
    <row r="78" spans="1:9" ht="15.75" hidden="1" customHeight="1">
      <c r="A78" s="30"/>
      <c r="B78" s="43" t="s">
        <v>130</v>
      </c>
      <c r="C78" s="16" t="s">
        <v>74</v>
      </c>
      <c r="D78" s="14"/>
      <c r="E78" s="18"/>
      <c r="F78" s="13">
        <v>0.1</v>
      </c>
      <c r="G78" s="13">
        <v>3433.69</v>
      </c>
      <c r="H78" s="61">
        <f t="shared" si="10"/>
        <v>0.34336900000000004</v>
      </c>
      <c r="I78" s="13">
        <v>0</v>
      </c>
    </row>
    <row r="79" spans="1:9" ht="15.75" hidden="1" customHeight="1">
      <c r="A79" s="30"/>
      <c r="B79" s="55" t="s">
        <v>87</v>
      </c>
      <c r="C79" s="79"/>
      <c r="D79" s="31"/>
      <c r="E79" s="32"/>
      <c r="F79" s="68"/>
      <c r="G79" s="68"/>
      <c r="H79" s="80">
        <f>SUM(H55:H78)</f>
        <v>114.41822979000001</v>
      </c>
      <c r="I79" s="13"/>
    </row>
    <row r="80" spans="1:9" ht="15.75" hidden="1" customHeight="1">
      <c r="A80" s="30"/>
      <c r="B80" s="62" t="s">
        <v>111</v>
      </c>
      <c r="C80" s="16"/>
      <c r="D80" s="14"/>
      <c r="E80" s="57"/>
      <c r="F80" s="13">
        <v>1</v>
      </c>
      <c r="G80" s="35">
        <v>6105.8</v>
      </c>
      <c r="H80" s="61">
        <f>G80*F80/1000</f>
        <v>6.1058000000000003</v>
      </c>
      <c r="I80" s="13">
        <v>0</v>
      </c>
    </row>
    <row r="81" spans="1:9" ht="15.75" customHeight="1">
      <c r="A81" s="180" t="s">
        <v>137</v>
      </c>
      <c r="B81" s="181"/>
      <c r="C81" s="181"/>
      <c r="D81" s="181"/>
      <c r="E81" s="181"/>
      <c r="F81" s="181"/>
      <c r="G81" s="181"/>
      <c r="H81" s="181"/>
      <c r="I81" s="182"/>
    </row>
    <row r="82" spans="1:9" ht="15.75" customHeight="1">
      <c r="A82" s="30">
        <v>11</v>
      </c>
      <c r="B82" s="123" t="s">
        <v>112</v>
      </c>
      <c r="C82" s="130" t="s">
        <v>54</v>
      </c>
      <c r="D82" s="141"/>
      <c r="E82" s="34">
        <v>1536.4</v>
      </c>
      <c r="F82" s="34">
        <f>SUM(E82*12)</f>
        <v>18436.800000000003</v>
      </c>
      <c r="G82" s="34">
        <v>3.5</v>
      </c>
      <c r="H82" s="61">
        <f>SUM(F82*G82/1000)</f>
        <v>64.528800000000004</v>
      </c>
      <c r="I82" s="13">
        <f>F82/12*G82</f>
        <v>5377.4000000000015</v>
      </c>
    </row>
    <row r="83" spans="1:9" ht="31.5" customHeight="1">
      <c r="A83" s="30">
        <v>12</v>
      </c>
      <c r="B83" s="123" t="s">
        <v>199</v>
      </c>
      <c r="C83" s="130" t="s">
        <v>54</v>
      </c>
      <c r="D83" s="141"/>
      <c r="E83" s="34">
        <v>1536.4</v>
      </c>
      <c r="F83" s="34">
        <f>E83*12</f>
        <v>18436.800000000003</v>
      </c>
      <c r="G83" s="34">
        <v>3.2</v>
      </c>
      <c r="H83" s="61">
        <f>F83*G83/1000</f>
        <v>58.997760000000007</v>
      </c>
      <c r="I83" s="13">
        <f>F83/12*G83</f>
        <v>4916.4800000000014</v>
      </c>
    </row>
    <row r="84" spans="1:9" ht="15.75" customHeight="1">
      <c r="A84" s="30"/>
      <c r="B84" s="36" t="s">
        <v>77</v>
      </c>
      <c r="C84" s="79"/>
      <c r="D84" s="78"/>
      <c r="E84" s="68"/>
      <c r="F84" s="68"/>
      <c r="G84" s="68"/>
      <c r="H84" s="80">
        <f>H83</f>
        <v>58.997760000000007</v>
      </c>
      <c r="I84" s="68">
        <f>I83+I82+I76+I75+I69+I59+I52+I33+I31+I30+I27+I18+I17+I16</f>
        <v>27501.758366666672</v>
      </c>
    </row>
    <row r="85" spans="1:9" ht="15.75" customHeight="1">
      <c r="A85" s="166" t="s">
        <v>59</v>
      </c>
      <c r="B85" s="167"/>
      <c r="C85" s="167"/>
      <c r="D85" s="167"/>
      <c r="E85" s="167"/>
      <c r="F85" s="167"/>
      <c r="G85" s="167"/>
      <c r="H85" s="167"/>
      <c r="I85" s="168"/>
    </row>
    <row r="86" spans="1:9" ht="31.5" customHeight="1">
      <c r="A86" s="30">
        <v>13</v>
      </c>
      <c r="B86" s="110" t="s">
        <v>228</v>
      </c>
      <c r="C86" s="111" t="s">
        <v>229</v>
      </c>
      <c r="D86" s="101" t="s">
        <v>237</v>
      </c>
      <c r="E86" s="34"/>
      <c r="F86" s="34">
        <v>0.628</v>
      </c>
      <c r="G86" s="34">
        <v>5002.7299999999996</v>
      </c>
      <c r="H86" s="156"/>
      <c r="I86" s="161">
        <f>G86*0.628</f>
        <v>3141.7144399999997</v>
      </c>
    </row>
    <row r="87" spans="1:9" ht="15.75" customHeight="1">
      <c r="A87" s="30">
        <v>14</v>
      </c>
      <c r="B87" s="110" t="s">
        <v>230</v>
      </c>
      <c r="C87" s="111" t="s">
        <v>103</v>
      </c>
      <c r="D87" s="101" t="s">
        <v>238</v>
      </c>
      <c r="E87" s="34"/>
      <c r="F87" s="34">
        <v>4</v>
      </c>
      <c r="G87" s="34">
        <v>440</v>
      </c>
      <c r="H87" s="156"/>
      <c r="I87" s="161">
        <f>G87*4</f>
        <v>1760</v>
      </c>
    </row>
    <row r="88" spans="1:9" ht="31.5" customHeight="1">
      <c r="A88" s="30">
        <v>15</v>
      </c>
      <c r="B88" s="110" t="s">
        <v>178</v>
      </c>
      <c r="C88" s="111" t="s">
        <v>155</v>
      </c>
      <c r="D88" s="101" t="s">
        <v>239</v>
      </c>
      <c r="E88" s="34"/>
      <c r="F88" s="34">
        <v>2</v>
      </c>
      <c r="G88" s="34">
        <v>1523.6</v>
      </c>
      <c r="H88" s="156"/>
      <c r="I88" s="161">
        <f>G88*2</f>
        <v>3047.2</v>
      </c>
    </row>
    <row r="89" spans="1:9" ht="30.75" customHeight="1">
      <c r="A89" s="30">
        <v>16</v>
      </c>
      <c r="B89" s="110" t="s">
        <v>231</v>
      </c>
      <c r="C89" s="111" t="s">
        <v>232</v>
      </c>
      <c r="D89" s="101" t="s">
        <v>235</v>
      </c>
      <c r="E89" s="34"/>
      <c r="F89" s="34">
        <v>1</v>
      </c>
      <c r="G89" s="34">
        <v>61.58</v>
      </c>
      <c r="H89" s="156"/>
      <c r="I89" s="161">
        <f>G89*1</f>
        <v>61.58</v>
      </c>
    </row>
    <row r="90" spans="1:9" ht="30.75" customHeight="1">
      <c r="A90" s="30">
        <v>17</v>
      </c>
      <c r="B90" s="110" t="s">
        <v>182</v>
      </c>
      <c r="C90" s="111" t="s">
        <v>174</v>
      </c>
      <c r="D90" s="101" t="s">
        <v>236</v>
      </c>
      <c r="E90" s="34"/>
      <c r="F90" s="34">
        <v>1</v>
      </c>
      <c r="G90" s="34">
        <v>587.65</v>
      </c>
      <c r="H90" s="156"/>
      <c r="I90" s="161">
        <f>G90*1</f>
        <v>587.65</v>
      </c>
    </row>
    <row r="91" spans="1:9" ht="30.75" customHeight="1">
      <c r="A91" s="30">
        <v>18</v>
      </c>
      <c r="B91" s="110" t="s">
        <v>233</v>
      </c>
      <c r="C91" s="111" t="s">
        <v>174</v>
      </c>
      <c r="D91" s="101" t="s">
        <v>234</v>
      </c>
      <c r="E91" s="34"/>
      <c r="F91" s="34">
        <v>1</v>
      </c>
      <c r="G91" s="34">
        <v>670.51</v>
      </c>
      <c r="H91" s="156"/>
      <c r="I91" s="161">
        <f>G91*1</f>
        <v>670.51</v>
      </c>
    </row>
    <row r="92" spans="1:9" ht="28.5" customHeight="1">
      <c r="A92" s="30">
        <v>19</v>
      </c>
      <c r="B92" s="110" t="s">
        <v>202</v>
      </c>
      <c r="C92" s="111" t="s">
        <v>38</v>
      </c>
      <c r="D92" s="101"/>
      <c r="E92" s="34"/>
      <c r="F92" s="34">
        <v>0.01</v>
      </c>
      <c r="G92" s="34">
        <v>4070.89</v>
      </c>
      <c r="H92" s="156"/>
      <c r="I92" s="161">
        <f>G92*0.01</f>
        <v>40.7089</v>
      </c>
    </row>
    <row r="93" spans="1:9" ht="15.75" customHeight="1">
      <c r="A93" s="30"/>
      <c r="B93" s="41" t="s">
        <v>51</v>
      </c>
      <c r="C93" s="37"/>
      <c r="D93" s="44"/>
      <c r="E93" s="37">
        <v>1</v>
      </c>
      <c r="F93" s="37"/>
      <c r="G93" s="37"/>
      <c r="H93" s="37"/>
      <c r="I93" s="32">
        <f>SUM(I86:I92)</f>
        <v>9309.3633399999999</v>
      </c>
    </row>
    <row r="94" spans="1:9" ht="15.75" customHeight="1">
      <c r="A94" s="30"/>
      <c r="B94" s="43" t="s">
        <v>76</v>
      </c>
      <c r="C94" s="15"/>
      <c r="D94" s="15"/>
      <c r="E94" s="38"/>
      <c r="F94" s="38"/>
      <c r="G94" s="39"/>
      <c r="H94" s="39"/>
      <c r="I94" s="17">
        <v>0</v>
      </c>
    </row>
    <row r="95" spans="1:9">
      <c r="A95" s="45"/>
      <c r="B95" s="42" t="s">
        <v>153</v>
      </c>
      <c r="C95" s="33"/>
      <c r="D95" s="33"/>
      <c r="E95" s="33"/>
      <c r="F95" s="33"/>
      <c r="G95" s="33"/>
      <c r="H95" s="33"/>
      <c r="I95" s="40">
        <f>I84+I93</f>
        <v>36811.121706666672</v>
      </c>
    </row>
    <row r="96" spans="1:9" ht="15.75">
      <c r="A96" s="175" t="s">
        <v>240</v>
      </c>
      <c r="B96" s="175"/>
      <c r="C96" s="175"/>
      <c r="D96" s="175"/>
      <c r="E96" s="175"/>
      <c r="F96" s="175"/>
      <c r="G96" s="175"/>
      <c r="H96" s="175"/>
      <c r="I96" s="175"/>
    </row>
    <row r="97" spans="1:9" ht="15.75" customHeight="1">
      <c r="A97" s="54"/>
      <c r="B97" s="176" t="s">
        <v>241</v>
      </c>
      <c r="C97" s="176"/>
      <c r="D97" s="176"/>
      <c r="E97" s="176"/>
      <c r="F97" s="176"/>
      <c r="G97" s="176"/>
      <c r="H97" s="60"/>
      <c r="I97" s="3"/>
    </row>
    <row r="98" spans="1:9">
      <c r="A98" s="94"/>
      <c r="B98" s="171" t="s">
        <v>6</v>
      </c>
      <c r="C98" s="171"/>
      <c r="D98" s="171"/>
      <c r="E98" s="171"/>
      <c r="F98" s="171"/>
      <c r="G98" s="171"/>
      <c r="H98" s="25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77" t="s">
        <v>7</v>
      </c>
      <c r="B100" s="177"/>
      <c r="C100" s="177"/>
      <c r="D100" s="177"/>
      <c r="E100" s="177"/>
      <c r="F100" s="177"/>
      <c r="G100" s="177"/>
      <c r="H100" s="177"/>
      <c r="I100" s="177"/>
    </row>
    <row r="101" spans="1:9" ht="15.75" customHeight="1">
      <c r="A101" s="177" t="s">
        <v>8</v>
      </c>
      <c r="B101" s="177"/>
      <c r="C101" s="177"/>
      <c r="D101" s="177"/>
      <c r="E101" s="177"/>
      <c r="F101" s="177"/>
      <c r="G101" s="177"/>
      <c r="H101" s="177"/>
      <c r="I101" s="177"/>
    </row>
    <row r="102" spans="1:9" ht="15.75">
      <c r="A102" s="178" t="s">
        <v>60</v>
      </c>
      <c r="B102" s="178"/>
      <c r="C102" s="178"/>
      <c r="D102" s="178"/>
      <c r="E102" s="178"/>
      <c r="F102" s="178"/>
      <c r="G102" s="178"/>
      <c r="H102" s="178"/>
      <c r="I102" s="178"/>
    </row>
    <row r="103" spans="1:9" ht="15.75">
      <c r="A103" s="11"/>
    </row>
    <row r="104" spans="1:9" ht="15.75">
      <c r="A104" s="169" t="s">
        <v>9</v>
      </c>
      <c r="B104" s="169"/>
      <c r="C104" s="169"/>
      <c r="D104" s="169"/>
      <c r="E104" s="169"/>
      <c r="F104" s="169"/>
      <c r="G104" s="169"/>
      <c r="H104" s="169"/>
      <c r="I104" s="169"/>
    </row>
    <row r="105" spans="1:9" ht="15.75">
      <c r="A105" s="4"/>
    </row>
    <row r="106" spans="1:9" ht="15.75">
      <c r="B106" s="97" t="s">
        <v>10</v>
      </c>
      <c r="C106" s="170" t="s">
        <v>133</v>
      </c>
      <c r="D106" s="170"/>
      <c r="E106" s="170"/>
      <c r="F106" s="58"/>
      <c r="I106" s="99"/>
    </row>
    <row r="107" spans="1:9">
      <c r="A107" s="94"/>
      <c r="C107" s="171" t="s">
        <v>11</v>
      </c>
      <c r="D107" s="171"/>
      <c r="E107" s="171"/>
      <c r="F107" s="25"/>
      <c r="I107" s="98" t="s">
        <v>12</v>
      </c>
    </row>
    <row r="108" spans="1:9" ht="15.75">
      <c r="A108" s="26"/>
      <c r="C108" s="12"/>
      <c r="D108" s="12"/>
      <c r="G108" s="12"/>
      <c r="H108" s="12"/>
    </row>
    <row r="109" spans="1:9" ht="15.75" customHeight="1">
      <c r="B109" s="97" t="s">
        <v>13</v>
      </c>
      <c r="C109" s="172"/>
      <c r="D109" s="172"/>
      <c r="E109" s="172"/>
      <c r="F109" s="59"/>
      <c r="I109" s="99"/>
    </row>
    <row r="110" spans="1:9" ht="15.75" customHeight="1">
      <c r="A110" s="94"/>
      <c r="C110" s="173" t="s">
        <v>11</v>
      </c>
      <c r="D110" s="173"/>
      <c r="E110" s="173"/>
      <c r="F110" s="94"/>
      <c r="I110" s="98" t="s">
        <v>12</v>
      </c>
    </row>
    <row r="111" spans="1:9" ht="15.75" customHeight="1">
      <c r="A111" s="4" t="s">
        <v>14</v>
      </c>
    </row>
    <row r="112" spans="1:9">
      <c r="A112" s="174" t="s">
        <v>15</v>
      </c>
      <c r="B112" s="174"/>
      <c r="C112" s="174"/>
      <c r="D112" s="174"/>
      <c r="E112" s="174"/>
      <c r="F112" s="174"/>
      <c r="G112" s="174"/>
      <c r="H112" s="174"/>
      <c r="I112" s="174"/>
    </row>
    <row r="113" spans="1:9" ht="45" customHeight="1">
      <c r="A113" s="165" t="s">
        <v>16</v>
      </c>
      <c r="B113" s="165"/>
      <c r="C113" s="165"/>
      <c r="D113" s="165"/>
      <c r="E113" s="165"/>
      <c r="F113" s="165"/>
      <c r="G113" s="165"/>
      <c r="H113" s="165"/>
      <c r="I113" s="165"/>
    </row>
    <row r="114" spans="1:9" ht="30" customHeight="1">
      <c r="A114" s="165" t="s">
        <v>17</v>
      </c>
      <c r="B114" s="165"/>
      <c r="C114" s="165"/>
      <c r="D114" s="165"/>
      <c r="E114" s="165"/>
      <c r="F114" s="165"/>
      <c r="G114" s="165"/>
      <c r="H114" s="165"/>
      <c r="I114" s="165"/>
    </row>
    <row r="115" spans="1:9" ht="30" customHeight="1">
      <c r="A115" s="165" t="s">
        <v>21</v>
      </c>
      <c r="B115" s="165"/>
      <c r="C115" s="165"/>
      <c r="D115" s="165"/>
      <c r="E115" s="165"/>
      <c r="F115" s="165"/>
      <c r="G115" s="165"/>
      <c r="H115" s="165"/>
      <c r="I115" s="165"/>
    </row>
    <row r="116" spans="1:9" ht="15" customHeight="1">
      <c r="A116" s="165" t="s">
        <v>20</v>
      </c>
      <c r="B116" s="165"/>
      <c r="C116" s="165"/>
      <c r="D116" s="165"/>
      <c r="E116" s="165"/>
      <c r="F116" s="165"/>
      <c r="G116" s="165"/>
      <c r="H116" s="165"/>
      <c r="I116" s="165"/>
    </row>
  </sheetData>
  <autoFilter ref="I12:I54"/>
  <mergeCells count="29">
    <mergeCell ref="A112:I112"/>
    <mergeCell ref="A113:I113"/>
    <mergeCell ref="A114:I114"/>
    <mergeCell ref="A115:I115"/>
    <mergeCell ref="A116:I116"/>
    <mergeCell ref="R59:U59"/>
    <mergeCell ref="C110:E110"/>
    <mergeCell ref="A85:I85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2:I42"/>
    <mergeCell ref="A53:I53"/>
  </mergeCells>
  <printOptions horizontalCentered="1"/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09"/>
  <sheetViews>
    <sheetView topLeftCell="A12" workbookViewId="0">
      <selection activeCell="I27" sqref="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158</v>
      </c>
      <c r="I1" s="27"/>
      <c r="J1" s="1"/>
      <c r="K1" s="1"/>
      <c r="L1" s="1"/>
      <c r="M1" s="1"/>
    </row>
    <row r="2" spans="1:13" ht="15.75">
      <c r="A2" s="29" t="s">
        <v>61</v>
      </c>
      <c r="J2" s="2"/>
      <c r="K2" s="2"/>
      <c r="L2" s="2"/>
      <c r="M2" s="2"/>
    </row>
    <row r="3" spans="1:13" ht="15.75" customHeight="1">
      <c r="A3" s="183" t="s">
        <v>147</v>
      </c>
      <c r="B3" s="183"/>
      <c r="C3" s="183"/>
      <c r="D3" s="183"/>
      <c r="E3" s="183"/>
      <c r="F3" s="183"/>
      <c r="G3" s="183"/>
      <c r="H3" s="183"/>
      <c r="I3" s="183"/>
      <c r="J3" s="3"/>
      <c r="K3" s="3"/>
      <c r="L3" s="3"/>
    </row>
    <row r="4" spans="1:13" ht="31.5" customHeight="1">
      <c r="A4" s="184" t="s">
        <v>132</v>
      </c>
      <c r="B4" s="184"/>
      <c r="C4" s="184"/>
      <c r="D4" s="184"/>
      <c r="E4" s="184"/>
      <c r="F4" s="184"/>
      <c r="G4" s="184"/>
      <c r="H4" s="184"/>
      <c r="I4" s="184"/>
    </row>
    <row r="5" spans="1:13" ht="15.75">
      <c r="A5" s="183" t="s">
        <v>242</v>
      </c>
      <c r="B5" s="185"/>
      <c r="C5" s="185"/>
      <c r="D5" s="185"/>
      <c r="E5" s="185"/>
      <c r="F5" s="185"/>
      <c r="G5" s="185"/>
      <c r="H5" s="185"/>
      <c r="I5" s="185"/>
      <c r="J5" s="2"/>
      <c r="K5" s="2"/>
      <c r="L5" s="2"/>
      <c r="M5" s="2"/>
    </row>
    <row r="6" spans="1:13" ht="15.75">
      <c r="A6" s="2"/>
      <c r="B6" s="49"/>
      <c r="C6" s="49"/>
      <c r="D6" s="49"/>
      <c r="E6" s="49"/>
      <c r="F6" s="49"/>
      <c r="G6" s="49"/>
      <c r="H6" s="49"/>
      <c r="I6" s="84">
        <v>44104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86" t="s">
        <v>243</v>
      </c>
      <c r="B8" s="186"/>
      <c r="C8" s="186"/>
      <c r="D8" s="186"/>
      <c r="E8" s="186"/>
      <c r="F8" s="186"/>
      <c r="G8" s="186"/>
      <c r="H8" s="186"/>
      <c r="I8" s="18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87" t="s">
        <v>149</v>
      </c>
      <c r="B10" s="187"/>
      <c r="C10" s="187"/>
      <c r="D10" s="187"/>
      <c r="E10" s="187"/>
      <c r="F10" s="187"/>
      <c r="G10" s="187"/>
      <c r="H10" s="187"/>
      <c r="I10" s="187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88" t="s">
        <v>58</v>
      </c>
      <c r="B14" s="188"/>
      <c r="C14" s="188"/>
      <c r="D14" s="188"/>
      <c r="E14" s="188"/>
      <c r="F14" s="188"/>
      <c r="G14" s="188"/>
      <c r="H14" s="188"/>
      <c r="I14" s="188"/>
      <c r="J14" s="8"/>
      <c r="K14" s="8"/>
      <c r="L14" s="8"/>
      <c r="M14" s="8"/>
    </row>
    <row r="15" spans="1:13" ht="15" customHeight="1">
      <c r="A15" s="179" t="s">
        <v>4</v>
      </c>
      <c r="B15" s="179"/>
      <c r="C15" s="179"/>
      <c r="D15" s="179"/>
      <c r="E15" s="179"/>
      <c r="F15" s="179"/>
      <c r="G15" s="179"/>
      <c r="H15" s="179"/>
      <c r="I15" s="179"/>
      <c r="J15" s="8"/>
      <c r="K15" s="8"/>
      <c r="L15" s="8"/>
      <c r="M15" s="8"/>
    </row>
    <row r="16" spans="1:13" ht="15.75" customHeight="1">
      <c r="A16" s="30">
        <v>1</v>
      </c>
      <c r="B16" s="123" t="s">
        <v>80</v>
      </c>
      <c r="C16" s="124" t="s">
        <v>81</v>
      </c>
      <c r="D16" s="123" t="s">
        <v>165</v>
      </c>
      <c r="E16" s="128">
        <v>54.9</v>
      </c>
      <c r="F16" s="115">
        <f>SUM(E16*156/100)</f>
        <v>85.643999999999991</v>
      </c>
      <c r="G16" s="115">
        <v>261.45</v>
      </c>
      <c r="H16" s="135">
        <f t="shared" ref="H16:H18" si="0">SUM(F16*G16/1000)</f>
        <v>22.391623799999998</v>
      </c>
      <c r="I16" s="34">
        <f>F16/12*G16</f>
        <v>1865.9686499999998</v>
      </c>
      <c r="J16" s="22"/>
      <c r="K16" s="8"/>
      <c r="L16" s="8"/>
      <c r="M16" s="8"/>
    </row>
    <row r="17" spans="1:13" ht="15.75" customHeight="1">
      <c r="A17" s="30">
        <v>2</v>
      </c>
      <c r="B17" s="123" t="s">
        <v>113</v>
      </c>
      <c r="C17" s="124" t="s">
        <v>81</v>
      </c>
      <c r="D17" s="123" t="s">
        <v>166</v>
      </c>
      <c r="E17" s="128">
        <v>109.8</v>
      </c>
      <c r="F17" s="115">
        <f>SUM(E17*104/100)</f>
        <v>114.19199999999999</v>
      </c>
      <c r="G17" s="115">
        <v>261.45</v>
      </c>
      <c r="H17" s="135">
        <f t="shared" si="0"/>
        <v>29.855498399999998</v>
      </c>
      <c r="I17" s="34">
        <f>F17/12*G17</f>
        <v>2487.9582</v>
      </c>
      <c r="J17" s="23"/>
      <c r="K17" s="8"/>
      <c r="L17" s="8"/>
      <c r="M17" s="8"/>
    </row>
    <row r="18" spans="1:13" ht="15.75" customHeight="1">
      <c r="A18" s="30">
        <v>3</v>
      </c>
      <c r="B18" s="123" t="s">
        <v>114</v>
      </c>
      <c r="C18" s="124" t="s">
        <v>81</v>
      </c>
      <c r="D18" s="123" t="s">
        <v>211</v>
      </c>
      <c r="E18" s="128">
        <f>SUM(E16+E17)</f>
        <v>164.7</v>
      </c>
      <c r="F18" s="115">
        <f>SUM(E18*18/100)</f>
        <v>29.646000000000001</v>
      </c>
      <c r="G18" s="115">
        <v>752.16</v>
      </c>
      <c r="H18" s="135">
        <f t="shared" si="0"/>
        <v>22.298535359999999</v>
      </c>
      <c r="I18" s="34">
        <f>F18/18*2*G18</f>
        <v>2477.6150400000001</v>
      </c>
      <c r="J18" s="23"/>
      <c r="K18" s="8"/>
      <c r="L18" s="8"/>
      <c r="M18" s="8"/>
    </row>
    <row r="19" spans="1:13" ht="15.75" hidden="1" customHeight="1">
      <c r="A19" s="30"/>
      <c r="B19" s="62" t="s">
        <v>88</v>
      </c>
      <c r="C19" s="63" t="s">
        <v>89</v>
      </c>
      <c r="D19" s="62" t="s">
        <v>90</v>
      </c>
      <c r="E19" s="64">
        <v>21.6</v>
      </c>
      <c r="F19" s="65">
        <f>SUM(E19/10)</f>
        <v>2.16</v>
      </c>
      <c r="G19" s="65">
        <v>211.74</v>
      </c>
      <c r="H19" s="66">
        <f t="shared" ref="H19:H26" si="1">SUM(F19*G19/1000)</f>
        <v>0.45735840000000005</v>
      </c>
      <c r="I19" s="13">
        <f>F19/2*G19</f>
        <v>228.67920000000004</v>
      </c>
      <c r="J19" s="23"/>
      <c r="K19" s="8"/>
      <c r="L19" s="8"/>
      <c r="M19" s="8"/>
    </row>
    <row r="20" spans="1:13" ht="15.75" customHeight="1">
      <c r="A20" s="30">
        <v>4</v>
      </c>
      <c r="B20" s="62" t="s">
        <v>91</v>
      </c>
      <c r="C20" s="63" t="s">
        <v>81</v>
      </c>
      <c r="D20" s="62" t="s">
        <v>161</v>
      </c>
      <c r="E20" s="64">
        <v>9.18</v>
      </c>
      <c r="F20" s="65">
        <f>SUM(E20*2/100)</f>
        <v>0.18359999999999999</v>
      </c>
      <c r="G20" s="146">
        <v>324.83999999999997</v>
      </c>
      <c r="H20" s="66">
        <f t="shared" si="1"/>
        <v>5.9640623999999989E-2</v>
      </c>
      <c r="I20" s="13">
        <f>F20/2*G20</f>
        <v>29.820311999999994</v>
      </c>
      <c r="J20" s="23"/>
      <c r="K20" s="8"/>
      <c r="L20" s="8"/>
      <c r="M20" s="8"/>
    </row>
    <row r="21" spans="1:13" ht="15.75" customHeight="1">
      <c r="A21" s="30">
        <v>5</v>
      </c>
      <c r="B21" s="62" t="s">
        <v>92</v>
      </c>
      <c r="C21" s="63" t="s">
        <v>81</v>
      </c>
      <c r="D21" s="62" t="s">
        <v>161</v>
      </c>
      <c r="E21" s="64">
        <v>8.1</v>
      </c>
      <c r="F21" s="65">
        <f>SUM(E21*2/100)</f>
        <v>0.16200000000000001</v>
      </c>
      <c r="G21" s="146">
        <v>322.20999999999998</v>
      </c>
      <c r="H21" s="66">
        <f t="shared" si="1"/>
        <v>5.2198019999999998E-2</v>
      </c>
      <c r="I21" s="13">
        <f>F21/2*G21</f>
        <v>26.09901</v>
      </c>
      <c r="J21" s="23"/>
      <c r="K21" s="8"/>
      <c r="L21" s="8"/>
      <c r="M21" s="8"/>
    </row>
    <row r="22" spans="1:13" ht="15.75" hidden="1" customHeight="1">
      <c r="A22" s="30"/>
      <c r="B22" s="62" t="s">
        <v>93</v>
      </c>
      <c r="C22" s="63" t="s">
        <v>52</v>
      </c>
      <c r="D22" s="62" t="s">
        <v>90</v>
      </c>
      <c r="E22" s="64">
        <v>220.32</v>
      </c>
      <c r="F22" s="65">
        <f>SUM(E22/100)</f>
        <v>2.2031999999999998</v>
      </c>
      <c r="G22" s="65">
        <v>335.05</v>
      </c>
      <c r="H22" s="66">
        <f t="shared" si="1"/>
        <v>0.73818215999999992</v>
      </c>
      <c r="I22" s="13">
        <f>F22*G22</f>
        <v>738.18215999999995</v>
      </c>
      <c r="J22" s="23"/>
      <c r="K22" s="8"/>
      <c r="L22" s="8"/>
      <c r="M22" s="8"/>
    </row>
    <row r="23" spans="1:13" ht="15.75" hidden="1" customHeight="1">
      <c r="A23" s="30"/>
      <c r="B23" s="62" t="s">
        <v>94</v>
      </c>
      <c r="C23" s="63" t="s">
        <v>52</v>
      </c>
      <c r="D23" s="62" t="s">
        <v>90</v>
      </c>
      <c r="E23" s="67">
        <v>17.64</v>
      </c>
      <c r="F23" s="65">
        <f>SUM(E23/100)</f>
        <v>0.1764</v>
      </c>
      <c r="G23" s="65">
        <v>55.1</v>
      </c>
      <c r="H23" s="66">
        <f t="shared" si="1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62" t="s">
        <v>95</v>
      </c>
      <c r="C24" s="63" t="s">
        <v>52</v>
      </c>
      <c r="D24" s="62" t="s">
        <v>96</v>
      </c>
      <c r="E24" s="64">
        <v>7.2</v>
      </c>
      <c r="F24" s="65">
        <f>E24/100</f>
        <v>7.2000000000000008E-2</v>
      </c>
      <c r="G24" s="65">
        <v>484.94</v>
      </c>
      <c r="H24" s="66">
        <f t="shared" si="1"/>
        <v>3.4915680000000004E-2</v>
      </c>
      <c r="I24" s="13">
        <f t="shared" si="2"/>
        <v>34.915680000000002</v>
      </c>
      <c r="J24" s="23"/>
      <c r="K24" s="8"/>
      <c r="L24" s="8"/>
      <c r="M24" s="8"/>
    </row>
    <row r="25" spans="1:13" ht="15.75" hidden="1" customHeight="1">
      <c r="A25" s="30"/>
      <c r="B25" s="62" t="s">
        <v>97</v>
      </c>
      <c r="C25" s="63" t="s">
        <v>52</v>
      </c>
      <c r="D25" s="62" t="s">
        <v>53</v>
      </c>
      <c r="E25" s="64">
        <v>9.4499999999999993</v>
      </c>
      <c r="F25" s="65">
        <f>E25/100</f>
        <v>9.4499999999999987E-2</v>
      </c>
      <c r="G25" s="65">
        <v>268.92</v>
      </c>
      <c r="H25" s="66">
        <f t="shared" si="1"/>
        <v>2.5412939999999998E-2</v>
      </c>
      <c r="I25" s="13">
        <f t="shared" si="2"/>
        <v>25.412939999999999</v>
      </c>
      <c r="J25" s="23"/>
      <c r="K25" s="8"/>
      <c r="L25" s="8"/>
      <c r="M25" s="8"/>
    </row>
    <row r="26" spans="1:13" ht="15.75" hidden="1" customHeight="1">
      <c r="A26" s="30"/>
      <c r="B26" s="62" t="s">
        <v>98</v>
      </c>
      <c r="C26" s="63" t="s">
        <v>52</v>
      </c>
      <c r="D26" s="62" t="s">
        <v>90</v>
      </c>
      <c r="E26" s="64">
        <v>10.8</v>
      </c>
      <c r="F26" s="65">
        <f>SUM(E26/100)</f>
        <v>0.10800000000000001</v>
      </c>
      <c r="G26" s="65">
        <v>684.05</v>
      </c>
      <c r="H26" s="66">
        <f t="shared" si="1"/>
        <v>7.387740000000001E-2</v>
      </c>
      <c r="I26" s="13">
        <f t="shared" si="2"/>
        <v>73.877400000000009</v>
      </c>
      <c r="J26" s="23"/>
      <c r="K26" s="8"/>
      <c r="L26" s="8"/>
      <c r="M26" s="8"/>
    </row>
    <row r="27" spans="1:13" ht="15.75" customHeight="1">
      <c r="A27" s="30">
        <v>6</v>
      </c>
      <c r="B27" s="123" t="s">
        <v>164</v>
      </c>
      <c r="C27" s="124" t="s">
        <v>25</v>
      </c>
      <c r="D27" s="123" t="s">
        <v>168</v>
      </c>
      <c r="E27" s="125">
        <v>2.91</v>
      </c>
      <c r="F27" s="115">
        <f>E27*258</f>
        <v>750.78000000000009</v>
      </c>
      <c r="G27" s="115">
        <v>10.81</v>
      </c>
      <c r="H27" s="66">
        <f>SUM(F27*G27/1000)</f>
        <v>8.115931800000002</v>
      </c>
      <c r="I27" s="13">
        <f>F27/12*G27</f>
        <v>676.32765000000006</v>
      </c>
      <c r="J27" s="23"/>
      <c r="K27" s="8"/>
    </row>
    <row r="28" spans="1:13" ht="15.75" customHeight="1">
      <c r="A28" s="180" t="s">
        <v>79</v>
      </c>
      <c r="B28" s="181"/>
      <c r="C28" s="181"/>
      <c r="D28" s="181"/>
      <c r="E28" s="181"/>
      <c r="F28" s="181"/>
      <c r="G28" s="181"/>
      <c r="H28" s="181"/>
      <c r="I28" s="182"/>
      <c r="J28" s="24"/>
    </row>
    <row r="29" spans="1:13" ht="15.75" customHeight="1">
      <c r="A29" s="30"/>
      <c r="B29" s="82" t="s">
        <v>28</v>
      </c>
      <c r="C29" s="63"/>
      <c r="D29" s="62"/>
      <c r="E29" s="64"/>
      <c r="F29" s="65"/>
      <c r="G29" s="65"/>
      <c r="H29" s="66"/>
      <c r="I29" s="13"/>
      <c r="J29" s="24"/>
    </row>
    <row r="30" spans="1:13" ht="15.75" customHeight="1">
      <c r="A30" s="30">
        <v>7</v>
      </c>
      <c r="B30" s="123" t="s">
        <v>101</v>
      </c>
      <c r="C30" s="124" t="s">
        <v>84</v>
      </c>
      <c r="D30" s="123" t="s">
        <v>171</v>
      </c>
      <c r="E30" s="115">
        <v>61.5</v>
      </c>
      <c r="F30" s="115">
        <f>SUM(E30*24/1000)</f>
        <v>1.476</v>
      </c>
      <c r="G30" s="115">
        <v>232.4</v>
      </c>
      <c r="H30" s="66">
        <f t="shared" ref="H30:H33" si="3">SUM(F30*G30/1000)</f>
        <v>0.34302240000000001</v>
      </c>
      <c r="I30" s="13">
        <f t="shared" ref="I30:I31" si="4">F30/6*G30</f>
        <v>57.170400000000001</v>
      </c>
      <c r="J30" s="23"/>
      <c r="K30" s="8"/>
      <c r="L30" s="8"/>
      <c r="M30" s="8"/>
    </row>
    <row r="31" spans="1:13" ht="31.5" customHeight="1">
      <c r="A31" s="30">
        <v>8</v>
      </c>
      <c r="B31" s="123" t="s">
        <v>100</v>
      </c>
      <c r="C31" s="124" t="s">
        <v>84</v>
      </c>
      <c r="D31" s="123" t="s">
        <v>195</v>
      </c>
      <c r="E31" s="115">
        <v>35.299999999999997</v>
      </c>
      <c r="F31" s="115">
        <f>SUM(E31*72/1000)</f>
        <v>2.5415999999999999</v>
      </c>
      <c r="G31" s="115">
        <v>385.6</v>
      </c>
      <c r="H31" s="66">
        <f t="shared" si="3"/>
        <v>0.98004096000000007</v>
      </c>
      <c r="I31" s="13">
        <f t="shared" si="4"/>
        <v>163.34016</v>
      </c>
      <c r="J31" s="23"/>
      <c r="K31" s="8"/>
      <c r="L31" s="8"/>
      <c r="M31" s="8"/>
    </row>
    <row r="32" spans="1:13" ht="15.75" hidden="1" customHeight="1">
      <c r="A32" s="30"/>
      <c r="B32" s="123" t="s">
        <v>27</v>
      </c>
      <c r="C32" s="124" t="s">
        <v>84</v>
      </c>
      <c r="D32" s="123" t="s">
        <v>161</v>
      </c>
      <c r="E32" s="115">
        <v>61.5</v>
      </c>
      <c r="F32" s="115">
        <f>SUM(E32/1000)</f>
        <v>6.1499999999999999E-2</v>
      </c>
      <c r="G32" s="115">
        <v>4502.97</v>
      </c>
      <c r="H32" s="66">
        <f t="shared" si="3"/>
        <v>0.27693265500000003</v>
      </c>
      <c r="I32" s="13">
        <f>F32*G32</f>
        <v>276.93265500000001</v>
      </c>
      <c r="J32" s="23"/>
      <c r="K32" s="8"/>
      <c r="L32" s="8"/>
      <c r="M32" s="8"/>
    </row>
    <row r="33" spans="1:14" ht="15.75" customHeight="1">
      <c r="A33" s="30"/>
      <c r="B33" s="121" t="s">
        <v>208</v>
      </c>
      <c r="C33" s="111" t="s">
        <v>209</v>
      </c>
      <c r="D33" s="123" t="s">
        <v>195</v>
      </c>
      <c r="E33" s="115">
        <v>4</v>
      </c>
      <c r="F33" s="115">
        <f>E33*72/100</f>
        <v>2.88</v>
      </c>
      <c r="G33" s="115">
        <v>1941.17</v>
      </c>
      <c r="H33" s="66">
        <f t="shared" si="3"/>
        <v>5.5905696000000002</v>
      </c>
      <c r="I33" s="13">
        <f>G33*F33/6</f>
        <v>931.76159999999993</v>
      </c>
      <c r="J33" s="24"/>
    </row>
    <row r="34" spans="1:14" ht="15.75" hidden="1" customHeight="1">
      <c r="A34" s="30"/>
      <c r="B34" s="62" t="s">
        <v>64</v>
      </c>
      <c r="C34" s="63" t="s">
        <v>31</v>
      </c>
      <c r="D34" s="62" t="s">
        <v>65</v>
      </c>
      <c r="E34" s="64"/>
      <c r="F34" s="65">
        <v>1</v>
      </c>
      <c r="G34" s="65">
        <v>1413.96</v>
      </c>
      <c r="H34" s="66">
        <f t="shared" ref="H34" si="5">SUM(F34*G34/1000)</f>
        <v>1.4139600000000001</v>
      </c>
      <c r="I34" s="13">
        <v>0</v>
      </c>
      <c r="J34" s="24"/>
    </row>
    <row r="35" spans="1:14" ht="15.75" hidden="1" customHeight="1">
      <c r="A35" s="30"/>
      <c r="B35" s="82" t="s">
        <v>5</v>
      </c>
      <c r="C35" s="63"/>
      <c r="D35" s="62"/>
      <c r="E35" s="64"/>
      <c r="F35" s="65"/>
      <c r="G35" s="65"/>
      <c r="H35" s="66" t="s">
        <v>115</v>
      </c>
      <c r="I35" s="13"/>
      <c r="J35" s="24"/>
      <c r="L35" s="19"/>
      <c r="M35" s="20"/>
      <c r="N35" s="21"/>
    </row>
    <row r="36" spans="1:14" ht="15.75" hidden="1" customHeight="1">
      <c r="A36" s="30"/>
      <c r="B36" s="62" t="s">
        <v>26</v>
      </c>
      <c r="C36" s="63" t="s">
        <v>31</v>
      </c>
      <c r="D36" s="62"/>
      <c r="E36" s="64"/>
      <c r="F36" s="65">
        <v>3</v>
      </c>
      <c r="G36" s="65">
        <v>1900.37</v>
      </c>
      <c r="H36" s="66">
        <f t="shared" ref="H36:H41" si="6">SUM(F36*G36/1000)</f>
        <v>5.7011099999999999</v>
      </c>
      <c r="I36" s="13">
        <f t="shared" ref="I36:I41" si="7">F36/6*G36</f>
        <v>950.18499999999995</v>
      </c>
      <c r="J36" s="24"/>
      <c r="L36" s="19"/>
      <c r="M36" s="20"/>
      <c r="N36" s="21"/>
    </row>
    <row r="37" spans="1:14" ht="31.5" hidden="1" customHeight="1">
      <c r="A37" s="30"/>
      <c r="B37" s="62" t="s">
        <v>116</v>
      </c>
      <c r="C37" s="63" t="s">
        <v>29</v>
      </c>
      <c r="D37" s="62" t="s">
        <v>82</v>
      </c>
      <c r="E37" s="64">
        <v>35.299999999999997</v>
      </c>
      <c r="F37" s="65">
        <f>E37*30/1000</f>
        <v>1.0589999999999999</v>
      </c>
      <c r="G37" s="65">
        <v>2616.4899999999998</v>
      </c>
      <c r="H37" s="66">
        <f t="shared" si="6"/>
        <v>2.77086291</v>
      </c>
      <c r="I37" s="13">
        <f t="shared" si="7"/>
        <v>461.81048499999991</v>
      </c>
      <c r="J37" s="24"/>
      <c r="L37" s="19"/>
      <c r="M37" s="20"/>
      <c r="N37" s="21"/>
    </row>
    <row r="38" spans="1:14" ht="15.75" hidden="1" customHeight="1">
      <c r="A38" s="30"/>
      <c r="B38" s="62" t="s">
        <v>117</v>
      </c>
      <c r="C38" s="63" t="s">
        <v>29</v>
      </c>
      <c r="D38" s="62" t="s">
        <v>83</v>
      </c>
      <c r="E38" s="64">
        <v>35.299999999999997</v>
      </c>
      <c r="F38" s="65">
        <f>SUM(E38*155/1000)</f>
        <v>5.4714999999999998</v>
      </c>
      <c r="G38" s="65">
        <v>436.45</v>
      </c>
      <c r="H38" s="66">
        <f t="shared" si="6"/>
        <v>2.3880361749999999</v>
      </c>
      <c r="I38" s="13">
        <f t="shared" si="7"/>
        <v>398.00602916666662</v>
      </c>
      <c r="J38" s="24"/>
      <c r="L38" s="19"/>
      <c r="M38" s="20"/>
      <c r="N38" s="21"/>
    </row>
    <row r="39" spans="1:14" ht="47.25" hidden="1" customHeight="1">
      <c r="A39" s="30"/>
      <c r="B39" s="62" t="s">
        <v>118</v>
      </c>
      <c r="C39" s="63" t="s">
        <v>84</v>
      </c>
      <c r="D39" s="62" t="s">
        <v>119</v>
      </c>
      <c r="E39" s="64">
        <v>35.299999999999997</v>
      </c>
      <c r="F39" s="65">
        <f>SUM(E39*24/1000)</f>
        <v>0.84719999999999995</v>
      </c>
      <c r="G39" s="65">
        <v>7221.21</v>
      </c>
      <c r="H39" s="66">
        <f t="shared" si="6"/>
        <v>6.1178091119999998</v>
      </c>
      <c r="I39" s="13">
        <f t="shared" si="7"/>
        <v>1019.6348519999999</v>
      </c>
      <c r="J39" s="24"/>
      <c r="L39" s="19"/>
      <c r="M39" s="20"/>
      <c r="N39" s="21"/>
    </row>
    <row r="40" spans="1:14" ht="15.75" hidden="1" customHeight="1">
      <c r="A40" s="30"/>
      <c r="B40" s="62" t="s">
        <v>120</v>
      </c>
      <c r="C40" s="63" t="s">
        <v>84</v>
      </c>
      <c r="D40" s="62" t="s">
        <v>66</v>
      </c>
      <c r="E40" s="64">
        <v>35.299999999999997</v>
      </c>
      <c r="F40" s="65">
        <f>SUM(E40*45/1000)</f>
        <v>1.5884999999999998</v>
      </c>
      <c r="G40" s="65">
        <v>533.45000000000005</v>
      </c>
      <c r="H40" s="66">
        <f t="shared" si="6"/>
        <v>0.84738532499999997</v>
      </c>
      <c r="I40" s="13">
        <f t="shared" si="7"/>
        <v>141.23088749999999</v>
      </c>
      <c r="J40" s="24"/>
      <c r="L40" s="19"/>
      <c r="M40" s="20"/>
      <c r="N40" s="21"/>
    </row>
    <row r="41" spans="1:14" ht="15.75" hidden="1" customHeight="1">
      <c r="A41" s="30"/>
      <c r="B41" s="62" t="s">
        <v>67</v>
      </c>
      <c r="C41" s="63" t="s">
        <v>32</v>
      </c>
      <c r="D41" s="62"/>
      <c r="E41" s="64"/>
      <c r="F41" s="65">
        <v>0.3</v>
      </c>
      <c r="G41" s="65">
        <v>992.97</v>
      </c>
      <c r="H41" s="66">
        <f t="shared" si="6"/>
        <v>0.29789100000000002</v>
      </c>
      <c r="I41" s="13">
        <f t="shared" si="7"/>
        <v>49.648499999999999</v>
      </c>
      <c r="J41" s="24"/>
      <c r="L41" s="19"/>
      <c r="M41" s="20"/>
      <c r="N41" s="21"/>
    </row>
    <row r="42" spans="1:14" ht="15.75" customHeight="1">
      <c r="A42" s="180" t="s">
        <v>135</v>
      </c>
      <c r="B42" s="181"/>
      <c r="C42" s="181"/>
      <c r="D42" s="181"/>
      <c r="E42" s="181"/>
      <c r="F42" s="181"/>
      <c r="G42" s="181"/>
      <c r="H42" s="181"/>
      <c r="I42" s="182"/>
      <c r="J42" s="24"/>
      <c r="L42" s="19"/>
      <c r="M42" s="20"/>
      <c r="N42" s="21"/>
    </row>
    <row r="43" spans="1:14" ht="15.75" customHeight="1">
      <c r="A43" s="30">
        <v>9</v>
      </c>
      <c r="B43" s="62" t="s">
        <v>102</v>
      </c>
      <c r="C43" s="63" t="s">
        <v>84</v>
      </c>
      <c r="D43" s="62" t="s">
        <v>161</v>
      </c>
      <c r="E43" s="64">
        <v>907.4</v>
      </c>
      <c r="F43" s="65">
        <f>SUM(E43*2/1000)</f>
        <v>1.8148</v>
      </c>
      <c r="G43" s="120">
        <v>1207.24</v>
      </c>
      <c r="H43" s="66">
        <f t="shared" ref="H43:H52" si="8">SUM(F43*G43/1000)</f>
        <v>2.1908991520000001</v>
      </c>
      <c r="I43" s="13">
        <f>F43/2*G43</f>
        <v>1095.449576</v>
      </c>
      <c r="J43" s="24"/>
      <c r="L43" s="19"/>
      <c r="M43" s="20"/>
      <c r="N43" s="21"/>
    </row>
    <row r="44" spans="1:14" ht="15.75" customHeight="1">
      <c r="A44" s="30">
        <v>10</v>
      </c>
      <c r="B44" s="62" t="s">
        <v>35</v>
      </c>
      <c r="C44" s="63" t="s">
        <v>84</v>
      </c>
      <c r="D44" s="62" t="s">
        <v>161</v>
      </c>
      <c r="E44" s="64">
        <v>27</v>
      </c>
      <c r="F44" s="65">
        <f>SUM(E44*2/1000)</f>
        <v>5.3999999999999999E-2</v>
      </c>
      <c r="G44" s="120">
        <v>863.92</v>
      </c>
      <c r="H44" s="66">
        <f t="shared" si="8"/>
        <v>4.6651680000000001E-2</v>
      </c>
      <c r="I44" s="13">
        <f t="shared" ref="I44:I51" si="9">F44/2*G44</f>
        <v>23.325839999999999</v>
      </c>
      <c r="J44" s="24"/>
      <c r="L44" s="19"/>
      <c r="M44" s="20"/>
      <c r="N44" s="21"/>
    </row>
    <row r="45" spans="1:14" ht="15.75" customHeight="1">
      <c r="A45" s="30">
        <v>11</v>
      </c>
      <c r="B45" s="62" t="s">
        <v>36</v>
      </c>
      <c r="C45" s="63" t="s">
        <v>84</v>
      </c>
      <c r="D45" s="62" t="s">
        <v>161</v>
      </c>
      <c r="E45" s="64">
        <v>772</v>
      </c>
      <c r="F45" s="65">
        <f>SUM(E45*2/1000)</f>
        <v>1.544</v>
      </c>
      <c r="G45" s="120">
        <v>863.92</v>
      </c>
      <c r="H45" s="66">
        <f t="shared" si="8"/>
        <v>1.33389248</v>
      </c>
      <c r="I45" s="13">
        <f t="shared" si="9"/>
        <v>666.94623999999999</v>
      </c>
      <c r="J45" s="24"/>
      <c r="L45" s="19"/>
      <c r="M45" s="20"/>
      <c r="N45" s="21"/>
    </row>
    <row r="46" spans="1:14" ht="15.75" customHeight="1">
      <c r="A46" s="30">
        <v>12</v>
      </c>
      <c r="B46" s="62" t="s">
        <v>37</v>
      </c>
      <c r="C46" s="63" t="s">
        <v>84</v>
      </c>
      <c r="D46" s="62" t="s">
        <v>161</v>
      </c>
      <c r="E46" s="64">
        <v>959.4</v>
      </c>
      <c r="F46" s="65">
        <f>SUM(E46*2/1000)</f>
        <v>1.9188000000000001</v>
      </c>
      <c r="G46" s="120">
        <v>904.65</v>
      </c>
      <c r="H46" s="66">
        <f t="shared" si="8"/>
        <v>1.73584242</v>
      </c>
      <c r="I46" s="13">
        <f t="shared" si="9"/>
        <v>867.92120999999997</v>
      </c>
      <c r="J46" s="24"/>
      <c r="L46" s="19"/>
      <c r="M46" s="20"/>
      <c r="N46" s="21"/>
    </row>
    <row r="47" spans="1:14" ht="15.75" customHeight="1">
      <c r="A47" s="30">
        <v>13</v>
      </c>
      <c r="B47" s="62" t="s">
        <v>33</v>
      </c>
      <c r="C47" s="63" t="s">
        <v>34</v>
      </c>
      <c r="D47" s="62" t="s">
        <v>161</v>
      </c>
      <c r="E47" s="64">
        <v>66.02</v>
      </c>
      <c r="F47" s="65">
        <f>SUM(E47*2/100)</f>
        <v>1.3204</v>
      </c>
      <c r="G47" s="120">
        <v>108.55</v>
      </c>
      <c r="H47" s="66">
        <f t="shared" si="8"/>
        <v>0.14332941999999999</v>
      </c>
      <c r="I47" s="13">
        <f t="shared" si="9"/>
        <v>71.664709999999999</v>
      </c>
      <c r="J47" s="24"/>
      <c r="L47" s="19"/>
      <c r="M47" s="20"/>
      <c r="N47" s="21"/>
    </row>
    <row r="48" spans="1:14" ht="15.75" customHeight="1">
      <c r="A48" s="30">
        <v>14</v>
      </c>
      <c r="B48" s="123" t="s">
        <v>55</v>
      </c>
      <c r="C48" s="124" t="s">
        <v>84</v>
      </c>
      <c r="D48" s="123" t="s">
        <v>161</v>
      </c>
      <c r="E48" s="128">
        <v>702.5</v>
      </c>
      <c r="F48" s="115">
        <f>SUM(E48*5/1000)</f>
        <v>3.5125000000000002</v>
      </c>
      <c r="G48" s="34">
        <v>1809.27</v>
      </c>
      <c r="H48" s="66">
        <f t="shared" si="8"/>
        <v>6.3550608750000004</v>
      </c>
      <c r="I48" s="13">
        <f>F48/5*G48</f>
        <v>1271.0121750000001</v>
      </c>
      <c r="J48" s="24"/>
      <c r="L48" s="19"/>
      <c r="M48" s="20"/>
      <c r="N48" s="21"/>
    </row>
    <row r="49" spans="1:22" ht="32.25" customHeight="1">
      <c r="A49" s="30">
        <v>15</v>
      </c>
      <c r="B49" s="123" t="s">
        <v>85</v>
      </c>
      <c r="C49" s="124" t="s">
        <v>84</v>
      </c>
      <c r="D49" s="123" t="s">
        <v>244</v>
      </c>
      <c r="E49" s="128">
        <v>702.5</v>
      </c>
      <c r="F49" s="115">
        <f>SUM(E49*2/1000)</f>
        <v>1.405</v>
      </c>
      <c r="G49" s="34">
        <v>1809.27</v>
      </c>
      <c r="H49" s="66">
        <f t="shared" si="8"/>
        <v>2.5420243500000002</v>
      </c>
      <c r="I49" s="13">
        <f t="shared" si="9"/>
        <v>1271.0121750000001</v>
      </c>
      <c r="J49" s="24"/>
      <c r="L49" s="19"/>
      <c r="M49" s="20"/>
      <c r="N49" s="21"/>
    </row>
    <row r="50" spans="1:22" ht="32.25" customHeight="1">
      <c r="A50" s="30">
        <v>16</v>
      </c>
      <c r="B50" s="62" t="s">
        <v>86</v>
      </c>
      <c r="C50" s="63" t="s">
        <v>38</v>
      </c>
      <c r="D50" s="62" t="s">
        <v>161</v>
      </c>
      <c r="E50" s="64">
        <v>9</v>
      </c>
      <c r="F50" s="65">
        <f>SUM(E50*2/100)</f>
        <v>0.18</v>
      </c>
      <c r="G50" s="120">
        <v>4070.89</v>
      </c>
      <c r="H50" s="66">
        <f t="shared" si="8"/>
        <v>0.73276019999999997</v>
      </c>
      <c r="I50" s="13">
        <f t="shared" si="9"/>
        <v>366.38009999999997</v>
      </c>
      <c r="J50" s="24"/>
      <c r="L50" s="19"/>
      <c r="M50" s="20"/>
      <c r="N50" s="21"/>
    </row>
    <row r="51" spans="1:22" ht="15.75" customHeight="1">
      <c r="A51" s="30">
        <v>17</v>
      </c>
      <c r="B51" s="62" t="s">
        <v>39</v>
      </c>
      <c r="C51" s="63" t="s">
        <v>40</v>
      </c>
      <c r="D51" s="62" t="s">
        <v>161</v>
      </c>
      <c r="E51" s="64">
        <v>1</v>
      </c>
      <c r="F51" s="65">
        <v>0.02</v>
      </c>
      <c r="G51" s="120">
        <v>8426.7199999999993</v>
      </c>
      <c r="H51" s="66">
        <f t="shared" si="8"/>
        <v>0.16853439999999997</v>
      </c>
      <c r="I51" s="13">
        <f t="shared" si="9"/>
        <v>84.267199999999988</v>
      </c>
      <c r="J51" s="24"/>
      <c r="L51" s="19"/>
      <c r="M51" s="20"/>
      <c r="N51" s="21"/>
    </row>
    <row r="52" spans="1:22" ht="15.75" hidden="1" customHeight="1">
      <c r="A52" s="30">
        <v>17</v>
      </c>
      <c r="B52" s="62" t="s">
        <v>41</v>
      </c>
      <c r="C52" s="63" t="s">
        <v>103</v>
      </c>
      <c r="D52" s="62" t="s">
        <v>68</v>
      </c>
      <c r="E52" s="64">
        <v>53</v>
      </c>
      <c r="F52" s="65">
        <f>53*3</f>
        <v>159</v>
      </c>
      <c r="G52" s="160">
        <v>97.93</v>
      </c>
      <c r="H52" s="66">
        <f t="shared" si="8"/>
        <v>15.570870000000001</v>
      </c>
      <c r="I52" s="13">
        <f>F52/3*G52</f>
        <v>5190.29</v>
      </c>
      <c r="J52" s="24"/>
      <c r="L52" s="19"/>
    </row>
    <row r="53" spans="1:22" ht="15.75" customHeight="1">
      <c r="A53" s="180" t="s">
        <v>136</v>
      </c>
      <c r="B53" s="181"/>
      <c r="C53" s="181"/>
      <c r="D53" s="181"/>
      <c r="E53" s="181"/>
      <c r="F53" s="181"/>
      <c r="G53" s="181"/>
      <c r="H53" s="181"/>
      <c r="I53" s="182"/>
    </row>
    <row r="54" spans="1:22" ht="15.75" hidden="1" customHeight="1">
      <c r="A54" s="30"/>
      <c r="B54" s="82" t="s">
        <v>43</v>
      </c>
      <c r="C54" s="63"/>
      <c r="D54" s="62"/>
      <c r="E54" s="64"/>
      <c r="F54" s="65"/>
      <c r="G54" s="65"/>
      <c r="H54" s="66"/>
      <c r="I54" s="13"/>
    </row>
    <row r="55" spans="1:22" ht="31.5" hidden="1" customHeight="1">
      <c r="A55" s="30"/>
      <c r="B55" s="62" t="s">
        <v>104</v>
      </c>
      <c r="C55" s="63" t="s">
        <v>81</v>
      </c>
      <c r="D55" s="62" t="s">
        <v>105</v>
      </c>
      <c r="E55" s="64">
        <v>11.5</v>
      </c>
      <c r="F55" s="65">
        <f>SUM(E55*6/100)</f>
        <v>0.69</v>
      </c>
      <c r="G55" s="13">
        <v>2306.62</v>
      </c>
      <c r="H55" s="66">
        <f>SUM(F55*G55/1000)</f>
        <v>1.5915677999999998</v>
      </c>
      <c r="I55" s="13">
        <v>0</v>
      </c>
    </row>
    <row r="56" spans="1:22" ht="15.75" hidden="1" customHeight="1">
      <c r="A56" s="30"/>
      <c r="B56" s="62" t="s">
        <v>121</v>
      </c>
      <c r="C56" s="63" t="s">
        <v>122</v>
      </c>
      <c r="D56" s="62" t="s">
        <v>65</v>
      </c>
      <c r="E56" s="64"/>
      <c r="F56" s="65">
        <v>2</v>
      </c>
      <c r="G56" s="85">
        <v>1501</v>
      </c>
      <c r="H56" s="66">
        <f>SUM(F56*G56/1000)</f>
        <v>3.0019999999999998</v>
      </c>
      <c r="I56" s="13">
        <v>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9"/>
    </row>
    <row r="57" spans="1:22" ht="15.75" customHeight="1">
      <c r="A57" s="30"/>
      <c r="B57" s="82" t="s">
        <v>44</v>
      </c>
      <c r="C57" s="63"/>
      <c r="D57" s="62"/>
      <c r="E57" s="64"/>
      <c r="F57" s="65"/>
      <c r="G57" s="86"/>
      <c r="H57" s="66"/>
      <c r="I57" s="13"/>
      <c r="J57" s="26"/>
      <c r="K57" s="26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2" ht="15.75" hidden="1" customHeight="1">
      <c r="A58" s="30"/>
      <c r="B58" s="62" t="s">
        <v>106</v>
      </c>
      <c r="C58" s="63" t="s">
        <v>81</v>
      </c>
      <c r="D58" s="62" t="s">
        <v>53</v>
      </c>
      <c r="E58" s="64">
        <v>148</v>
      </c>
      <c r="F58" s="66">
        <f>E58/100</f>
        <v>1.48</v>
      </c>
      <c r="G58" s="13">
        <v>987.51</v>
      </c>
      <c r="H58" s="71">
        <f>F58*G58/1000</f>
        <v>1.4615148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S58" s="3"/>
      <c r="T58" s="3"/>
      <c r="U58" s="3"/>
    </row>
    <row r="59" spans="1:22" ht="15.75" customHeight="1">
      <c r="A59" s="30">
        <v>18</v>
      </c>
      <c r="B59" s="73" t="s">
        <v>131</v>
      </c>
      <c r="C59" s="72" t="s">
        <v>25</v>
      </c>
      <c r="D59" s="73" t="s">
        <v>161</v>
      </c>
      <c r="E59" s="74">
        <v>140.5</v>
      </c>
      <c r="F59" s="65">
        <v>1320</v>
      </c>
      <c r="G59" s="87">
        <v>1.4</v>
      </c>
      <c r="H59" s="71">
        <f>F59*G59/1000</f>
        <v>1.8479999999999999</v>
      </c>
      <c r="I59" s="13">
        <f>F59/12*G59</f>
        <v>154</v>
      </c>
      <c r="J59" s="5"/>
      <c r="K59" s="5"/>
      <c r="L59" s="5"/>
      <c r="M59" s="5"/>
      <c r="N59" s="5"/>
      <c r="O59" s="5"/>
      <c r="P59" s="5"/>
      <c r="Q59" s="5"/>
      <c r="R59" s="173"/>
      <c r="S59" s="173"/>
      <c r="T59" s="173"/>
      <c r="U59" s="173"/>
    </row>
    <row r="60" spans="1:22" ht="15.75" customHeight="1">
      <c r="A60" s="30"/>
      <c r="B60" s="83" t="s">
        <v>45</v>
      </c>
      <c r="C60" s="72"/>
      <c r="D60" s="73"/>
      <c r="E60" s="74"/>
      <c r="F60" s="75"/>
      <c r="G60" s="75"/>
      <c r="H60" s="76" t="s">
        <v>115</v>
      </c>
      <c r="I60" s="1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2" ht="15.75" customHeight="1">
      <c r="A61" s="30">
        <v>19</v>
      </c>
      <c r="B61" s="14" t="s">
        <v>46</v>
      </c>
      <c r="C61" s="16" t="s">
        <v>103</v>
      </c>
      <c r="D61" s="14" t="s">
        <v>171</v>
      </c>
      <c r="E61" s="18">
        <v>2</v>
      </c>
      <c r="F61" s="65">
        <f>E61</f>
        <v>2</v>
      </c>
      <c r="G61" s="120">
        <v>331.57</v>
      </c>
      <c r="H61" s="61">
        <f t="shared" ref="H61:H77" si="10">SUM(F61*G61/1000)</f>
        <v>0.66313999999999995</v>
      </c>
      <c r="I61" s="13">
        <f>G61*4</f>
        <v>1326.28</v>
      </c>
    </row>
    <row r="62" spans="1:22" ht="15.75" hidden="1" customHeight="1">
      <c r="A62" s="30"/>
      <c r="B62" s="14" t="s">
        <v>47</v>
      </c>
      <c r="C62" s="16" t="s">
        <v>103</v>
      </c>
      <c r="D62" s="14" t="s">
        <v>65</v>
      </c>
      <c r="E62" s="18">
        <v>1</v>
      </c>
      <c r="F62" s="65">
        <f>E62</f>
        <v>1</v>
      </c>
      <c r="G62" s="13">
        <v>94.89</v>
      </c>
      <c r="H62" s="61">
        <f t="shared" si="10"/>
        <v>9.4890000000000002E-2</v>
      </c>
      <c r="I62" s="13">
        <v>0</v>
      </c>
    </row>
    <row r="63" spans="1:22" ht="15.75" hidden="1" customHeight="1">
      <c r="A63" s="30"/>
      <c r="B63" s="14" t="s">
        <v>48</v>
      </c>
      <c r="C63" s="16" t="s">
        <v>107</v>
      </c>
      <c r="D63" s="14" t="s">
        <v>53</v>
      </c>
      <c r="E63" s="64">
        <v>6307</v>
      </c>
      <c r="F63" s="13">
        <f>SUM(E63/100)</f>
        <v>63.07</v>
      </c>
      <c r="G63" s="13">
        <v>263.99</v>
      </c>
      <c r="H63" s="61">
        <f t="shared" si="10"/>
        <v>16.649849300000003</v>
      </c>
      <c r="I63" s="13">
        <v>0</v>
      </c>
    </row>
    <row r="64" spans="1:22" ht="15.75" hidden="1" customHeight="1">
      <c r="A64" s="30"/>
      <c r="B64" s="14" t="s">
        <v>49</v>
      </c>
      <c r="C64" s="16" t="s">
        <v>108</v>
      </c>
      <c r="D64" s="14"/>
      <c r="E64" s="64">
        <v>6307</v>
      </c>
      <c r="F64" s="13">
        <f>SUM(E64/1000)</f>
        <v>6.3070000000000004</v>
      </c>
      <c r="G64" s="13">
        <v>205.57</v>
      </c>
      <c r="H64" s="61">
        <f t="shared" si="10"/>
        <v>1.29652999</v>
      </c>
      <c r="I64" s="13">
        <v>0</v>
      </c>
    </row>
    <row r="65" spans="1:9" ht="15.75" hidden="1" customHeight="1">
      <c r="A65" s="30"/>
      <c r="B65" s="14" t="s">
        <v>50</v>
      </c>
      <c r="C65" s="16" t="s">
        <v>74</v>
      </c>
      <c r="D65" s="14" t="s">
        <v>53</v>
      </c>
      <c r="E65" s="64">
        <v>1003</v>
      </c>
      <c r="F65" s="13">
        <f>SUM(E65/100)</f>
        <v>10.029999999999999</v>
      </c>
      <c r="G65" s="13">
        <v>2581.5300000000002</v>
      </c>
      <c r="H65" s="61">
        <f t="shared" si="10"/>
        <v>25.892745900000001</v>
      </c>
      <c r="I65" s="13">
        <v>0</v>
      </c>
    </row>
    <row r="66" spans="1:9" ht="15.75" hidden="1" customHeight="1">
      <c r="A66" s="30"/>
      <c r="B66" s="77" t="s">
        <v>109</v>
      </c>
      <c r="C66" s="16" t="s">
        <v>32</v>
      </c>
      <c r="D66" s="14"/>
      <c r="E66" s="64">
        <v>6.6</v>
      </c>
      <c r="F66" s="13">
        <f>SUM(E66)</f>
        <v>6.6</v>
      </c>
      <c r="G66" s="13">
        <v>47.75</v>
      </c>
      <c r="H66" s="61">
        <f t="shared" si="10"/>
        <v>0.31514999999999999</v>
      </c>
      <c r="I66" s="13">
        <v>0</v>
      </c>
    </row>
    <row r="67" spans="1:9" ht="15.75" hidden="1" customHeight="1">
      <c r="A67" s="30"/>
      <c r="B67" s="77" t="s">
        <v>110</v>
      </c>
      <c r="C67" s="16" t="s">
        <v>32</v>
      </c>
      <c r="D67" s="14"/>
      <c r="E67" s="64">
        <v>6.6</v>
      </c>
      <c r="F67" s="13">
        <f>SUM(E67)</f>
        <v>6.6</v>
      </c>
      <c r="G67" s="13">
        <v>44.27</v>
      </c>
      <c r="H67" s="61">
        <f t="shared" si="10"/>
        <v>0.292182</v>
      </c>
      <c r="I67" s="13">
        <v>0</v>
      </c>
    </row>
    <row r="68" spans="1:9" ht="15.75" customHeight="1">
      <c r="A68" s="30">
        <v>20</v>
      </c>
      <c r="B68" s="14" t="s">
        <v>56</v>
      </c>
      <c r="C68" s="16" t="s">
        <v>57</v>
      </c>
      <c r="D68" s="14" t="s">
        <v>173</v>
      </c>
      <c r="E68" s="18">
        <v>3</v>
      </c>
      <c r="F68" s="65">
        <v>3</v>
      </c>
      <c r="G68" s="120">
        <v>74.37</v>
      </c>
      <c r="H68" s="61">
        <f t="shared" si="10"/>
        <v>0.22311</v>
      </c>
      <c r="I68" s="13">
        <f>F68*G68</f>
        <v>223.11</v>
      </c>
    </row>
    <row r="69" spans="1:9" ht="15.75" customHeight="1">
      <c r="A69" s="30">
        <v>21</v>
      </c>
      <c r="B69" s="139" t="s">
        <v>123</v>
      </c>
      <c r="C69" s="131" t="s">
        <v>124</v>
      </c>
      <c r="D69" s="139" t="s">
        <v>161</v>
      </c>
      <c r="E69" s="17">
        <v>1536.4</v>
      </c>
      <c r="F69" s="140">
        <f>E69*12</f>
        <v>18436.800000000003</v>
      </c>
      <c r="G69" s="34">
        <v>2.6</v>
      </c>
      <c r="H69" s="61">
        <f t="shared" si="10"/>
        <v>47.935680000000005</v>
      </c>
      <c r="I69" s="13">
        <f>F69/12*G69</f>
        <v>3994.6400000000008</v>
      </c>
    </row>
    <row r="70" spans="1:9" ht="15.75" customHeight="1">
      <c r="A70" s="30"/>
      <c r="B70" s="48" t="s">
        <v>69</v>
      </c>
      <c r="C70" s="16"/>
      <c r="D70" s="14"/>
      <c r="E70" s="18"/>
      <c r="F70" s="13"/>
      <c r="G70" s="13"/>
      <c r="H70" s="61" t="s">
        <v>115</v>
      </c>
      <c r="I70" s="13"/>
    </row>
    <row r="71" spans="1:9" ht="15.75" hidden="1" customHeight="1">
      <c r="A71" s="30"/>
      <c r="B71" s="14" t="s">
        <v>125</v>
      </c>
      <c r="C71" s="16" t="s">
        <v>126</v>
      </c>
      <c r="D71" s="14" t="s">
        <v>65</v>
      </c>
      <c r="E71" s="18">
        <v>1</v>
      </c>
      <c r="F71" s="13">
        <f>E71</f>
        <v>1</v>
      </c>
      <c r="G71" s="13">
        <v>976.4</v>
      </c>
      <c r="H71" s="61">
        <f t="shared" ref="H71:H72" si="11">SUM(F71*G71/1000)</f>
        <v>0.97639999999999993</v>
      </c>
      <c r="I71" s="13">
        <v>0</v>
      </c>
    </row>
    <row r="72" spans="1:9" ht="15.75" hidden="1" customHeight="1">
      <c r="A72" s="30"/>
      <c r="B72" s="14" t="s">
        <v>127</v>
      </c>
      <c r="C72" s="16" t="s">
        <v>128</v>
      </c>
      <c r="D72" s="14"/>
      <c r="E72" s="18">
        <v>1</v>
      </c>
      <c r="F72" s="13">
        <v>1</v>
      </c>
      <c r="G72" s="13">
        <v>650</v>
      </c>
      <c r="H72" s="61">
        <f t="shared" si="11"/>
        <v>0.65</v>
      </c>
      <c r="I72" s="13">
        <v>0</v>
      </c>
    </row>
    <row r="73" spans="1:9" ht="15.75" hidden="1" customHeight="1">
      <c r="A73" s="30"/>
      <c r="B73" s="14" t="s">
        <v>70</v>
      </c>
      <c r="C73" s="16" t="s">
        <v>72</v>
      </c>
      <c r="D73" s="14"/>
      <c r="E73" s="18">
        <v>3</v>
      </c>
      <c r="F73" s="13">
        <v>0.3</v>
      </c>
      <c r="G73" s="13">
        <v>624.16999999999996</v>
      </c>
      <c r="H73" s="61">
        <f t="shared" si="10"/>
        <v>0.18725099999999997</v>
      </c>
      <c r="I73" s="13">
        <v>0</v>
      </c>
    </row>
    <row r="74" spans="1:9" ht="15.75" hidden="1" customHeight="1">
      <c r="A74" s="30"/>
      <c r="B74" s="14" t="s">
        <v>71</v>
      </c>
      <c r="C74" s="16" t="s">
        <v>30</v>
      </c>
      <c r="D74" s="14"/>
      <c r="E74" s="18">
        <v>1</v>
      </c>
      <c r="F74" s="56">
        <v>1</v>
      </c>
      <c r="G74" s="13">
        <v>1061.4100000000001</v>
      </c>
      <c r="H74" s="61">
        <f>F74*G74/1000</f>
        <v>1.0614100000000002</v>
      </c>
      <c r="I74" s="13">
        <v>0</v>
      </c>
    </row>
    <row r="75" spans="1:9" ht="16.5" customHeight="1">
      <c r="A75" s="30">
        <v>22</v>
      </c>
      <c r="B75" s="46" t="s">
        <v>197</v>
      </c>
      <c r="C75" s="47" t="s">
        <v>103</v>
      </c>
      <c r="D75" s="139" t="s">
        <v>173</v>
      </c>
      <c r="E75" s="17">
        <v>2</v>
      </c>
      <c r="F75" s="34">
        <f>E75*12</f>
        <v>24</v>
      </c>
      <c r="G75" s="34">
        <v>420</v>
      </c>
      <c r="H75" s="61">
        <f>G75*F75/1000</f>
        <v>10.08</v>
      </c>
      <c r="I75" s="13">
        <f>G75*2</f>
        <v>840</v>
      </c>
    </row>
    <row r="76" spans="1:9" ht="31.5" customHeight="1">
      <c r="A76" s="30">
        <v>23</v>
      </c>
      <c r="B76" s="46" t="s">
        <v>198</v>
      </c>
      <c r="C76" s="47" t="s">
        <v>30</v>
      </c>
      <c r="D76" s="139" t="s">
        <v>173</v>
      </c>
      <c r="E76" s="17">
        <v>1</v>
      </c>
      <c r="F76" s="34">
        <f>E76*12</f>
        <v>12</v>
      </c>
      <c r="G76" s="34">
        <v>1829</v>
      </c>
      <c r="H76" s="61"/>
      <c r="I76" s="13">
        <f>G76*F76/12</f>
        <v>1829</v>
      </c>
    </row>
    <row r="77" spans="1:9" ht="15.75" hidden="1" customHeight="1">
      <c r="A77" s="30"/>
      <c r="B77" s="43" t="s">
        <v>130</v>
      </c>
      <c r="C77" s="16" t="s">
        <v>74</v>
      </c>
      <c r="D77" s="14"/>
      <c r="E77" s="18"/>
      <c r="F77" s="13">
        <v>0.1</v>
      </c>
      <c r="G77" s="13">
        <v>3433.69</v>
      </c>
      <c r="H77" s="61">
        <f t="shared" si="10"/>
        <v>0.34336900000000004</v>
      </c>
      <c r="I77" s="13">
        <v>0</v>
      </c>
    </row>
    <row r="78" spans="1:9" ht="15.75" hidden="1" customHeight="1">
      <c r="A78" s="30"/>
      <c r="B78" s="55" t="s">
        <v>87</v>
      </c>
      <c r="C78" s="79"/>
      <c r="D78" s="31"/>
      <c r="E78" s="32"/>
      <c r="F78" s="68"/>
      <c r="G78" s="68"/>
      <c r="H78" s="80">
        <f>SUM(H55:H77)</f>
        <v>114.56478978999999</v>
      </c>
      <c r="I78" s="13"/>
    </row>
    <row r="79" spans="1:9" ht="15.75" hidden="1" customHeight="1">
      <c r="A79" s="30">
        <v>22</v>
      </c>
      <c r="B79" s="62" t="s">
        <v>111</v>
      </c>
      <c r="C79" s="16"/>
      <c r="D79" s="14"/>
      <c r="E79" s="57"/>
      <c r="F79" s="13">
        <v>1</v>
      </c>
      <c r="G79" s="13">
        <v>5593.4</v>
      </c>
      <c r="H79" s="61">
        <f>G79*F79/1000</f>
        <v>5.5933999999999999</v>
      </c>
      <c r="I79" s="13">
        <f>G79*1</f>
        <v>5593.4</v>
      </c>
    </row>
    <row r="80" spans="1:9" ht="15.75" customHeight="1">
      <c r="A80" s="180" t="s">
        <v>137</v>
      </c>
      <c r="B80" s="181"/>
      <c r="C80" s="181"/>
      <c r="D80" s="181"/>
      <c r="E80" s="181"/>
      <c r="F80" s="181"/>
      <c r="G80" s="181"/>
      <c r="H80" s="181"/>
      <c r="I80" s="182"/>
    </row>
    <row r="81" spans="1:9" ht="15.75" customHeight="1">
      <c r="A81" s="30">
        <v>24</v>
      </c>
      <c r="B81" s="123" t="s">
        <v>112</v>
      </c>
      <c r="C81" s="130" t="s">
        <v>54</v>
      </c>
      <c r="D81" s="141"/>
      <c r="E81" s="34">
        <v>1536.4</v>
      </c>
      <c r="F81" s="34">
        <f>SUM(E81*12)</f>
        <v>18436.800000000003</v>
      </c>
      <c r="G81" s="34">
        <v>3.5</v>
      </c>
      <c r="H81" s="61">
        <f>SUM(F81*G81/1000)</f>
        <v>64.528800000000004</v>
      </c>
      <c r="I81" s="13">
        <f>F81/12*G81</f>
        <v>5377.4000000000015</v>
      </c>
    </row>
    <row r="82" spans="1:9" ht="31.5" customHeight="1">
      <c r="A82" s="30">
        <v>25</v>
      </c>
      <c r="B82" s="123" t="s">
        <v>199</v>
      </c>
      <c r="C82" s="130" t="s">
        <v>54</v>
      </c>
      <c r="D82" s="141"/>
      <c r="E82" s="34">
        <v>1536.4</v>
      </c>
      <c r="F82" s="34">
        <f>E82*12</f>
        <v>18436.800000000003</v>
      </c>
      <c r="G82" s="34">
        <v>3.2</v>
      </c>
      <c r="H82" s="61">
        <f>F82*G82/1000</f>
        <v>58.997760000000007</v>
      </c>
      <c r="I82" s="13">
        <f>F82/12*G82</f>
        <v>4916.4800000000014</v>
      </c>
    </row>
    <row r="83" spans="1:9" ht="15.75" customHeight="1">
      <c r="A83" s="30"/>
      <c r="B83" s="36" t="s">
        <v>77</v>
      </c>
      <c r="C83" s="79"/>
      <c r="D83" s="78"/>
      <c r="E83" s="68"/>
      <c r="F83" s="68"/>
      <c r="G83" s="68"/>
      <c r="H83" s="80">
        <f>H82</f>
        <v>58.997760000000007</v>
      </c>
      <c r="I83" s="68">
        <f>I82+I81+I76+I75+I69+I68+I61+I59+I51+I50+I49+I48+I47+I46+I45+I44+I43+I33+I31+I30+I27+I21+I20+I18+I17+I16</f>
        <v>33094.950248000008</v>
      </c>
    </row>
    <row r="84" spans="1:9" ht="15.75" customHeight="1">
      <c r="A84" s="166" t="s">
        <v>59</v>
      </c>
      <c r="B84" s="167"/>
      <c r="C84" s="167"/>
      <c r="D84" s="167"/>
      <c r="E84" s="167"/>
      <c r="F84" s="167"/>
      <c r="G84" s="167"/>
      <c r="H84" s="167"/>
      <c r="I84" s="168"/>
    </row>
    <row r="85" spans="1:9" ht="30.75" customHeight="1">
      <c r="A85" s="30">
        <v>26</v>
      </c>
      <c r="B85" s="110" t="s">
        <v>233</v>
      </c>
      <c r="C85" s="111" t="s">
        <v>174</v>
      </c>
      <c r="D85" s="101" t="s">
        <v>245</v>
      </c>
      <c r="E85" s="34"/>
      <c r="F85" s="34">
        <v>3</v>
      </c>
      <c r="G85" s="34">
        <v>670.51</v>
      </c>
      <c r="H85" s="13">
        <f t="shared" ref="H85" si="12">G85*F85/1000</f>
        <v>2.01153</v>
      </c>
      <c r="I85" s="13">
        <f>G85*2</f>
        <v>1341.02</v>
      </c>
    </row>
    <row r="86" spans="1:9" ht="15.75" customHeight="1">
      <c r="A86" s="30"/>
      <c r="B86" s="41" t="s">
        <v>51</v>
      </c>
      <c r="C86" s="37"/>
      <c r="D86" s="44"/>
      <c r="E86" s="37">
        <v>1</v>
      </c>
      <c r="F86" s="37"/>
      <c r="G86" s="37"/>
      <c r="H86" s="37"/>
      <c r="I86" s="32">
        <f>SUM(I85:I85)</f>
        <v>1341.02</v>
      </c>
    </row>
    <row r="87" spans="1:9" ht="15.75" customHeight="1">
      <c r="A87" s="30"/>
      <c r="B87" s="43" t="s">
        <v>76</v>
      </c>
      <c r="C87" s="15"/>
      <c r="D87" s="15"/>
      <c r="E87" s="38"/>
      <c r="F87" s="38"/>
      <c r="G87" s="39"/>
      <c r="H87" s="39"/>
      <c r="I87" s="17">
        <v>0</v>
      </c>
    </row>
    <row r="88" spans="1:9">
      <c r="A88" s="45"/>
      <c r="B88" s="42" t="s">
        <v>153</v>
      </c>
      <c r="C88" s="33"/>
      <c r="D88" s="33"/>
      <c r="E88" s="33"/>
      <c r="F88" s="33"/>
      <c r="G88" s="33"/>
      <c r="H88" s="33"/>
      <c r="I88" s="40">
        <f>I83+I86</f>
        <v>34435.970248000005</v>
      </c>
    </row>
    <row r="89" spans="1:9" ht="15.75">
      <c r="A89" s="175" t="s">
        <v>246</v>
      </c>
      <c r="B89" s="175"/>
      <c r="C89" s="175"/>
      <c r="D89" s="175"/>
      <c r="E89" s="175"/>
      <c r="F89" s="175"/>
      <c r="G89" s="175"/>
      <c r="H89" s="175"/>
      <c r="I89" s="175"/>
    </row>
    <row r="90" spans="1:9" ht="15.75" customHeight="1">
      <c r="A90" s="54"/>
      <c r="B90" s="176" t="s">
        <v>247</v>
      </c>
      <c r="C90" s="176"/>
      <c r="D90" s="176"/>
      <c r="E90" s="176"/>
      <c r="F90" s="176"/>
      <c r="G90" s="176"/>
      <c r="H90" s="60"/>
      <c r="I90" s="3"/>
    </row>
    <row r="91" spans="1:9">
      <c r="A91" s="53"/>
      <c r="B91" s="171" t="s">
        <v>6</v>
      </c>
      <c r="C91" s="171"/>
      <c r="D91" s="171"/>
      <c r="E91" s="171"/>
      <c r="F91" s="171"/>
      <c r="G91" s="171"/>
      <c r="H91" s="25"/>
      <c r="I91" s="5"/>
    </row>
    <row r="92" spans="1:9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77" t="s">
        <v>7</v>
      </c>
      <c r="B93" s="177"/>
      <c r="C93" s="177"/>
      <c r="D93" s="177"/>
      <c r="E93" s="177"/>
      <c r="F93" s="177"/>
      <c r="G93" s="177"/>
      <c r="H93" s="177"/>
      <c r="I93" s="177"/>
    </row>
    <row r="94" spans="1:9" ht="15.75" customHeight="1">
      <c r="A94" s="177" t="s">
        <v>8</v>
      </c>
      <c r="B94" s="177"/>
      <c r="C94" s="177"/>
      <c r="D94" s="177"/>
      <c r="E94" s="177"/>
      <c r="F94" s="177"/>
      <c r="G94" s="177"/>
      <c r="H94" s="177"/>
      <c r="I94" s="177"/>
    </row>
    <row r="95" spans="1:9" ht="15.75">
      <c r="A95" s="178" t="s">
        <v>60</v>
      </c>
      <c r="B95" s="178"/>
      <c r="C95" s="178"/>
      <c r="D95" s="178"/>
      <c r="E95" s="178"/>
      <c r="F95" s="178"/>
      <c r="G95" s="178"/>
      <c r="H95" s="178"/>
      <c r="I95" s="178"/>
    </row>
    <row r="96" spans="1:9" ht="15.75">
      <c r="A96" s="11"/>
    </row>
    <row r="97" spans="1:9" ht="15.75">
      <c r="A97" s="169" t="s">
        <v>9</v>
      </c>
      <c r="B97" s="169"/>
      <c r="C97" s="169"/>
      <c r="D97" s="169"/>
      <c r="E97" s="169"/>
      <c r="F97" s="169"/>
      <c r="G97" s="169"/>
      <c r="H97" s="169"/>
      <c r="I97" s="169"/>
    </row>
    <row r="98" spans="1:9" ht="15.75">
      <c r="A98" s="4"/>
    </row>
    <row r="99" spans="1:9" ht="15.75">
      <c r="B99" s="50" t="s">
        <v>10</v>
      </c>
      <c r="C99" s="170" t="s">
        <v>133</v>
      </c>
      <c r="D99" s="170"/>
      <c r="E99" s="170"/>
      <c r="F99" s="58"/>
      <c r="I99" s="52"/>
    </row>
    <row r="100" spans="1:9">
      <c r="A100" s="53"/>
      <c r="C100" s="171" t="s">
        <v>11</v>
      </c>
      <c r="D100" s="171"/>
      <c r="E100" s="171"/>
      <c r="F100" s="25"/>
      <c r="I100" s="51" t="s">
        <v>12</v>
      </c>
    </row>
    <row r="101" spans="1:9" ht="15.75">
      <c r="A101" s="26"/>
      <c r="C101" s="12"/>
      <c r="D101" s="12"/>
      <c r="G101" s="12"/>
      <c r="H101" s="12"/>
    </row>
    <row r="102" spans="1:9" ht="15.75" customHeight="1">
      <c r="B102" s="50" t="s">
        <v>13</v>
      </c>
      <c r="C102" s="172"/>
      <c r="D102" s="172"/>
      <c r="E102" s="172"/>
      <c r="F102" s="59"/>
      <c r="I102" s="52"/>
    </row>
    <row r="103" spans="1:9" ht="15.75" customHeight="1">
      <c r="A103" s="53"/>
      <c r="C103" s="173" t="s">
        <v>11</v>
      </c>
      <c r="D103" s="173"/>
      <c r="E103" s="173"/>
      <c r="F103" s="53"/>
      <c r="I103" s="51" t="s">
        <v>12</v>
      </c>
    </row>
    <row r="104" spans="1:9" ht="15.75" customHeight="1">
      <c r="A104" s="4" t="s">
        <v>14</v>
      </c>
    </row>
    <row r="105" spans="1:9">
      <c r="A105" s="174" t="s">
        <v>15</v>
      </c>
      <c r="B105" s="174"/>
      <c r="C105" s="174"/>
      <c r="D105" s="174"/>
      <c r="E105" s="174"/>
      <c r="F105" s="174"/>
      <c r="G105" s="174"/>
      <c r="H105" s="174"/>
      <c r="I105" s="174"/>
    </row>
    <row r="106" spans="1:9" ht="45" customHeight="1">
      <c r="A106" s="165" t="s">
        <v>16</v>
      </c>
      <c r="B106" s="165"/>
      <c r="C106" s="165"/>
      <c r="D106" s="165"/>
      <c r="E106" s="165"/>
      <c r="F106" s="165"/>
      <c r="G106" s="165"/>
      <c r="H106" s="165"/>
      <c r="I106" s="165"/>
    </row>
    <row r="107" spans="1:9" ht="30" customHeight="1">
      <c r="A107" s="165" t="s">
        <v>17</v>
      </c>
      <c r="B107" s="165"/>
      <c r="C107" s="165"/>
      <c r="D107" s="165"/>
      <c r="E107" s="165"/>
      <c r="F107" s="165"/>
      <c r="G107" s="165"/>
      <c r="H107" s="165"/>
      <c r="I107" s="165"/>
    </row>
    <row r="108" spans="1:9" ht="30" customHeight="1">
      <c r="A108" s="165" t="s">
        <v>21</v>
      </c>
      <c r="B108" s="165"/>
      <c r="C108" s="165"/>
      <c r="D108" s="165"/>
      <c r="E108" s="165"/>
      <c r="F108" s="165"/>
      <c r="G108" s="165"/>
      <c r="H108" s="165"/>
      <c r="I108" s="165"/>
    </row>
    <row r="109" spans="1:9" ht="15" customHeight="1">
      <c r="A109" s="165" t="s">
        <v>20</v>
      </c>
      <c r="B109" s="165"/>
      <c r="C109" s="165"/>
      <c r="D109" s="165"/>
      <c r="E109" s="165"/>
      <c r="F109" s="165"/>
      <c r="G109" s="165"/>
      <c r="H109" s="165"/>
      <c r="I109" s="165"/>
    </row>
  </sheetData>
  <autoFilter ref="I12:I54"/>
  <mergeCells count="29">
    <mergeCell ref="R59:U59"/>
    <mergeCell ref="A3:I3"/>
    <mergeCell ref="A4:I4"/>
    <mergeCell ref="A5:I5"/>
    <mergeCell ref="A8:I8"/>
    <mergeCell ref="A10:I10"/>
    <mergeCell ref="A14:I14"/>
    <mergeCell ref="A94:I94"/>
    <mergeCell ref="A95:I95"/>
    <mergeCell ref="A15:I15"/>
    <mergeCell ref="A28:I28"/>
    <mergeCell ref="A42:I42"/>
    <mergeCell ref="A84:I84"/>
    <mergeCell ref="A106:I106"/>
    <mergeCell ref="A107:I107"/>
    <mergeCell ref="A108:I108"/>
    <mergeCell ref="A109:I109"/>
    <mergeCell ref="A53:I53"/>
    <mergeCell ref="A80:I80"/>
    <mergeCell ref="A97:I97"/>
    <mergeCell ref="C99:E99"/>
    <mergeCell ref="C100:E100"/>
    <mergeCell ref="C102:E102"/>
    <mergeCell ref="C103:E103"/>
    <mergeCell ref="A105:I105"/>
    <mergeCell ref="A89:I89"/>
    <mergeCell ref="B90:G90"/>
    <mergeCell ref="B91:G91"/>
    <mergeCell ref="A93:I9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2021-02-02T05:37:56Z</cp:lastPrinted>
  <dcterms:created xsi:type="dcterms:W3CDTF">2016-03-25T08:33:47Z</dcterms:created>
  <dcterms:modified xsi:type="dcterms:W3CDTF">2021-02-02T05:38:48Z</dcterms:modified>
</cp:coreProperties>
</file>