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1.17" sheetId="27" r:id="rId11"/>
    <sheet name="12.17" sheetId="28" r:id="rId12"/>
  </sheets>
  <definedNames>
    <definedName name="_xlnm._FilterDatabase" localSheetId="0" hidden="1">'01.17'!$I$12:$I$62</definedName>
    <definedName name="_xlnm._FilterDatabase" localSheetId="1" hidden="1">'02.17'!$I$12:$I$62</definedName>
    <definedName name="_xlnm._FilterDatabase" localSheetId="2" hidden="1">'03.17'!$I$12:$I$62</definedName>
    <definedName name="_xlnm._FilterDatabase" localSheetId="3" hidden="1">'04.17'!$I$12:$I$62</definedName>
    <definedName name="_xlnm._FilterDatabase" localSheetId="4" hidden="1">'05.17'!$I$12:$I$62</definedName>
    <definedName name="_xlnm._FilterDatabase" localSheetId="5" hidden="1">'06.17'!$I$12:$I$62</definedName>
    <definedName name="_xlnm._FilterDatabase" localSheetId="6" hidden="1">'07.17'!$I$12:$I$62</definedName>
    <definedName name="_xlnm._FilterDatabase" localSheetId="7" hidden="1">'08.17'!$I$12:$I$62</definedName>
    <definedName name="_xlnm._FilterDatabase" localSheetId="8" hidden="1">'09.17'!$I$12:$I$62</definedName>
    <definedName name="_xlnm._FilterDatabase" localSheetId="9" hidden="1">'10.17'!$I$12:$I$62</definedName>
    <definedName name="_xlnm._FilterDatabase" localSheetId="10" hidden="1">'11.17'!$I$12:$I$62</definedName>
    <definedName name="_xlnm._FilterDatabase" localSheetId="11" hidden="1">'12.17'!$I$12:$I$62</definedName>
    <definedName name="_xlnm.Print_Area" localSheetId="0">'01.17'!$A$1:$I$114</definedName>
    <definedName name="_xlnm.Print_Area" localSheetId="1">'02.17'!$A$1:$I$131</definedName>
    <definedName name="_xlnm.Print_Area" localSheetId="2">'03.17'!$A$1:$I$117</definedName>
    <definedName name="_xlnm.Print_Area" localSheetId="3">'04.17'!$A$1:$I$107</definedName>
    <definedName name="_xlnm.Print_Area" localSheetId="4">'05.17'!$A$1:$I$114</definedName>
    <definedName name="_xlnm.Print_Area" localSheetId="5">'06.17'!$A$1:$I$118</definedName>
    <definedName name="_xlnm.Print_Area" localSheetId="6">'07.17'!$A$1:$I$115</definedName>
    <definedName name="_xlnm.Print_Area" localSheetId="7">'08.17'!$A$1:$I$115</definedName>
    <definedName name="_xlnm.Print_Area" localSheetId="8">'09.17'!$A$1:$I$118</definedName>
    <definedName name="_xlnm.Print_Area" localSheetId="9">'10.17'!$A$1:$I$115</definedName>
    <definedName name="_xlnm.Print_Area" localSheetId="10">'11.17'!$A$1:$I$112</definedName>
    <definedName name="_xlnm.Print_Area" localSheetId="11">'12.17'!$A$1:$I$116</definedName>
  </definedNames>
  <calcPr calcId="124519"/>
</workbook>
</file>

<file path=xl/calcChain.xml><?xml version="1.0" encoding="utf-8"?>
<calcChain xmlns="http://schemas.openxmlformats.org/spreadsheetml/2006/main">
  <c r="I86" i="28"/>
  <c r="I86" i="27"/>
  <c r="F45" i="20"/>
  <c r="H45" s="1"/>
  <c r="I45" i="19"/>
  <c r="F45"/>
  <c r="H45" s="1"/>
  <c r="I86" i="18"/>
  <c r="I86" i="17"/>
  <c r="I45" i="20" l="1"/>
  <c r="I92" i="28" l="1"/>
  <c r="H92"/>
  <c r="I91"/>
  <c r="H91"/>
  <c r="I90"/>
  <c r="H90"/>
  <c r="I89"/>
  <c r="H89"/>
  <c r="I88"/>
  <c r="H88"/>
  <c r="E85"/>
  <c r="F85" s="1"/>
  <c r="F84"/>
  <c r="H84" s="1"/>
  <c r="H82"/>
  <c r="H80"/>
  <c r="H78"/>
  <c r="F77"/>
  <c r="H77" s="1"/>
  <c r="I74"/>
  <c r="F72"/>
  <c r="H72" s="1"/>
  <c r="F71"/>
  <c r="I71" s="1"/>
  <c r="F70"/>
  <c r="H70" s="1"/>
  <c r="F69"/>
  <c r="I69" s="1"/>
  <c r="F68"/>
  <c r="H68" s="1"/>
  <c r="F67"/>
  <c r="I67" s="1"/>
  <c r="I66"/>
  <c r="H66"/>
  <c r="I65"/>
  <c r="H65"/>
  <c r="H63"/>
  <c r="F63"/>
  <c r="I63" s="1"/>
  <c r="H62"/>
  <c r="F62"/>
  <c r="F60"/>
  <c r="I60" s="1"/>
  <c r="I57"/>
  <c r="F57"/>
  <c r="H57" s="1"/>
  <c r="I56"/>
  <c r="H56"/>
  <c r="F55"/>
  <c r="I55" s="1"/>
  <c r="F54"/>
  <c r="I54" s="1"/>
  <c r="F53"/>
  <c r="I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I44" s="1"/>
  <c r="H43"/>
  <c r="F43"/>
  <c r="I43" s="1"/>
  <c r="H42"/>
  <c r="H41"/>
  <c r="F41"/>
  <c r="I41" s="1"/>
  <c r="F40"/>
  <c r="I40" s="1"/>
  <c r="I39"/>
  <c r="H39"/>
  <c r="H37"/>
  <c r="H36"/>
  <c r="H35"/>
  <c r="F35"/>
  <c r="I35" s="1"/>
  <c r="I34"/>
  <c r="H33"/>
  <c r="F33"/>
  <c r="I33" s="1"/>
  <c r="F32"/>
  <c r="I32" s="1"/>
  <c r="H31"/>
  <c r="F31"/>
  <c r="I31" s="1"/>
  <c r="F28"/>
  <c r="I28" s="1"/>
  <c r="H27"/>
  <c r="F27"/>
  <c r="I27" s="1"/>
  <c r="H26"/>
  <c r="F26"/>
  <c r="H25"/>
  <c r="H24"/>
  <c r="H23"/>
  <c r="F23"/>
  <c r="H22"/>
  <c r="F22"/>
  <c r="H21"/>
  <c r="F21"/>
  <c r="H20"/>
  <c r="F20"/>
  <c r="H19"/>
  <c r="F19"/>
  <c r="F18"/>
  <c r="I18" s="1"/>
  <c r="E18"/>
  <c r="F17"/>
  <c r="I17" s="1"/>
  <c r="H16"/>
  <c r="F16"/>
  <c r="I16" s="1"/>
  <c r="I88" i="27"/>
  <c r="F88"/>
  <c r="H88" s="1"/>
  <c r="I89"/>
  <c r="E85"/>
  <c r="F85" s="1"/>
  <c r="F84"/>
  <c r="I84" s="1"/>
  <c r="H82"/>
  <c r="H80"/>
  <c r="H78"/>
  <c r="F77"/>
  <c r="H77" s="1"/>
  <c r="I74"/>
  <c r="F72"/>
  <c r="I72" s="1"/>
  <c r="F71"/>
  <c r="H71" s="1"/>
  <c r="F70"/>
  <c r="I70" s="1"/>
  <c r="F69"/>
  <c r="H69" s="1"/>
  <c r="F68"/>
  <c r="I68" s="1"/>
  <c r="F67"/>
  <c r="H67" s="1"/>
  <c r="I66"/>
  <c r="H66"/>
  <c r="I65"/>
  <c r="H65"/>
  <c r="F63"/>
  <c r="I63" s="1"/>
  <c r="H62"/>
  <c r="F62"/>
  <c r="F60"/>
  <c r="H60" s="1"/>
  <c r="I57"/>
  <c r="F57"/>
  <c r="H57" s="1"/>
  <c r="I56"/>
  <c r="H56"/>
  <c r="F55"/>
  <c r="H55" s="1"/>
  <c r="F54"/>
  <c r="I54" s="1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H27"/>
  <c r="F27"/>
  <c r="I27" s="1"/>
  <c r="H26"/>
  <c r="F26"/>
  <c r="H25"/>
  <c r="H24"/>
  <c r="H23"/>
  <c r="F23"/>
  <c r="H22"/>
  <c r="F22"/>
  <c r="H21"/>
  <c r="F21"/>
  <c r="H20"/>
  <c r="F20"/>
  <c r="H19"/>
  <c r="F19"/>
  <c r="F18"/>
  <c r="H18" s="1"/>
  <c r="E18"/>
  <c r="F17"/>
  <c r="H17" s="1"/>
  <c r="F16"/>
  <c r="I16" s="1"/>
  <c r="I91" i="26"/>
  <c r="H91"/>
  <c r="I90"/>
  <c r="H90"/>
  <c r="H89"/>
  <c r="I88"/>
  <c r="H88"/>
  <c r="I74"/>
  <c r="H45" i="28" l="1"/>
  <c r="H54"/>
  <c r="H85"/>
  <c r="I85"/>
  <c r="H17"/>
  <c r="H18"/>
  <c r="H28"/>
  <c r="H32"/>
  <c r="H40"/>
  <c r="H44"/>
  <c r="H53"/>
  <c r="H55"/>
  <c r="H60"/>
  <c r="H81" s="1"/>
  <c r="H67"/>
  <c r="I68"/>
  <c r="H69"/>
  <c r="I70"/>
  <c r="H71"/>
  <c r="I72"/>
  <c r="I84"/>
  <c r="I93"/>
  <c r="H16" i="27"/>
  <c r="H33"/>
  <c r="H41"/>
  <c r="H63"/>
  <c r="H81" s="1"/>
  <c r="H54"/>
  <c r="H31"/>
  <c r="H45"/>
  <c r="H43"/>
  <c r="I85"/>
  <c r="H85"/>
  <c r="I17"/>
  <c r="I18"/>
  <c r="I28"/>
  <c r="I32"/>
  <c r="I67"/>
  <c r="H68"/>
  <c r="I69"/>
  <c r="H70"/>
  <c r="I71"/>
  <c r="H72"/>
  <c r="H84"/>
  <c r="I40"/>
  <c r="I44"/>
  <c r="I53"/>
  <c r="I55"/>
  <c r="I60"/>
  <c r="I95" i="28" l="1"/>
  <c r="I91" i="27"/>
  <c r="I95" i="25" l="1"/>
  <c r="I94"/>
  <c r="H94"/>
  <c r="I93"/>
  <c r="H93"/>
  <c r="I92"/>
  <c r="I91"/>
  <c r="H92"/>
  <c r="H91"/>
  <c r="I90"/>
  <c r="H90"/>
  <c r="I89"/>
  <c r="H89"/>
  <c r="H88"/>
  <c r="I86"/>
  <c r="I65"/>
  <c r="I92" i="24"/>
  <c r="I91"/>
  <c r="H91"/>
  <c r="I89"/>
  <c r="I90"/>
  <c r="H90"/>
  <c r="H89"/>
  <c r="I88"/>
  <c r="H88"/>
  <c r="I86"/>
  <c r="I90" i="23"/>
  <c r="I92" s="1"/>
  <c r="I91"/>
  <c r="I89"/>
  <c r="H91"/>
  <c r="H90"/>
  <c r="H89"/>
  <c r="I88"/>
  <c r="H88"/>
  <c r="F88"/>
  <c r="I94" i="22"/>
  <c r="I93"/>
  <c r="I92"/>
  <c r="I91"/>
  <c r="H94"/>
  <c r="F94"/>
  <c r="H93"/>
  <c r="H92"/>
  <c r="H91"/>
  <c r="I90"/>
  <c r="H90"/>
  <c r="I88" l="1"/>
  <c r="H89"/>
  <c r="F88"/>
  <c r="H88" s="1"/>
  <c r="I65"/>
  <c r="I86" i="21"/>
  <c r="I91"/>
  <c r="I90"/>
  <c r="I89"/>
  <c r="H90"/>
  <c r="H89"/>
  <c r="I88"/>
  <c r="F88"/>
  <c r="H88" s="1"/>
  <c r="I65"/>
  <c r="I84" i="20" l="1"/>
  <c r="I83"/>
  <c r="I82"/>
  <c r="I81"/>
  <c r="H83"/>
  <c r="F82"/>
  <c r="H82" s="1"/>
  <c r="H81"/>
  <c r="I80"/>
  <c r="H80"/>
  <c r="I78"/>
  <c r="I93" i="19" l="1"/>
  <c r="I92"/>
  <c r="I90"/>
  <c r="I89"/>
  <c r="H93"/>
  <c r="F92"/>
  <c r="H92" s="1"/>
  <c r="H91"/>
  <c r="H90"/>
  <c r="H89"/>
  <c r="I88"/>
  <c r="F88"/>
  <c r="H88" s="1"/>
  <c r="I82"/>
  <c r="I89" i="18"/>
  <c r="H89"/>
  <c r="I88"/>
  <c r="H88"/>
  <c r="I65"/>
  <c r="I91" i="17"/>
  <c r="I90"/>
  <c r="H90"/>
  <c r="I89"/>
  <c r="F89"/>
  <c r="H89" s="1"/>
  <c r="I88"/>
  <c r="H88"/>
  <c r="I74"/>
  <c r="I65"/>
  <c r="I89" i="26" l="1"/>
  <c r="I92"/>
  <c r="I65"/>
  <c r="I56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F55"/>
  <c r="H55" s="1"/>
  <c r="F54"/>
  <c r="I54" s="1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H16"/>
  <c r="F16"/>
  <c r="I16" s="1"/>
  <c r="I88" i="25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H55"/>
  <c r="F55"/>
  <c r="H54"/>
  <c r="F54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H41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74" i="24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I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I44" s="1"/>
  <c r="F43"/>
  <c r="I43" s="1"/>
  <c r="H42"/>
  <c r="F41"/>
  <c r="I41" s="1"/>
  <c r="F40"/>
  <c r="I40" s="1"/>
  <c r="I39"/>
  <c r="H39"/>
  <c r="H37"/>
  <c r="H36"/>
  <c r="H35"/>
  <c r="F35"/>
  <c r="I35" s="1"/>
  <c r="I34"/>
  <c r="F33"/>
  <c r="I33" s="1"/>
  <c r="F32"/>
  <c r="I32" s="1"/>
  <c r="F31"/>
  <c r="I31" s="1"/>
  <c r="H28"/>
  <c r="F28"/>
  <c r="I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I16" s="1"/>
  <c r="F85" i="23"/>
  <c r="H85" s="1"/>
  <c r="E85"/>
  <c r="F84"/>
  <c r="H84" s="1"/>
  <c r="H82"/>
  <c r="H80"/>
  <c r="H78"/>
  <c r="F77"/>
  <c r="H77" s="1"/>
  <c r="F72"/>
  <c r="I72" s="1"/>
  <c r="F71"/>
  <c r="H71" s="1"/>
  <c r="H70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H55"/>
  <c r="F55"/>
  <c r="H54"/>
  <c r="F54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H41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H27"/>
  <c r="F27"/>
  <c r="I27" s="1"/>
  <c r="H26"/>
  <c r="F26"/>
  <c r="H25"/>
  <c r="H24"/>
  <c r="H23"/>
  <c r="F23"/>
  <c r="H22"/>
  <c r="F22"/>
  <c r="H21"/>
  <c r="F21"/>
  <c r="H20"/>
  <c r="F20"/>
  <c r="H19"/>
  <c r="F19"/>
  <c r="F18"/>
  <c r="H18" s="1"/>
  <c r="E18"/>
  <c r="F17"/>
  <c r="H17" s="1"/>
  <c r="F16"/>
  <c r="I16" s="1"/>
  <c r="I89" i="22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H16"/>
  <c r="F16"/>
  <c r="I16" s="1"/>
  <c r="I78" i="21"/>
  <c r="I56"/>
  <c r="I24"/>
  <c r="I25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F18"/>
  <c r="H18" s="1"/>
  <c r="E18"/>
  <c r="F17"/>
  <c r="H17" s="1"/>
  <c r="F16"/>
  <c r="I16" s="1"/>
  <c r="I74" i="20"/>
  <c r="I66"/>
  <c r="I65"/>
  <c r="E77"/>
  <c r="F77" s="1"/>
  <c r="F76"/>
  <c r="H76" s="1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F62"/>
  <c r="H62" s="1"/>
  <c r="H60"/>
  <c r="F60"/>
  <c r="I60" s="1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I46"/>
  <c r="H46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91" i="19"/>
  <c r="I94"/>
  <c r="I65"/>
  <c r="H16" i="23" l="1"/>
  <c r="H68"/>
  <c r="H72"/>
  <c r="H27" i="26"/>
  <c r="H41"/>
  <c r="H54"/>
  <c r="H70"/>
  <c r="I55"/>
  <c r="H68"/>
  <c r="H72"/>
  <c r="H60"/>
  <c r="H81" s="1"/>
  <c r="H45"/>
  <c r="H43"/>
  <c r="H33"/>
  <c r="H31"/>
  <c r="H85"/>
  <c r="I85"/>
  <c r="I17"/>
  <c r="I18"/>
  <c r="I28"/>
  <c r="I32"/>
  <c r="I40"/>
  <c r="I44"/>
  <c r="I53"/>
  <c r="I63"/>
  <c r="I67"/>
  <c r="I69"/>
  <c r="I71"/>
  <c r="I84"/>
  <c r="H16" i="25"/>
  <c r="H27"/>
  <c r="I51"/>
  <c r="I49"/>
  <c r="I52"/>
  <c r="I50"/>
  <c r="I48"/>
  <c r="H60"/>
  <c r="H81" s="1"/>
  <c r="H45"/>
  <c r="H43"/>
  <c r="H33"/>
  <c r="H31"/>
  <c r="H85"/>
  <c r="I85"/>
  <c r="I17"/>
  <c r="I18"/>
  <c r="I28"/>
  <c r="I32"/>
  <c r="I40"/>
  <c r="I44"/>
  <c r="I53"/>
  <c r="I63"/>
  <c r="I67"/>
  <c r="H68"/>
  <c r="I69"/>
  <c r="H70"/>
  <c r="I71"/>
  <c r="H72"/>
  <c r="I84"/>
  <c r="H72" i="24"/>
  <c r="H32"/>
  <c r="H68"/>
  <c r="H70"/>
  <c r="H60"/>
  <c r="H81" s="1"/>
  <c r="H53"/>
  <c r="H40"/>
  <c r="H44"/>
  <c r="H18"/>
  <c r="I18"/>
  <c r="H85"/>
  <c r="I85"/>
  <c r="H16"/>
  <c r="H27"/>
  <c r="H31"/>
  <c r="H33"/>
  <c r="H41"/>
  <c r="H43"/>
  <c r="H45"/>
  <c r="I63"/>
  <c r="I67"/>
  <c r="I69"/>
  <c r="I71"/>
  <c r="I84"/>
  <c r="H60" i="23"/>
  <c r="H81" s="1"/>
  <c r="H45"/>
  <c r="H43"/>
  <c r="H33"/>
  <c r="H31"/>
  <c r="I32"/>
  <c r="I40"/>
  <c r="I63"/>
  <c r="I17"/>
  <c r="I86" s="1"/>
  <c r="I18"/>
  <c r="I28"/>
  <c r="I44"/>
  <c r="I53"/>
  <c r="I67"/>
  <c r="I69"/>
  <c r="I71"/>
  <c r="I84"/>
  <c r="I85"/>
  <c r="I95" i="22"/>
  <c r="H27"/>
  <c r="H41"/>
  <c r="H60"/>
  <c r="H81" s="1"/>
  <c r="H43"/>
  <c r="H45"/>
  <c r="H31"/>
  <c r="H33"/>
  <c r="H85"/>
  <c r="I85"/>
  <c r="I17"/>
  <c r="I86" s="1"/>
  <c r="I18"/>
  <c r="I28"/>
  <c r="I32"/>
  <c r="I40"/>
  <c r="I44"/>
  <c r="I53"/>
  <c r="I63"/>
  <c r="I67"/>
  <c r="H68"/>
  <c r="I69"/>
  <c r="H70"/>
  <c r="I71"/>
  <c r="H72"/>
  <c r="I84"/>
  <c r="I20" i="21"/>
  <c r="I23"/>
  <c r="I21"/>
  <c r="I51"/>
  <c r="I49"/>
  <c r="I54"/>
  <c r="I55"/>
  <c r="H16"/>
  <c r="H41"/>
  <c r="I19"/>
  <c r="I26"/>
  <c r="I22"/>
  <c r="I52"/>
  <c r="I50"/>
  <c r="I48"/>
  <c r="H68"/>
  <c r="H72"/>
  <c r="H70"/>
  <c r="H60"/>
  <c r="H43"/>
  <c r="H45"/>
  <c r="H31"/>
  <c r="H33"/>
  <c r="H27"/>
  <c r="H85"/>
  <c r="I85"/>
  <c r="H81"/>
  <c r="I28"/>
  <c r="I32"/>
  <c r="I40"/>
  <c r="I44"/>
  <c r="I53"/>
  <c r="I63"/>
  <c r="I67"/>
  <c r="I69"/>
  <c r="I71"/>
  <c r="I84"/>
  <c r="I17"/>
  <c r="I18"/>
  <c r="H16" i="20"/>
  <c r="H31"/>
  <c r="H43"/>
  <c r="H27"/>
  <c r="H33"/>
  <c r="H41"/>
  <c r="H77"/>
  <c r="I77"/>
  <c r="I17"/>
  <c r="I18"/>
  <c r="I28"/>
  <c r="I32"/>
  <c r="I40"/>
  <c r="I44"/>
  <c r="I53"/>
  <c r="I63"/>
  <c r="I67"/>
  <c r="H68"/>
  <c r="I69"/>
  <c r="H70"/>
  <c r="I71"/>
  <c r="H72"/>
  <c r="I76"/>
  <c r="E85" i="19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H60"/>
  <c r="F60"/>
  <c r="I60" s="1"/>
  <c r="I57"/>
  <c r="F57"/>
  <c r="H57" s="1"/>
  <c r="H56"/>
  <c r="F55"/>
  <c r="H55" s="1"/>
  <c r="H54"/>
  <c r="F54"/>
  <c r="F53"/>
  <c r="H53" s="1"/>
  <c r="F52"/>
  <c r="H52" s="1"/>
  <c r="F51"/>
  <c r="H51" s="1"/>
  <c r="F50"/>
  <c r="H50" s="1"/>
  <c r="F49"/>
  <c r="H49" s="1"/>
  <c r="F48"/>
  <c r="H48" s="1"/>
  <c r="I46"/>
  <c r="H46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H27"/>
  <c r="F27"/>
  <c r="I27" s="1"/>
  <c r="H26"/>
  <c r="F26"/>
  <c r="H25"/>
  <c r="H24"/>
  <c r="H23"/>
  <c r="F23"/>
  <c r="H22"/>
  <c r="F22"/>
  <c r="H21"/>
  <c r="F21"/>
  <c r="H20"/>
  <c r="F20"/>
  <c r="H19"/>
  <c r="F19"/>
  <c r="F18"/>
  <c r="H18" s="1"/>
  <c r="E18"/>
  <c r="F17"/>
  <c r="H17" s="1"/>
  <c r="F16"/>
  <c r="I16" s="1"/>
  <c r="F107" i="18"/>
  <c r="H107" s="1"/>
  <c r="H106"/>
  <c r="H105"/>
  <c r="H104"/>
  <c r="F103"/>
  <c r="H103" s="1"/>
  <c r="H102"/>
  <c r="H101"/>
  <c r="F100"/>
  <c r="H100" s="1"/>
  <c r="F99"/>
  <c r="H99" s="1"/>
  <c r="H98"/>
  <c r="F97"/>
  <c r="H97" s="1"/>
  <c r="H96"/>
  <c r="H95"/>
  <c r="H94"/>
  <c r="H93"/>
  <c r="H92"/>
  <c r="H91"/>
  <c r="H90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H60"/>
  <c r="F60"/>
  <c r="I60" s="1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86" i="26" l="1"/>
  <c r="H81" i="19"/>
  <c r="H16" i="18"/>
  <c r="H31"/>
  <c r="H43"/>
  <c r="H27"/>
  <c r="H33"/>
  <c r="H41"/>
  <c r="H45"/>
  <c r="I108"/>
  <c r="I94" i="26"/>
  <c r="I97" i="25"/>
  <c r="I94" i="24"/>
  <c r="I94" i="23"/>
  <c r="I97" i="22"/>
  <c r="I93" i="21"/>
  <c r="I86" i="20"/>
  <c r="H33" i="19"/>
  <c r="H41"/>
  <c r="H16"/>
  <c r="H31"/>
  <c r="H43"/>
  <c r="H85"/>
  <c r="I85"/>
  <c r="I17"/>
  <c r="I86" s="1"/>
  <c r="I18"/>
  <c r="I28"/>
  <c r="I32"/>
  <c r="I40"/>
  <c r="I44"/>
  <c r="I53"/>
  <c r="I63"/>
  <c r="I67"/>
  <c r="H68"/>
  <c r="I69"/>
  <c r="H70"/>
  <c r="I71"/>
  <c r="H72"/>
  <c r="I84"/>
  <c r="H81" i="18"/>
  <c r="H85"/>
  <c r="I85"/>
  <c r="I17"/>
  <c r="I18"/>
  <c r="I28"/>
  <c r="I40"/>
  <c r="I44"/>
  <c r="I53"/>
  <c r="I63"/>
  <c r="I67"/>
  <c r="H68"/>
  <c r="I69"/>
  <c r="H70"/>
  <c r="I71"/>
  <c r="H72"/>
  <c r="I84"/>
  <c r="I32"/>
  <c r="I34" i="17"/>
  <c r="I110" i="18" l="1"/>
  <c r="I96" i="19"/>
  <c r="E85" i="17" l="1"/>
  <c r="F85" s="1"/>
  <c r="F84"/>
  <c r="I84" s="1"/>
  <c r="H82"/>
  <c r="H80"/>
  <c r="H78"/>
  <c r="F77"/>
  <c r="H77" s="1"/>
  <c r="F72"/>
  <c r="F71"/>
  <c r="F70"/>
  <c r="F69"/>
  <c r="F68"/>
  <c r="F67"/>
  <c r="I66"/>
  <c r="H66"/>
  <c r="H65"/>
  <c r="F63"/>
  <c r="I63" s="1"/>
  <c r="F62"/>
  <c r="H62" s="1"/>
  <c r="F60"/>
  <c r="I60" s="1"/>
  <c r="I57"/>
  <c r="F57"/>
  <c r="H57" s="1"/>
  <c r="H56"/>
  <c r="F55"/>
  <c r="H55" s="1"/>
  <c r="F54"/>
  <c r="H54" s="1"/>
  <c r="F53"/>
  <c r="I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F28"/>
  <c r="H28" s="1"/>
  <c r="H37"/>
  <c r="H36"/>
  <c r="F27"/>
  <c r="I27" s="1"/>
  <c r="H35"/>
  <c r="F35"/>
  <c r="I35" s="1"/>
  <c r="F33"/>
  <c r="F32"/>
  <c r="F31"/>
  <c r="F26"/>
  <c r="H26" s="1"/>
  <c r="H25"/>
  <c r="H24"/>
  <c r="F23"/>
  <c r="H23" s="1"/>
  <c r="F22"/>
  <c r="H22" s="1"/>
  <c r="F21"/>
  <c r="F20"/>
  <c r="H20" s="1"/>
  <c r="F19"/>
  <c r="H19" s="1"/>
  <c r="E18"/>
  <c r="F18" s="1"/>
  <c r="F17"/>
  <c r="H17" s="1"/>
  <c r="F16"/>
  <c r="I16" s="1"/>
  <c r="H67" l="1"/>
  <c r="I67"/>
  <c r="H69"/>
  <c r="I69"/>
  <c r="H71"/>
  <c r="I71"/>
  <c r="H68"/>
  <c r="I68"/>
  <c r="H70"/>
  <c r="I70"/>
  <c r="H72"/>
  <c r="I72"/>
  <c r="H31"/>
  <c r="I31"/>
  <c r="H33"/>
  <c r="I33"/>
  <c r="H32"/>
  <c r="I32"/>
  <c r="H45"/>
  <c r="H63"/>
  <c r="H84"/>
  <c r="H18"/>
  <c r="I18"/>
  <c r="I85"/>
  <c r="H85"/>
  <c r="H16"/>
  <c r="I17"/>
  <c r="I93" s="1"/>
  <c r="H21"/>
  <c r="H27"/>
  <c r="I28"/>
  <c r="I40"/>
  <c r="H41"/>
  <c r="H43"/>
  <c r="I44"/>
  <c r="H53"/>
  <c r="H60"/>
  <c r="H81" s="1"/>
</calcChain>
</file>

<file path=xl/sharedStrings.xml><?xml version="1.0" encoding="utf-8"?>
<sst xmlns="http://schemas.openxmlformats.org/spreadsheetml/2006/main" count="2749" uniqueCount="256">
  <si>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</si>
  <si>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</si>
  <si>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</si>
  <si>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</si>
  <si>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</si>
  <si>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</si>
  <si>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</si>
  <si>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</si>
  <si>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</si>
  <si>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</si>
  <si>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</si>
  <si>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</si>
  <si>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</si>
  <si>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</si>
  <si>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</si>
  <si>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</si>
  <si>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</si>
  <si>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</si>
  <si>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</si>
  <si>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</si>
  <si>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</si>
  <si>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</si>
  <si>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</si>
  <si>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</si>
  <si>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</si>
  <si>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</si>
  <si>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</si>
  <si>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</si>
  <si>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</si>
  <si>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</si>
  <si>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</si>
  <si>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</si>
  <si>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</si>
  <si>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</si>
  <si>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</si>
  <si>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</si>
  <si>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</si>
  <si>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</si>
  <si>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</si>
  <si>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</si>
  <si>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</si>
  <si>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</si>
  <si>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</si>
  <si>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</si>
  <si>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</si>
  <si>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</si>
  <si>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</si>
  <si>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</si>
  <si>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</si>
  <si>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</si>
  <si>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</si>
  <si>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</si>
  <si>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</si>
  <si>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</si>
  <si>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</si>
  <si>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</si>
  <si>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</si>
  <si>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</si>
  <si>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</si>
  <si>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</si>
  <si>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</si>
  <si>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</si>
  <si>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</si>
  <si>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</si>
  <si>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</si>
  <si>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</si>
  <si>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</si>
  <si>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</si>
  <si>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</si>
  <si>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</si>
  <si>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</si>
  <si>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</si>
  <si>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</si>
  <si>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</si>
  <si>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</si>
  <si>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</si>
  <si>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</si>
  <si>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</si>
  <si>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</si>
  <si>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</si>
  <si>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</si>
  <si>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</si>
  <si>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</si>
  <si>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</si>
  <si>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</si>
  <si>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</si>
  <si>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</si>
  <si>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</si>
  <si>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</si>
  <si>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</si>
  <si>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 xml:space="preserve">ежедневно </t>
  </si>
  <si>
    <t>ООО «Жилсервис»</t>
  </si>
  <si>
    <t>Влажное подметание лестничных клеток 1 этажа</t>
  </si>
  <si>
    <t>Работа автовышки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</si>
  <si>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</si>
  <si>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</si>
  <si>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</si>
  <si>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Прочистка засоров ГВС, XВC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</si>
  <si>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</si>
  <si>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</si>
  <si>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</si>
  <si>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</si>
  <si>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</si>
  <si>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</si>
  <si>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 м2</t>
  </si>
  <si>
    <t>Влажная протирка перил</t>
  </si>
  <si>
    <t>Влажная протирка почтовых ящиков</t>
  </si>
  <si>
    <t>водосток</t>
  </si>
  <si>
    <t>маш/час</t>
  </si>
  <si>
    <t>Влажная протирка подоконников</t>
  </si>
  <si>
    <t>Влажная протирка отопительных приборов</t>
  </si>
  <si>
    <t>1 соединение</t>
  </si>
  <si>
    <t>Внеплановая проверка вентканалов</t>
  </si>
  <si>
    <t>Сдвигание снега в дни снегопада (проезды)</t>
  </si>
  <si>
    <t>Дезинфекция подвала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</si>
  <si>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</si>
  <si>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</si>
  <si>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</si>
  <si>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</si>
  <si>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</si>
  <si>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</si>
  <si>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</si>
  <si>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</si>
  <si>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</si>
  <si>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</si>
  <si>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</si>
  <si>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</si>
  <si>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</si>
  <si>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</si>
  <si>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</si>
  <si>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</si>
  <si>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1м3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</si>
  <si>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</si>
  <si>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</si>
  <si>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</si>
  <si>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</si>
  <si>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</si>
  <si>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</si>
  <si>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</si>
  <si>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</si>
  <si>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</si>
  <si>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</si>
  <si>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</si>
  <si>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</si>
  <si>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</si>
  <si>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</si>
  <si>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</si>
  <si>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№11 по ул.Нефтяников пгт.Ярега
</t>
  </si>
  <si>
    <t>12 раз за сезон</t>
  </si>
  <si>
    <t>Сдвигание снега в дни снегопада (крыльца, тротуары)</t>
  </si>
  <si>
    <t>24 раза за сезон</t>
  </si>
  <si>
    <t>Осмотр шиферной кровли</t>
  </si>
  <si>
    <t>Смена выключателей</t>
  </si>
  <si>
    <t>Смена патронов</t>
  </si>
  <si>
    <t>Ремонт и регулировка доводчика (со стоимостью доводчика)</t>
  </si>
  <si>
    <t>1шт.</t>
  </si>
  <si>
    <t>Внеплановый осмотр электросетей, армазуры и электрооборудования на лестничных клетках</t>
  </si>
  <si>
    <t>Смена трубопроводов на полипропиленовые трубы PN25 диаметром 20 мм</t>
  </si>
  <si>
    <t>Смена трубопроводов на полипропиленовые трубы PN25 диаметром 25 мм</t>
  </si>
  <si>
    <r>
      <t xml:space="preserve">    Собственники помещений в многоквартирном доме,  расположенном по адресу:  пгт.Ярега, ул.Нефтяников,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08.11.2013г.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</si>
  <si>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</si>
  <si>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</si>
  <si>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</si>
  <si>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</si>
  <si>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</si>
  <si>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 xml:space="preserve"> - Уборка контейнерной площадки (16 кв.м.)</t>
  </si>
  <si>
    <t>по мере необходимости</t>
  </si>
  <si>
    <t>2 раз в год</t>
  </si>
  <si>
    <t>Монтаж освещения в подсобке уборщицы</t>
  </si>
  <si>
    <t>тыс.руб.</t>
  </si>
  <si>
    <t xml:space="preserve">Уплотнение сгонов с применением льняной пряди или асбестового шнура (без разборки сгонов) </t>
  </si>
  <si>
    <t>Мелкий ремонт электропроводки</t>
  </si>
  <si>
    <t>Ремонт и регулировка доводчика (без стоимости доводчика)</t>
  </si>
  <si>
    <t>Установка скамейки (I, IV под.)</t>
  </si>
  <si>
    <t>Установка хомута диаметром до 50 мм</t>
  </si>
  <si>
    <t>Ремонт отдельных мест покрытия из асбоцементных листов обыкновенного профиля</t>
  </si>
  <si>
    <t>Ремонт разделки</t>
  </si>
  <si>
    <t>руб.</t>
  </si>
  <si>
    <t>Ремонт поверхности кирпичных стен при глубине заделки в 0,5 кирпича площадью в одном месте до 1 м2 (ремонт кирпичной кладки цоколя I-II под.)</t>
  </si>
  <si>
    <t>Ремонт штукатурки гладких фасадов по камню и бетону с земли цементно-известковым раствором площадью до 5 м2 толщиной слоя до 20 мм (штукатурка цоколя I-II под.)</t>
  </si>
  <si>
    <t xml:space="preserve">Смена сгонов у трубопроводов диаметром до 20 мм </t>
  </si>
  <si>
    <t>1 сгон</t>
  </si>
  <si>
    <t>Заделка стыков соединений стояков внутренних водостоков</t>
  </si>
  <si>
    <t>Устройство подстилающих слоев щебеночных</t>
  </si>
  <si>
    <t>1 мЗ</t>
  </si>
  <si>
    <t>Герметизация входной двери (III подъезд)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</si>
  <si>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</si>
  <si>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</si>
  <si>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</si>
  <si>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</si>
  <si>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</si>
  <si>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АКТ №4</t>
  </si>
  <si>
    <t>АКТ №5</t>
  </si>
  <si>
    <t>АКТ №6</t>
  </si>
  <si>
    <t>IV. Прочие услуги</t>
  </si>
  <si>
    <t>АКТ №7</t>
  </si>
  <si>
    <t>АКТ №8</t>
  </si>
  <si>
    <t>АКТ №9</t>
  </si>
  <si>
    <t>АКТ №10</t>
  </si>
  <si>
    <t>за период с 01.01.2017 г. по 31.01.2017 г.</t>
  </si>
  <si>
    <t>Прочистка засоров канализации</t>
  </si>
  <si>
    <t>за период с 01.02.2017 г. по 28.02.2017 г.</t>
  </si>
  <si>
    <t>за период с 01.03.2017 г. по 31.03.2017 г.</t>
  </si>
  <si>
    <t>Ремонт силового предохранительного шкафа (без стоимости материалов)</t>
  </si>
  <si>
    <t>Ремонт поверхности кирпичных стен при глубине заделки в 0,5 кирпича площадью в одном месте до 1 м2 (после работ ВДИС)</t>
  </si>
  <si>
    <t>Пристрожка полотна по кромкам</t>
  </si>
  <si>
    <t>1 полотно</t>
  </si>
  <si>
    <t>Итого затраты за месяц</t>
  </si>
  <si>
    <t>2. Всего за период с 01.03.2017 по 31.03.2017 выполнено работ (оказано услуг) на общую сумму: 67738,64 руб.</t>
  </si>
  <si>
    <t>(шестьдесят семь тысяч семьсот тридцать восемь рублей 64 копейки)</t>
  </si>
  <si>
    <t>за период с 01.04.2017 г. по 30.04.2017 г.</t>
  </si>
  <si>
    <t>Ремонт штукатурки внугренних стен по камню известковым раствором площадью до 1 м2 толщиной слоя до 20 мм</t>
  </si>
  <si>
    <t>2. Всего за период с 01.04.2017 по 30.04.2017 выполнено работ (оказано услуг) на общую сумму: 48174,45 руб.</t>
  </si>
  <si>
    <t>(сорок восемь тысяч сто семьдесят четыре рубля 45 копеек)</t>
  </si>
  <si>
    <t>за период с 01.05.2017 г. по 31.05.2017 г.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</si>
  <si>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д.11</t>
    </r>
  </si>
  <si>
    <t>2. Всего за период с 01.05.2017 по 31.05.2017 выполнено работ (оказано услуг) на общую сумму: 122340,01 руб.</t>
  </si>
  <si>
    <t>(сто двадцать две тысячи триста сорок рублей 01 копейка)</t>
  </si>
  <si>
    <t>за период с 01.06.2017 г. по 30.06.2017 г.</t>
  </si>
  <si>
    <t>Ремонт поверхности кирпичных стен при глубине заделки в 1 кирпич площадью в одном месте до 1 м2</t>
  </si>
  <si>
    <t>2. Всего за период с 01.06.2017 по 30.06.2017 выполнено работ (оказано услуг) на общую сумму: 58121,06 руб.</t>
  </si>
  <si>
    <t>(пятьдесят восемь тысяч сто двадцать один рубль 06 копеек)</t>
  </si>
  <si>
    <t>за период с 01.07.2017 г. по 31.07.2017 г.</t>
  </si>
  <si>
    <t>Смена пакетных выключателей</t>
  </si>
  <si>
    <t>Смена оконных приборов - ручки (окна ПВХ)</t>
  </si>
  <si>
    <t xml:space="preserve">Ремонт входных площадок (II и III под.) </t>
  </si>
  <si>
    <t>2. Всего за период с 01.07.2017 по 31.07.2017 выполнено работ (оказано услуг) на общую сумму: 48164,99 руб.</t>
  </si>
  <si>
    <t>(сорок восемь тысяч сто шестьдесят четыре рубля 99 копеек)</t>
  </si>
  <si>
    <t>за период с 01.08.2017 г. по 31.08.2017 г.</t>
  </si>
  <si>
    <t>2. Всего за период с 01.08.2017 по 31.08.2017 выполнено работ (оказано услуг) на общую сумму: 40492,90 руб.</t>
  </si>
  <si>
    <t>(сорок тысяч четыреста девяносто два рубля 90 копеек)</t>
  </si>
  <si>
    <t>за период с 01.09.2017 г. по 30.09.2017 г.</t>
  </si>
  <si>
    <t>Внеплановый осмотр вводных электрических щитков</t>
  </si>
  <si>
    <t>100шт</t>
  </si>
  <si>
    <t>2. Всего за период с 01.09.2017 по 30.09.2017 выполнено работ (оказано услуг) на общую сумму: 48365,29 руб.</t>
  </si>
  <si>
    <t>(сорок восемь тысяч триста шестьдесят пять рублей 29 копеек)</t>
  </si>
  <si>
    <t>за период с 01.10.2017 г. по 31.10.2017 г.</t>
  </si>
  <si>
    <t>Установка скамейки (II под.)</t>
  </si>
  <si>
    <t>2. Всего за период с 01.10.2017 по 31.10.2017 выполнено работ (оказано услуг) на общую сумму: 55697,91 руб.</t>
  </si>
  <si>
    <t>(пятьдесят пять тысяч шестьсот девяносто семь рублей 91 копейка)</t>
  </si>
  <si>
    <t>АКТ №11</t>
  </si>
  <si>
    <t>за период с 01.11.2017 г. по 30.11.2017 г.</t>
  </si>
  <si>
    <t>Устройство деревянного настила</t>
  </si>
  <si>
    <t>АКТ №12</t>
  </si>
  <si>
    <t>за период с 01.12.2017 г. по 31.12.2017 г.</t>
  </si>
  <si>
    <t>Ремонт потолочного перекрытия</t>
  </si>
  <si>
    <t>руб</t>
  </si>
  <si>
    <t>2. Всего за период с 01.01.2017 по 31.01.2017 выполнено работ (оказано услуг) на общую сумму: 56752,43 руб.</t>
  </si>
  <si>
    <t>(пятьдесят шесть тысяч семьсот пятьдесят два рубля 43 копейки)</t>
  </si>
  <si>
    <t>2. Всего за период с 01.02.2017 по 28.02.2017 выполнено работ (оказано услуг) на общую сумму: 46718,76 руб.</t>
  </si>
  <si>
    <t>(сорок шесть тысяч семьсот восемнадцать рублей 76 копеек)</t>
  </si>
  <si>
    <t>15 раз за сезон</t>
  </si>
  <si>
    <t>2. Всего за период с 01.11.2017 по 30.11.2017 выполнено работ (оказано услуг) на общую сумму: 45819,71 руб.</t>
  </si>
  <si>
    <t>(сорок пять тысяч восемьсот девятнадцать рублей 71 копейка)</t>
  </si>
  <si>
    <t>2. Всего за период с 01.12.2017 по 31.12.2017 выполнено работ (оказано услуг) на общую сумму: 71318,51 руб.</t>
  </si>
  <si>
    <t>(семьдесят одна тысяча триста восемнадцать рублей 51 копейка)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</si>
</sst>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163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199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42766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hidden="1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70" t="s">
        <v>165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3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customHeight="1">
      <c r="A46" s="29">
        <v>11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4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4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4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4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4"/>
        <v>0.124912836</v>
      </c>
      <c r="I52" s="13">
        <v>0</v>
      </c>
      <c r="J52" s="23"/>
      <c r="L52" s="19"/>
      <c r="M52" s="20"/>
      <c r="N52" s="21"/>
    </row>
    <row r="53" spans="1:22" ht="15" customHeight="1">
      <c r="A53" s="29">
        <v>12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4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/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4"/>
        <v>2.1455563999999998</v>
      </c>
      <c r="I54" s="13">
        <v>0</v>
      </c>
      <c r="J54" s="23"/>
      <c r="L54" s="19"/>
      <c r="M54" s="20"/>
      <c r="N54" s="21"/>
    </row>
    <row r="55" spans="1:22" ht="31.5" hidden="1" customHeight="1">
      <c r="A55" s="29"/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4"/>
        <v>1.0921959999999999</v>
      </c>
      <c r="I55" s="13">
        <v>0</v>
      </c>
      <c r="J55" s="23"/>
      <c r="L55" s="19"/>
      <c r="M55" s="20"/>
      <c r="N55" s="21"/>
    </row>
    <row r="56" spans="1:22" ht="15" hidden="1" customHeight="1">
      <c r="A56" s="29"/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4"/>
        <v>0.11304260000000001</v>
      </c>
      <c r="I56" s="13">
        <v>0</v>
      </c>
      <c r="J56" s="23"/>
      <c r="L56" s="19"/>
      <c r="M56" s="20"/>
      <c r="N56" s="21"/>
    </row>
    <row r="57" spans="1:22" ht="15" customHeight="1">
      <c r="A57" s="29">
        <v>13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161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customHeight="1">
      <c r="A60" s="29">
        <v>14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15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customHeight="1">
      <c r="A65" s="29">
        <v>16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5">SUM(F65*G65/1000)</f>
        <v>4.4480000000000004</v>
      </c>
      <c r="I65" s="13">
        <f>G65*2</f>
        <v>444.8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5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5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5"/>
        <v>2.08941087</v>
      </c>
      <c r="I68" s="13">
        <f t="shared" ref="I68:I72" si="6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5"/>
        <v>39.417970000000004</v>
      </c>
      <c r="I69" s="13">
        <f t="shared" si="6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5"/>
        <v>0.48217100000000007</v>
      </c>
      <c r="I70" s="13">
        <f t="shared" si="6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5"/>
        <v>0.44985300000000006</v>
      </c>
      <c r="I71" s="13">
        <f t="shared" si="6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5"/>
        <v>0.29928000000000005</v>
      </c>
      <c r="I72" s="13">
        <f t="shared" si="6"/>
        <v>299.28000000000003</v>
      </c>
    </row>
    <row r="73" spans="1:21" ht="15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customHeight="1">
      <c r="A74" s="29">
        <v>17</v>
      </c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f>G74*0.2</f>
        <v>100.32400000000001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5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5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162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18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19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48"/>
      <c r="B86" s="38" t="s">
        <v>84</v>
      </c>
      <c r="C86" s="40"/>
      <c r="D86" s="15"/>
      <c r="E86" s="15"/>
      <c r="F86" s="15"/>
      <c r="G86" s="18"/>
      <c r="H86" s="18"/>
      <c r="I86" s="32">
        <f>I16+I17+I18+I27+I28+I39+I40+I41+I43+I44+I46+I53+I57+I60+I63+I65+I74+I84+I85</f>
        <v>55387.486711333346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31.5" customHeight="1">
      <c r="A88" s="29">
        <v>20</v>
      </c>
      <c r="B88" s="52" t="s">
        <v>170</v>
      </c>
      <c r="C88" s="54" t="s">
        <v>111</v>
      </c>
      <c r="D88" s="47"/>
      <c r="E88" s="13"/>
      <c r="F88" s="13">
        <v>2</v>
      </c>
      <c r="G88" s="13">
        <v>54.17</v>
      </c>
      <c r="H88" s="87">
        <f t="shared" ref="H88:H90" si="7">G88*F88/1000</f>
        <v>0.10834000000000001</v>
      </c>
      <c r="I88" s="13">
        <f>G88</f>
        <v>54.17</v>
      </c>
    </row>
    <row r="89" spans="1:9" ht="15.75" customHeight="1">
      <c r="A89" s="29">
        <v>21</v>
      </c>
      <c r="B89" s="52" t="s">
        <v>200</v>
      </c>
      <c r="C89" s="54" t="s">
        <v>98</v>
      </c>
      <c r="D89" s="47"/>
      <c r="E89" s="13"/>
      <c r="F89" s="13">
        <f>29/3</f>
        <v>9.6666666666666661</v>
      </c>
      <c r="G89" s="13">
        <v>1120.8900000000001</v>
      </c>
      <c r="H89" s="87">
        <f t="shared" si="7"/>
        <v>10.835270000000001</v>
      </c>
      <c r="I89" s="13">
        <f>G89</f>
        <v>1120.8900000000001</v>
      </c>
    </row>
    <row r="90" spans="1:9" ht="15" customHeight="1">
      <c r="A90" s="29">
        <v>22</v>
      </c>
      <c r="B90" s="52" t="s">
        <v>86</v>
      </c>
      <c r="C90" s="54" t="s">
        <v>136</v>
      </c>
      <c r="D90" s="47"/>
      <c r="E90" s="13"/>
      <c r="F90" s="13">
        <v>3</v>
      </c>
      <c r="G90" s="13">
        <v>189.88</v>
      </c>
      <c r="H90" s="87">
        <f t="shared" si="7"/>
        <v>0.56964000000000004</v>
      </c>
      <c r="I90" s="13">
        <f>G90</f>
        <v>189.88</v>
      </c>
    </row>
    <row r="91" spans="1:9" ht="15.75" customHeight="1">
      <c r="A91" s="29"/>
      <c r="B91" s="45" t="s">
        <v>53</v>
      </c>
      <c r="C91" s="41"/>
      <c r="D91" s="49"/>
      <c r="E91" s="41">
        <v>1</v>
      </c>
      <c r="F91" s="41"/>
      <c r="G91" s="41"/>
      <c r="H91" s="41"/>
      <c r="I91" s="32">
        <f>SUM(I88:I90)</f>
        <v>1364.94</v>
      </c>
    </row>
    <row r="92" spans="1:9" ht="15.75" customHeight="1">
      <c r="A92" s="29"/>
      <c r="B92" s="47" t="s">
        <v>82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0"/>
      <c r="B93" s="46" t="s">
        <v>207</v>
      </c>
      <c r="C93" s="34"/>
      <c r="D93" s="34"/>
      <c r="E93" s="34"/>
      <c r="F93" s="34"/>
      <c r="G93" s="34"/>
      <c r="H93" s="34"/>
      <c r="I93" s="44">
        <f>I86+I91</f>
        <v>56752.426711333348</v>
      </c>
    </row>
    <row r="94" spans="1:9" ht="15.75">
      <c r="A94" s="127" t="s">
        <v>247</v>
      </c>
      <c r="B94" s="127"/>
      <c r="C94" s="127"/>
      <c r="D94" s="127"/>
      <c r="E94" s="127"/>
      <c r="F94" s="127"/>
      <c r="G94" s="127"/>
      <c r="H94" s="127"/>
      <c r="I94" s="127"/>
    </row>
    <row r="95" spans="1:9" ht="15.75">
      <c r="A95" s="63"/>
      <c r="B95" s="128" t="s">
        <v>248</v>
      </c>
      <c r="C95" s="128"/>
      <c r="D95" s="128"/>
      <c r="E95" s="128"/>
      <c r="F95" s="128"/>
      <c r="G95" s="128"/>
      <c r="H95" s="68"/>
      <c r="I95" s="3"/>
    </row>
    <row r="96" spans="1:9">
      <c r="A96" s="59"/>
      <c r="B96" s="115" t="s">
        <v>6</v>
      </c>
      <c r="C96" s="115"/>
      <c r="D96" s="115"/>
      <c r="E96" s="115"/>
      <c r="F96" s="115"/>
      <c r="G96" s="115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29" t="s">
        <v>7</v>
      </c>
      <c r="B98" s="129"/>
      <c r="C98" s="129"/>
      <c r="D98" s="129"/>
      <c r="E98" s="129"/>
      <c r="F98" s="129"/>
      <c r="G98" s="129"/>
      <c r="H98" s="129"/>
      <c r="I98" s="129"/>
    </row>
    <row r="99" spans="1:9" ht="15.75">
      <c r="A99" s="129" t="s">
        <v>8</v>
      </c>
      <c r="B99" s="129"/>
      <c r="C99" s="129"/>
      <c r="D99" s="129"/>
      <c r="E99" s="129"/>
      <c r="F99" s="129"/>
      <c r="G99" s="129"/>
      <c r="H99" s="129"/>
      <c r="I99" s="129"/>
    </row>
    <row r="100" spans="1:9" ht="15.75">
      <c r="A100" s="119" t="s">
        <v>63</v>
      </c>
      <c r="B100" s="119"/>
      <c r="C100" s="119"/>
      <c r="D100" s="119"/>
      <c r="E100" s="119"/>
      <c r="F100" s="119"/>
      <c r="G100" s="119"/>
      <c r="H100" s="119"/>
      <c r="I100" s="119"/>
    </row>
    <row r="101" spans="1:9" ht="15.75">
      <c r="A101" s="11"/>
    </row>
    <row r="102" spans="1:9" ht="15.75">
      <c r="A102" s="113" t="s">
        <v>9</v>
      </c>
      <c r="B102" s="113"/>
      <c r="C102" s="113"/>
      <c r="D102" s="113"/>
      <c r="E102" s="113"/>
      <c r="F102" s="113"/>
      <c r="G102" s="113"/>
      <c r="H102" s="113"/>
      <c r="I102" s="113"/>
    </row>
    <row r="103" spans="1:9" ht="15.75">
      <c r="A103" s="4"/>
    </row>
    <row r="104" spans="1:9" ht="15.75">
      <c r="B104" s="62" t="s">
        <v>10</v>
      </c>
      <c r="C104" s="114" t="s">
        <v>96</v>
      </c>
      <c r="D104" s="114"/>
      <c r="E104" s="114"/>
      <c r="F104" s="66"/>
      <c r="I104" s="58"/>
    </row>
    <row r="105" spans="1:9">
      <c r="A105" s="59"/>
      <c r="C105" s="115" t="s">
        <v>11</v>
      </c>
      <c r="D105" s="115"/>
      <c r="E105" s="115"/>
      <c r="F105" s="24"/>
      <c r="I105" s="57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62" t="s">
        <v>13</v>
      </c>
      <c r="C107" s="116"/>
      <c r="D107" s="116"/>
      <c r="E107" s="116"/>
      <c r="F107" s="67"/>
      <c r="I107" s="58"/>
    </row>
    <row r="108" spans="1:9">
      <c r="A108" s="59"/>
      <c r="C108" s="117" t="s">
        <v>11</v>
      </c>
      <c r="D108" s="117"/>
      <c r="E108" s="117"/>
      <c r="F108" s="59"/>
      <c r="I108" s="57" t="s">
        <v>12</v>
      </c>
    </row>
    <row r="109" spans="1:9" ht="15.75">
      <c r="A109" s="4" t="s">
        <v>14</v>
      </c>
    </row>
    <row r="110" spans="1:9">
      <c r="A110" s="118" t="s">
        <v>15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45" customHeight="1">
      <c r="A111" s="112" t="s">
        <v>16</v>
      </c>
      <c r="B111" s="112"/>
      <c r="C111" s="112"/>
      <c r="D111" s="112"/>
      <c r="E111" s="112"/>
      <c r="F111" s="112"/>
      <c r="G111" s="112"/>
      <c r="H111" s="112"/>
      <c r="I111" s="112"/>
    </row>
    <row r="112" spans="1:9" ht="30" customHeight="1">
      <c r="A112" s="112" t="s">
        <v>17</v>
      </c>
      <c r="B112" s="112"/>
      <c r="C112" s="112"/>
      <c r="D112" s="112"/>
      <c r="E112" s="112"/>
      <c r="F112" s="112"/>
      <c r="G112" s="112"/>
      <c r="H112" s="112"/>
      <c r="I112" s="112"/>
    </row>
    <row r="113" spans="1:9" ht="30" customHeight="1">
      <c r="A113" s="112" t="s">
        <v>21</v>
      </c>
      <c r="B113" s="112"/>
      <c r="C113" s="112"/>
      <c r="D113" s="112"/>
      <c r="E113" s="112"/>
      <c r="F113" s="112"/>
      <c r="G113" s="112"/>
      <c r="H113" s="112"/>
      <c r="I113" s="112"/>
    </row>
    <row r="114" spans="1:9" ht="15.75">
      <c r="A114" s="112" t="s">
        <v>20</v>
      </c>
      <c r="B114" s="112"/>
      <c r="C114" s="112"/>
      <c r="D114" s="112"/>
      <c r="E114" s="112"/>
      <c r="F114" s="112"/>
      <c r="G114" s="112"/>
      <c r="H114" s="112"/>
      <c r="I114" s="112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00:I100"/>
    <mergeCell ref="A15:I15"/>
    <mergeCell ref="A29:I29"/>
    <mergeCell ref="A47:I47"/>
    <mergeCell ref="A58:I58"/>
    <mergeCell ref="A87:I87"/>
    <mergeCell ref="A94:I94"/>
    <mergeCell ref="B95:G95"/>
    <mergeCell ref="B96:G96"/>
    <mergeCell ref="A98:I98"/>
    <mergeCell ref="A99:I99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198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236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43039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customHeight="1">
      <c r="A35" s="29">
        <v>9</v>
      </c>
      <c r="B35" s="70" t="s">
        <v>129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hidden="1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hidden="1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hidden="1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hidden="1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hidden="1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hidden="1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3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hidden="1" customHeight="1">
      <c r="A46" s="29">
        <v>12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4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4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4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4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4"/>
        <v>0.124912836</v>
      </c>
      <c r="I52" s="13">
        <v>0</v>
      </c>
      <c r="J52" s="23"/>
      <c r="L52" s="19"/>
      <c r="M52" s="20"/>
      <c r="N52" s="21"/>
    </row>
    <row r="53" spans="1:22" ht="15" hidden="1" customHeight="1">
      <c r="A53" s="29">
        <v>13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4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customHeight="1">
      <c r="A54" s="29">
        <v>10</v>
      </c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4"/>
        <v>2.1455563999999998</v>
      </c>
      <c r="I54" s="13">
        <f>F54/2*G54</f>
        <v>1072.7782</v>
      </c>
      <c r="J54" s="23"/>
      <c r="L54" s="19"/>
      <c r="M54" s="20"/>
      <c r="N54" s="21"/>
    </row>
    <row r="55" spans="1:22" ht="31.5" customHeight="1">
      <c r="A55" s="29">
        <v>11</v>
      </c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4"/>
        <v>1.0921959999999999</v>
      </c>
      <c r="I55" s="13">
        <f t="shared" ref="I55:I56" si="5">F55/2*G55</f>
        <v>546.09799999999996</v>
      </c>
      <c r="J55" s="23"/>
      <c r="L55" s="19"/>
      <c r="M55" s="20"/>
      <c r="N55" s="21"/>
    </row>
    <row r="56" spans="1:22" ht="15" customHeight="1">
      <c r="A56" s="29">
        <v>12</v>
      </c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4"/>
        <v>0.11304260000000001</v>
      </c>
      <c r="I56" s="13">
        <f t="shared" si="5"/>
        <v>56.521300000000004</v>
      </c>
      <c r="J56" s="23"/>
      <c r="L56" s="19"/>
      <c r="M56" s="20"/>
      <c r="N56" s="21"/>
    </row>
    <row r="57" spans="1:22" ht="15" customHeight="1">
      <c r="A57" s="29">
        <v>13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161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hidden="1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hidden="1" customHeight="1">
      <c r="A60" s="29">
        <v>15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14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hidden="1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hidden="1" customHeight="1">
      <c r="A65" s="29">
        <v>14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6">SUM(F65*G65/1000)</f>
        <v>4.4480000000000004</v>
      </c>
      <c r="I65" s="13">
        <f>G65</f>
        <v>222.4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6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6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6"/>
        <v>2.08941087</v>
      </c>
      <c r="I68" s="13">
        <f t="shared" ref="I68:I72" si="7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6"/>
        <v>39.417970000000004</v>
      </c>
      <c r="I69" s="13">
        <f t="shared" si="7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6"/>
        <v>0.48217100000000007</v>
      </c>
      <c r="I70" s="13">
        <f t="shared" si="7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6"/>
        <v>0.44985300000000006</v>
      </c>
      <c r="I71" s="13">
        <f t="shared" si="7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6"/>
        <v>0.29928000000000005</v>
      </c>
      <c r="I72" s="13">
        <f t="shared" si="7"/>
        <v>299.28000000000003</v>
      </c>
    </row>
    <row r="73" spans="1:21" ht="15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customHeight="1">
      <c r="A74" s="29">
        <v>15</v>
      </c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f>G74*0.1</f>
        <v>50.162000000000006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6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6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162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16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17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48"/>
      <c r="B86" s="38" t="s">
        <v>84</v>
      </c>
      <c r="C86" s="40"/>
      <c r="D86" s="15"/>
      <c r="E86" s="15"/>
      <c r="F86" s="15"/>
      <c r="G86" s="18"/>
      <c r="H86" s="18"/>
      <c r="I86" s="32">
        <f>I16+I17+I18+I27+I28+I31+I32+I34+I35+I54+I55+I56+I57+I63+I74+I84+I85</f>
        <v>50509.863454955565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15" customHeight="1">
      <c r="A88" s="29">
        <v>18</v>
      </c>
      <c r="B88" s="52" t="s">
        <v>86</v>
      </c>
      <c r="C88" s="54" t="s">
        <v>136</v>
      </c>
      <c r="D88" s="47"/>
      <c r="E88" s="13"/>
      <c r="F88" s="13">
        <v>4</v>
      </c>
      <c r="G88" s="13">
        <v>189.88</v>
      </c>
      <c r="H88" s="87">
        <f t="shared" ref="H88:H91" si="8">G88*F88/1000</f>
        <v>0.75951999999999997</v>
      </c>
      <c r="I88" s="13">
        <f>G88</f>
        <v>189.88</v>
      </c>
    </row>
    <row r="89" spans="1:9" ht="30" customHeight="1">
      <c r="A89" s="29">
        <v>19</v>
      </c>
      <c r="B89" s="52" t="s">
        <v>83</v>
      </c>
      <c r="C89" s="54" t="s">
        <v>136</v>
      </c>
      <c r="D89" s="47"/>
      <c r="E89" s="35"/>
      <c r="F89" s="35">
        <v>9</v>
      </c>
      <c r="G89" s="35">
        <v>83.36</v>
      </c>
      <c r="H89" s="105">
        <f t="shared" si="8"/>
        <v>0.75024000000000002</v>
      </c>
      <c r="I89" s="13">
        <f>G89</f>
        <v>83.36</v>
      </c>
    </row>
    <row r="90" spans="1:9" ht="31.5" customHeight="1">
      <c r="A90" s="29">
        <v>20</v>
      </c>
      <c r="B90" s="52" t="s">
        <v>156</v>
      </c>
      <c r="C90" s="54" t="s">
        <v>39</v>
      </c>
      <c r="D90" s="107"/>
      <c r="E90" s="35"/>
      <c r="F90" s="35">
        <v>0.06</v>
      </c>
      <c r="G90" s="35">
        <v>3581.13</v>
      </c>
      <c r="H90" s="105">
        <f t="shared" si="8"/>
        <v>0.2148678</v>
      </c>
      <c r="I90" s="13">
        <f>G90*0.01</f>
        <v>35.811300000000003</v>
      </c>
    </row>
    <row r="91" spans="1:9" ht="15" customHeight="1">
      <c r="A91" s="29">
        <v>21</v>
      </c>
      <c r="B91" s="52" t="s">
        <v>237</v>
      </c>
      <c r="C91" s="54" t="s">
        <v>136</v>
      </c>
      <c r="D91" s="51"/>
      <c r="E91" s="35"/>
      <c r="F91" s="35">
        <v>1</v>
      </c>
      <c r="G91" s="35">
        <v>4879</v>
      </c>
      <c r="H91" s="105">
        <f t="shared" si="8"/>
        <v>4.8789999999999996</v>
      </c>
      <c r="I91" s="13">
        <f>G91</f>
        <v>4879</v>
      </c>
    </row>
    <row r="92" spans="1:9" ht="15.75" customHeight="1">
      <c r="A92" s="29"/>
      <c r="B92" s="45" t="s">
        <v>53</v>
      </c>
      <c r="C92" s="41"/>
      <c r="D92" s="49"/>
      <c r="E92" s="41">
        <v>1</v>
      </c>
      <c r="F92" s="41"/>
      <c r="G92" s="41"/>
      <c r="H92" s="41"/>
      <c r="I92" s="32">
        <f>SUM(I88:I91)</f>
        <v>5188.0513000000001</v>
      </c>
    </row>
    <row r="93" spans="1:9" ht="15.75" customHeight="1">
      <c r="A93" s="29"/>
      <c r="B93" s="47" t="s">
        <v>82</v>
      </c>
      <c r="C93" s="15"/>
      <c r="D93" s="15"/>
      <c r="E93" s="42"/>
      <c r="F93" s="42"/>
      <c r="G93" s="43"/>
      <c r="H93" s="43"/>
      <c r="I93" s="17">
        <v>0</v>
      </c>
    </row>
    <row r="94" spans="1:9" ht="15.75" customHeight="1">
      <c r="A94" s="50"/>
      <c r="B94" s="46" t="s">
        <v>207</v>
      </c>
      <c r="C94" s="34"/>
      <c r="D94" s="34"/>
      <c r="E94" s="34"/>
      <c r="F94" s="34"/>
      <c r="G94" s="34"/>
      <c r="H94" s="34"/>
      <c r="I94" s="44">
        <f>I86+I92</f>
        <v>55697.914754955564</v>
      </c>
    </row>
    <row r="95" spans="1:9" ht="15.75">
      <c r="A95" s="127" t="s">
        <v>238</v>
      </c>
      <c r="B95" s="127"/>
      <c r="C95" s="127"/>
      <c r="D95" s="127"/>
      <c r="E95" s="127"/>
      <c r="F95" s="127"/>
      <c r="G95" s="127"/>
      <c r="H95" s="127"/>
      <c r="I95" s="127"/>
    </row>
    <row r="96" spans="1:9" ht="15.75">
      <c r="A96" s="63"/>
      <c r="B96" s="128" t="s">
        <v>239</v>
      </c>
      <c r="C96" s="128"/>
      <c r="D96" s="128"/>
      <c r="E96" s="128"/>
      <c r="F96" s="128"/>
      <c r="G96" s="128"/>
      <c r="H96" s="68"/>
      <c r="I96" s="3"/>
    </row>
    <row r="97" spans="1:9">
      <c r="A97" s="59"/>
      <c r="B97" s="115" t="s">
        <v>6</v>
      </c>
      <c r="C97" s="115"/>
      <c r="D97" s="115"/>
      <c r="E97" s="115"/>
      <c r="F97" s="115"/>
      <c r="G97" s="115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29" t="s">
        <v>7</v>
      </c>
      <c r="B99" s="129"/>
      <c r="C99" s="129"/>
      <c r="D99" s="129"/>
      <c r="E99" s="129"/>
      <c r="F99" s="129"/>
      <c r="G99" s="129"/>
      <c r="H99" s="129"/>
      <c r="I99" s="129"/>
    </row>
    <row r="100" spans="1:9" ht="15.75">
      <c r="A100" s="129" t="s">
        <v>8</v>
      </c>
      <c r="B100" s="129"/>
      <c r="C100" s="129"/>
      <c r="D100" s="129"/>
      <c r="E100" s="129"/>
      <c r="F100" s="129"/>
      <c r="G100" s="129"/>
      <c r="H100" s="129"/>
      <c r="I100" s="129"/>
    </row>
    <row r="101" spans="1:9" ht="15.75">
      <c r="A101" s="119" t="s">
        <v>63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ht="15.75">
      <c r="A102" s="11"/>
    </row>
    <row r="103" spans="1:9" ht="15.75">
      <c r="A103" s="113" t="s">
        <v>9</v>
      </c>
      <c r="B103" s="113"/>
      <c r="C103" s="113"/>
      <c r="D103" s="113"/>
      <c r="E103" s="113"/>
      <c r="F103" s="113"/>
      <c r="G103" s="113"/>
      <c r="H103" s="113"/>
      <c r="I103" s="113"/>
    </row>
    <row r="104" spans="1:9" ht="15.75">
      <c r="A104" s="4"/>
    </row>
    <row r="105" spans="1:9" ht="15.75">
      <c r="B105" s="62" t="s">
        <v>10</v>
      </c>
      <c r="C105" s="114" t="s">
        <v>96</v>
      </c>
      <c r="D105" s="114"/>
      <c r="E105" s="114"/>
      <c r="F105" s="66"/>
      <c r="I105" s="58"/>
    </row>
    <row r="106" spans="1:9">
      <c r="A106" s="59"/>
      <c r="C106" s="115" t="s">
        <v>11</v>
      </c>
      <c r="D106" s="115"/>
      <c r="E106" s="115"/>
      <c r="F106" s="24"/>
      <c r="I106" s="57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62" t="s">
        <v>13</v>
      </c>
      <c r="C108" s="116"/>
      <c r="D108" s="116"/>
      <c r="E108" s="116"/>
      <c r="F108" s="67"/>
      <c r="I108" s="58"/>
    </row>
    <row r="109" spans="1:9">
      <c r="A109" s="59"/>
      <c r="C109" s="117" t="s">
        <v>11</v>
      </c>
      <c r="D109" s="117"/>
      <c r="E109" s="117"/>
      <c r="F109" s="59"/>
      <c r="I109" s="57" t="s">
        <v>12</v>
      </c>
    </row>
    <row r="110" spans="1:9" ht="15.75">
      <c r="A110" s="4" t="s">
        <v>14</v>
      </c>
    </row>
    <row r="111" spans="1:9">
      <c r="A111" s="118" t="s">
        <v>15</v>
      </c>
      <c r="B111" s="118"/>
      <c r="C111" s="118"/>
      <c r="D111" s="118"/>
      <c r="E111" s="118"/>
      <c r="F111" s="118"/>
      <c r="G111" s="118"/>
      <c r="H111" s="118"/>
      <c r="I111" s="118"/>
    </row>
    <row r="112" spans="1:9" ht="45" customHeight="1">
      <c r="A112" s="112" t="s">
        <v>16</v>
      </c>
      <c r="B112" s="112"/>
      <c r="C112" s="112"/>
      <c r="D112" s="112"/>
      <c r="E112" s="112"/>
      <c r="F112" s="112"/>
      <c r="G112" s="112"/>
      <c r="H112" s="112"/>
      <c r="I112" s="112"/>
    </row>
    <row r="113" spans="1:9" ht="30" customHeight="1">
      <c r="A113" s="112" t="s">
        <v>17</v>
      </c>
      <c r="B113" s="112"/>
      <c r="C113" s="112"/>
      <c r="D113" s="112"/>
      <c r="E113" s="112"/>
      <c r="F113" s="112"/>
      <c r="G113" s="112"/>
      <c r="H113" s="112"/>
      <c r="I113" s="112"/>
    </row>
    <row r="114" spans="1:9" ht="30" customHeight="1">
      <c r="A114" s="112" t="s">
        <v>21</v>
      </c>
      <c r="B114" s="112"/>
      <c r="C114" s="112"/>
      <c r="D114" s="112"/>
      <c r="E114" s="112"/>
      <c r="F114" s="112"/>
      <c r="G114" s="112"/>
      <c r="H114" s="112"/>
      <c r="I114" s="112"/>
    </row>
    <row r="115" spans="1:9" ht="15.75">
      <c r="A115" s="112" t="s">
        <v>20</v>
      </c>
      <c r="B115" s="112"/>
      <c r="C115" s="112"/>
      <c r="D115" s="112"/>
      <c r="E115" s="112"/>
      <c r="F115" s="112"/>
      <c r="G115" s="112"/>
      <c r="H115" s="112"/>
      <c r="I115" s="112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01:I101"/>
    <mergeCell ref="A15:I15"/>
    <mergeCell ref="A29:I29"/>
    <mergeCell ref="A47:I47"/>
    <mergeCell ref="A58:I58"/>
    <mergeCell ref="A95:I95"/>
    <mergeCell ref="B96:G96"/>
    <mergeCell ref="B97:G97"/>
    <mergeCell ref="A99:I99"/>
    <mergeCell ref="A100:I100"/>
    <mergeCell ref="A87:I87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240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241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43069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hidden="1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70" t="s">
        <v>129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3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customHeight="1">
      <c r="A46" s="29">
        <v>11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hidden="1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4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4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4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4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4"/>
        <v>0.124912836</v>
      </c>
      <c r="I52" s="13">
        <v>0</v>
      </c>
      <c r="J52" s="23"/>
      <c r="L52" s="19"/>
      <c r="M52" s="20"/>
      <c r="N52" s="21"/>
    </row>
    <row r="53" spans="1:22" ht="15" hidden="1" customHeight="1">
      <c r="A53" s="29">
        <v>13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4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>
        <v>10</v>
      </c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4"/>
        <v>2.1455563999999998</v>
      </c>
      <c r="I54" s="13">
        <f>F54/2*G54</f>
        <v>1072.7782</v>
      </c>
      <c r="J54" s="23"/>
      <c r="L54" s="19"/>
      <c r="M54" s="20"/>
      <c r="N54" s="21"/>
    </row>
    <row r="55" spans="1:22" ht="31.5" hidden="1" customHeight="1">
      <c r="A55" s="29">
        <v>11</v>
      </c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4"/>
        <v>1.0921959999999999</v>
      </c>
      <c r="I55" s="13">
        <f t="shared" ref="I55:I56" si="5">F55/2*G55</f>
        <v>546.09799999999996</v>
      </c>
      <c r="J55" s="23"/>
      <c r="L55" s="19"/>
      <c r="M55" s="20"/>
      <c r="N55" s="21"/>
    </row>
    <row r="56" spans="1:22" ht="15" hidden="1" customHeight="1">
      <c r="A56" s="29">
        <v>12</v>
      </c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4"/>
        <v>0.11304260000000001</v>
      </c>
      <c r="I56" s="13">
        <f t="shared" si="5"/>
        <v>56.521300000000004</v>
      </c>
      <c r="J56" s="23"/>
      <c r="L56" s="19"/>
      <c r="M56" s="20"/>
      <c r="N56" s="21"/>
    </row>
    <row r="57" spans="1:22" ht="15" hidden="1" customHeight="1">
      <c r="A57" s="29">
        <v>13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190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customHeight="1">
      <c r="A60" s="29">
        <v>12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13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customHeight="1">
      <c r="A65" s="29">
        <v>14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6">SUM(F65*G65/1000)</f>
        <v>4.4480000000000004</v>
      </c>
      <c r="I65" s="13">
        <f>G65</f>
        <v>222.4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6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6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6"/>
        <v>2.08941087</v>
      </c>
      <c r="I68" s="13">
        <f t="shared" ref="I68:I72" si="7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6"/>
        <v>39.417970000000004</v>
      </c>
      <c r="I69" s="13">
        <f t="shared" si="7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6"/>
        <v>0.48217100000000007</v>
      </c>
      <c r="I70" s="13">
        <f t="shared" si="7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6"/>
        <v>0.44985300000000006</v>
      </c>
      <c r="I71" s="13">
        <f t="shared" si="7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6"/>
        <v>0.29928000000000005</v>
      </c>
      <c r="I72" s="13">
        <f t="shared" si="7"/>
        <v>299.28000000000003</v>
      </c>
    </row>
    <row r="73" spans="1:21" ht="15" hidden="1" customHeight="1">
      <c r="A73" s="29"/>
      <c r="B73" s="104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hidden="1" customHeight="1">
      <c r="A74" s="29">
        <v>15</v>
      </c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f>G74*0.1</f>
        <v>50.162000000000006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6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6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194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15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16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102"/>
      <c r="B86" s="38" t="s">
        <v>84</v>
      </c>
      <c r="C86" s="40"/>
      <c r="D86" s="15"/>
      <c r="E86" s="15"/>
      <c r="F86" s="15"/>
      <c r="G86" s="18"/>
      <c r="H86" s="18"/>
      <c r="I86" s="32">
        <f>I16+I17+I18+I27+I28+I39+I40+I41+I43+I44+I46+I60+I63+I65+I84+I85</f>
        <v>45060.864511333348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15" customHeight="1">
      <c r="A88" s="29">
        <v>17</v>
      </c>
      <c r="B88" s="110" t="s">
        <v>242</v>
      </c>
      <c r="C88" s="56" t="s">
        <v>54</v>
      </c>
      <c r="D88" s="111"/>
      <c r="E88" s="17"/>
      <c r="F88" s="35">
        <f>1.05/100</f>
        <v>1.0500000000000001E-2</v>
      </c>
      <c r="G88" s="35">
        <v>72270.649999999994</v>
      </c>
      <c r="H88" s="105">
        <f t="shared" ref="H88" si="8">G88*F88/1000</f>
        <v>0.75884182499999997</v>
      </c>
      <c r="I88" s="13">
        <f>G88*F88</f>
        <v>758.84182499999997</v>
      </c>
    </row>
    <row r="89" spans="1:9" ht="15.75" customHeight="1">
      <c r="A89" s="29"/>
      <c r="B89" s="45" t="s">
        <v>53</v>
      </c>
      <c r="C89" s="41"/>
      <c r="D89" s="49"/>
      <c r="E89" s="41">
        <v>1</v>
      </c>
      <c r="F89" s="41"/>
      <c r="G89" s="41"/>
      <c r="H89" s="41"/>
      <c r="I89" s="32">
        <f>SUM(I88:I88)</f>
        <v>758.84182499999997</v>
      </c>
    </row>
    <row r="90" spans="1:9" ht="15.75" customHeight="1">
      <c r="A90" s="29"/>
      <c r="B90" s="47" t="s">
        <v>82</v>
      </c>
      <c r="C90" s="15"/>
      <c r="D90" s="15"/>
      <c r="E90" s="42"/>
      <c r="F90" s="42"/>
      <c r="G90" s="43"/>
      <c r="H90" s="43"/>
      <c r="I90" s="17">
        <v>0</v>
      </c>
    </row>
    <row r="91" spans="1:9" ht="15.75" customHeight="1">
      <c r="A91" s="50"/>
      <c r="B91" s="46" t="s">
        <v>207</v>
      </c>
      <c r="C91" s="34"/>
      <c r="D91" s="34"/>
      <c r="E91" s="34"/>
      <c r="F91" s="34"/>
      <c r="G91" s="34"/>
      <c r="H91" s="34"/>
      <c r="I91" s="44">
        <f>I86+I89</f>
        <v>45819.706336333351</v>
      </c>
    </row>
    <row r="92" spans="1:9" ht="15.75">
      <c r="A92" s="127" t="s">
        <v>252</v>
      </c>
      <c r="B92" s="127"/>
      <c r="C92" s="127"/>
      <c r="D92" s="127"/>
      <c r="E92" s="127"/>
      <c r="F92" s="127"/>
      <c r="G92" s="127"/>
      <c r="H92" s="127"/>
      <c r="I92" s="127"/>
    </row>
    <row r="93" spans="1:9" ht="15.75">
      <c r="A93" s="63"/>
      <c r="B93" s="128" t="s">
        <v>253</v>
      </c>
      <c r="C93" s="128"/>
      <c r="D93" s="128"/>
      <c r="E93" s="128"/>
      <c r="F93" s="128"/>
      <c r="G93" s="128"/>
      <c r="H93" s="68"/>
      <c r="I93" s="3"/>
    </row>
    <row r="94" spans="1:9">
      <c r="A94" s="100"/>
      <c r="B94" s="115" t="s">
        <v>6</v>
      </c>
      <c r="C94" s="115"/>
      <c r="D94" s="115"/>
      <c r="E94" s="115"/>
      <c r="F94" s="115"/>
      <c r="G94" s="115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29" t="s">
        <v>7</v>
      </c>
      <c r="B96" s="129"/>
      <c r="C96" s="129"/>
      <c r="D96" s="129"/>
      <c r="E96" s="129"/>
      <c r="F96" s="129"/>
      <c r="G96" s="129"/>
      <c r="H96" s="129"/>
      <c r="I96" s="129"/>
    </row>
    <row r="97" spans="1:9" ht="15.75">
      <c r="A97" s="129" t="s">
        <v>8</v>
      </c>
      <c r="B97" s="129"/>
      <c r="C97" s="129"/>
      <c r="D97" s="129"/>
      <c r="E97" s="129"/>
      <c r="F97" s="129"/>
      <c r="G97" s="129"/>
      <c r="H97" s="129"/>
      <c r="I97" s="129"/>
    </row>
    <row r="98" spans="1:9" ht="15.75">
      <c r="A98" s="119" t="s">
        <v>63</v>
      </c>
      <c r="B98" s="119"/>
      <c r="C98" s="119"/>
      <c r="D98" s="119"/>
      <c r="E98" s="119"/>
      <c r="F98" s="119"/>
      <c r="G98" s="119"/>
      <c r="H98" s="119"/>
      <c r="I98" s="119"/>
    </row>
    <row r="99" spans="1:9" ht="15.75">
      <c r="A99" s="11"/>
    </row>
    <row r="100" spans="1:9" ht="15.75">
      <c r="A100" s="113" t="s">
        <v>9</v>
      </c>
      <c r="B100" s="113"/>
      <c r="C100" s="113"/>
      <c r="D100" s="113"/>
      <c r="E100" s="113"/>
      <c r="F100" s="113"/>
      <c r="G100" s="113"/>
      <c r="H100" s="113"/>
      <c r="I100" s="113"/>
    </row>
    <row r="101" spans="1:9" ht="15.75">
      <c r="A101" s="4"/>
    </row>
    <row r="102" spans="1:9" ht="15.75">
      <c r="B102" s="101" t="s">
        <v>10</v>
      </c>
      <c r="C102" s="114" t="s">
        <v>96</v>
      </c>
      <c r="D102" s="114"/>
      <c r="E102" s="114"/>
      <c r="F102" s="66"/>
      <c r="I102" s="99"/>
    </row>
    <row r="103" spans="1:9">
      <c r="A103" s="100"/>
      <c r="C103" s="115" t="s">
        <v>11</v>
      </c>
      <c r="D103" s="115"/>
      <c r="E103" s="115"/>
      <c r="F103" s="24"/>
      <c r="I103" s="98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101" t="s">
        <v>13</v>
      </c>
      <c r="C105" s="116"/>
      <c r="D105" s="116"/>
      <c r="E105" s="116"/>
      <c r="F105" s="67"/>
      <c r="I105" s="99"/>
    </row>
    <row r="106" spans="1:9">
      <c r="A106" s="100"/>
      <c r="C106" s="117" t="s">
        <v>11</v>
      </c>
      <c r="D106" s="117"/>
      <c r="E106" s="117"/>
      <c r="F106" s="100"/>
      <c r="I106" s="98" t="s">
        <v>12</v>
      </c>
    </row>
    <row r="107" spans="1:9" ht="15.75">
      <c r="A107" s="4" t="s">
        <v>14</v>
      </c>
    </row>
    <row r="108" spans="1:9">
      <c r="A108" s="118" t="s">
        <v>15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45" customHeight="1">
      <c r="A109" s="112" t="s">
        <v>16</v>
      </c>
      <c r="B109" s="112"/>
      <c r="C109" s="112"/>
      <c r="D109" s="112"/>
      <c r="E109" s="112"/>
      <c r="F109" s="112"/>
      <c r="G109" s="112"/>
      <c r="H109" s="112"/>
      <c r="I109" s="112"/>
    </row>
    <row r="110" spans="1:9" ht="30" customHeight="1">
      <c r="A110" s="112" t="s">
        <v>17</v>
      </c>
      <c r="B110" s="112"/>
      <c r="C110" s="112"/>
      <c r="D110" s="112"/>
      <c r="E110" s="112"/>
      <c r="F110" s="112"/>
      <c r="G110" s="112"/>
      <c r="H110" s="112"/>
      <c r="I110" s="112"/>
    </row>
    <row r="111" spans="1:9" ht="30" customHeight="1">
      <c r="A111" s="112" t="s">
        <v>21</v>
      </c>
      <c r="B111" s="112"/>
      <c r="C111" s="112"/>
      <c r="D111" s="112"/>
      <c r="E111" s="112"/>
      <c r="F111" s="112"/>
      <c r="G111" s="112"/>
      <c r="H111" s="112"/>
      <c r="I111" s="112"/>
    </row>
    <row r="112" spans="1:9" ht="15.75">
      <c r="A112" s="112" t="s">
        <v>20</v>
      </c>
      <c r="B112" s="112"/>
      <c r="C112" s="112"/>
      <c r="D112" s="112"/>
      <c r="E112" s="112"/>
      <c r="F112" s="112"/>
      <c r="G112" s="112"/>
      <c r="H112" s="112"/>
      <c r="I112" s="112"/>
    </row>
  </sheetData>
  <autoFilter ref="I12:I62"/>
  <mergeCells count="29"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R67:U67"/>
    <mergeCell ref="C106:E106"/>
    <mergeCell ref="A87:I87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6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243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244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103"/>
      <c r="C6" s="103"/>
      <c r="D6" s="103"/>
      <c r="E6" s="103"/>
      <c r="F6" s="103"/>
      <c r="G6" s="103"/>
      <c r="H6" s="103"/>
      <c r="I6" s="30">
        <v>43100</v>
      </c>
      <c r="J6" s="2"/>
      <c r="K6" s="2"/>
      <c r="L6" s="2"/>
      <c r="M6" s="2"/>
    </row>
    <row r="7" spans="1:13" ht="15.75" customHeight="1">
      <c r="B7" s="101"/>
      <c r="C7" s="101"/>
      <c r="D7" s="10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hidden="1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70" t="s">
        <v>129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3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customHeight="1">
      <c r="A46" s="29">
        <v>11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4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4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4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4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4"/>
        <v>0.124912836</v>
      </c>
      <c r="I52" s="13">
        <v>0</v>
      </c>
      <c r="J52" s="23"/>
      <c r="L52" s="19"/>
      <c r="M52" s="20"/>
      <c r="N52" s="21"/>
    </row>
    <row r="53" spans="1:22" ht="15" customHeight="1">
      <c r="A53" s="29">
        <v>12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4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>
        <v>10</v>
      </c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4"/>
        <v>2.1455563999999998</v>
      </c>
      <c r="I54" s="13">
        <f>F54/2*G54</f>
        <v>1072.7782</v>
      </c>
      <c r="J54" s="23"/>
      <c r="L54" s="19"/>
      <c r="M54" s="20"/>
      <c r="N54" s="21"/>
    </row>
    <row r="55" spans="1:22" ht="31.5" hidden="1" customHeight="1">
      <c r="A55" s="29">
        <v>11</v>
      </c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4"/>
        <v>1.0921959999999999</v>
      </c>
      <c r="I55" s="13">
        <f t="shared" ref="I55:I56" si="5">F55/2*G55</f>
        <v>546.09799999999996</v>
      </c>
      <c r="J55" s="23"/>
      <c r="L55" s="19"/>
      <c r="M55" s="20"/>
      <c r="N55" s="21"/>
    </row>
    <row r="56" spans="1:22" ht="15" hidden="1" customHeight="1">
      <c r="A56" s="29">
        <v>12</v>
      </c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4"/>
        <v>0.11304260000000001</v>
      </c>
      <c r="I56" s="13">
        <f t="shared" si="5"/>
        <v>56.521300000000004</v>
      </c>
      <c r="J56" s="23"/>
      <c r="L56" s="19"/>
      <c r="M56" s="20"/>
      <c r="N56" s="21"/>
    </row>
    <row r="57" spans="1:22" ht="15" hidden="1" customHeight="1">
      <c r="A57" s="29">
        <v>13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161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customHeight="1">
      <c r="A60" s="29">
        <v>13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14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customHeight="1">
      <c r="A65" s="29">
        <v>15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6">SUM(F65*G65/1000)</f>
        <v>4.4480000000000004</v>
      </c>
      <c r="I65" s="13">
        <f>G65</f>
        <v>222.4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6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6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6"/>
        <v>2.08941087</v>
      </c>
      <c r="I68" s="13">
        <f t="shared" ref="I68:I72" si="7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6"/>
        <v>39.417970000000004</v>
      </c>
      <c r="I69" s="13">
        <f t="shared" si="7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6"/>
        <v>0.48217100000000007</v>
      </c>
      <c r="I70" s="13">
        <f t="shared" si="7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6"/>
        <v>0.44985300000000006</v>
      </c>
      <c r="I71" s="13">
        <f t="shared" si="7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6"/>
        <v>0.29928000000000005</v>
      </c>
      <c r="I72" s="13">
        <f t="shared" si="7"/>
        <v>299.28000000000003</v>
      </c>
    </row>
    <row r="73" spans="1:21" ht="15" hidden="1" customHeight="1">
      <c r="A73" s="29"/>
      <c r="B73" s="104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hidden="1" customHeight="1">
      <c r="A74" s="29">
        <v>15</v>
      </c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f>G74*0.1</f>
        <v>50.162000000000006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6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6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162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16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17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102"/>
      <c r="B86" s="38" t="s">
        <v>84</v>
      </c>
      <c r="C86" s="40"/>
      <c r="D86" s="15"/>
      <c r="E86" s="15"/>
      <c r="F86" s="15"/>
      <c r="G86" s="18"/>
      <c r="H86" s="18"/>
      <c r="I86" s="32">
        <f>I16+I17+I18+I27+I28+I39+I40+I41+I43+I44+I46+I53+I60+I63+I65+I84+I85</f>
        <v>46133.642711333348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31.5" customHeight="1">
      <c r="A88" s="29">
        <v>18</v>
      </c>
      <c r="B88" s="52" t="s">
        <v>83</v>
      </c>
      <c r="C88" s="54" t="s">
        <v>136</v>
      </c>
      <c r="D88" s="47"/>
      <c r="E88" s="35"/>
      <c r="F88" s="35">
        <v>9</v>
      </c>
      <c r="G88" s="35">
        <v>83.36</v>
      </c>
      <c r="H88" s="105">
        <f t="shared" ref="H88:H90" si="8">G88*F88/1000</f>
        <v>0.75024000000000002</v>
      </c>
      <c r="I88" s="13">
        <f>G88*2</f>
        <v>166.72</v>
      </c>
    </row>
    <row r="89" spans="1:9" ht="31.5" customHeight="1">
      <c r="A89" s="29">
        <v>19</v>
      </c>
      <c r="B89" s="52" t="s">
        <v>156</v>
      </c>
      <c r="C89" s="54" t="s">
        <v>39</v>
      </c>
      <c r="D89" s="107"/>
      <c r="E89" s="35"/>
      <c r="F89" s="35">
        <v>0.06</v>
      </c>
      <c r="G89" s="35">
        <v>3581.13</v>
      </c>
      <c r="H89" s="105">
        <f t="shared" si="8"/>
        <v>0.2148678</v>
      </c>
      <c r="I89" s="13">
        <f>G89*0.02</f>
        <v>71.622600000000006</v>
      </c>
    </row>
    <row r="90" spans="1:9" ht="15" customHeight="1">
      <c r="A90" s="29">
        <v>20</v>
      </c>
      <c r="B90" s="47" t="s">
        <v>93</v>
      </c>
      <c r="C90" s="16" t="s">
        <v>108</v>
      </c>
      <c r="D90" s="51"/>
      <c r="E90" s="35"/>
      <c r="F90" s="35">
        <v>3.5</v>
      </c>
      <c r="G90" s="35">
        <v>1582</v>
      </c>
      <c r="H90" s="105">
        <f t="shared" si="8"/>
        <v>5.5369999999999999</v>
      </c>
      <c r="I90" s="13">
        <f>G90*2</f>
        <v>3164</v>
      </c>
    </row>
    <row r="91" spans="1:9" ht="15" customHeight="1">
      <c r="A91" s="29">
        <v>21</v>
      </c>
      <c r="B91" s="55" t="s">
        <v>223</v>
      </c>
      <c r="C91" s="56" t="s">
        <v>136</v>
      </c>
      <c r="D91" s="47"/>
      <c r="E91" s="35"/>
      <c r="F91" s="35">
        <v>4</v>
      </c>
      <c r="G91" s="35">
        <v>510.84</v>
      </c>
      <c r="H91" s="105">
        <f>G91*F91/1000</f>
        <v>2.0433599999999998</v>
      </c>
      <c r="I91" s="13">
        <f>G91*(1+2)</f>
        <v>1532.52</v>
      </c>
    </row>
    <row r="92" spans="1:9" ht="15" customHeight="1">
      <c r="A92" s="29">
        <v>22</v>
      </c>
      <c r="B92" s="92" t="s">
        <v>245</v>
      </c>
      <c r="C92" s="56" t="s">
        <v>246</v>
      </c>
      <c r="D92" s="111"/>
      <c r="E92" s="17"/>
      <c r="F92" s="35">
        <v>1</v>
      </c>
      <c r="G92" s="13">
        <v>20250</v>
      </c>
      <c r="H92" s="105">
        <f t="shared" ref="H92" si="9">G92*F92/1000</f>
        <v>20.25</v>
      </c>
      <c r="I92" s="13">
        <f>G92</f>
        <v>20250</v>
      </c>
    </row>
    <row r="93" spans="1:9" ht="15.75" customHeight="1">
      <c r="A93" s="29"/>
      <c r="B93" s="45" t="s">
        <v>53</v>
      </c>
      <c r="C93" s="41"/>
      <c r="D93" s="49"/>
      <c r="E93" s="41">
        <v>1</v>
      </c>
      <c r="F93" s="41"/>
      <c r="G93" s="41"/>
      <c r="H93" s="41"/>
      <c r="I93" s="32">
        <f>SUM(I88:I92)</f>
        <v>25184.8626</v>
      </c>
    </row>
    <row r="94" spans="1:9" ht="15.75" customHeight="1">
      <c r="A94" s="29"/>
      <c r="B94" s="47" t="s">
        <v>82</v>
      </c>
      <c r="C94" s="15"/>
      <c r="D94" s="15"/>
      <c r="E94" s="42"/>
      <c r="F94" s="42"/>
      <c r="G94" s="43"/>
      <c r="H94" s="43"/>
      <c r="I94" s="17">
        <v>0</v>
      </c>
    </row>
    <row r="95" spans="1:9" ht="15.75" customHeight="1">
      <c r="A95" s="50"/>
      <c r="B95" s="46" t="s">
        <v>207</v>
      </c>
      <c r="C95" s="34"/>
      <c r="D95" s="34"/>
      <c r="E95" s="34"/>
      <c r="F95" s="34"/>
      <c r="G95" s="34"/>
      <c r="H95" s="34"/>
      <c r="I95" s="44">
        <f>I86+I93</f>
        <v>71318.505311333342</v>
      </c>
    </row>
    <row r="96" spans="1:9" ht="15.75">
      <c r="A96" s="127" t="s">
        <v>254</v>
      </c>
      <c r="B96" s="127"/>
      <c r="C96" s="127"/>
      <c r="D96" s="127"/>
      <c r="E96" s="127"/>
      <c r="F96" s="127"/>
      <c r="G96" s="127"/>
      <c r="H96" s="127"/>
      <c r="I96" s="127"/>
    </row>
    <row r="97" spans="1:9" ht="15.75">
      <c r="A97" s="63"/>
      <c r="B97" s="128" t="s">
        <v>255</v>
      </c>
      <c r="C97" s="128"/>
      <c r="D97" s="128"/>
      <c r="E97" s="128"/>
      <c r="F97" s="128"/>
      <c r="G97" s="128"/>
      <c r="H97" s="68"/>
      <c r="I97" s="3"/>
    </row>
    <row r="98" spans="1:9">
      <c r="A98" s="100"/>
      <c r="B98" s="115" t="s">
        <v>6</v>
      </c>
      <c r="C98" s="115"/>
      <c r="D98" s="115"/>
      <c r="E98" s="115"/>
      <c r="F98" s="115"/>
      <c r="G98" s="115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29" t="s">
        <v>7</v>
      </c>
      <c r="B100" s="129"/>
      <c r="C100" s="129"/>
      <c r="D100" s="129"/>
      <c r="E100" s="129"/>
      <c r="F100" s="129"/>
      <c r="G100" s="129"/>
      <c r="H100" s="129"/>
      <c r="I100" s="129"/>
    </row>
    <row r="101" spans="1:9" ht="15.75">
      <c r="A101" s="129" t="s">
        <v>8</v>
      </c>
      <c r="B101" s="129"/>
      <c r="C101" s="129"/>
      <c r="D101" s="129"/>
      <c r="E101" s="129"/>
      <c r="F101" s="129"/>
      <c r="G101" s="129"/>
      <c r="H101" s="129"/>
      <c r="I101" s="129"/>
    </row>
    <row r="102" spans="1:9" ht="15.75">
      <c r="A102" s="119" t="s">
        <v>63</v>
      </c>
      <c r="B102" s="119"/>
      <c r="C102" s="119"/>
      <c r="D102" s="119"/>
      <c r="E102" s="119"/>
      <c r="F102" s="119"/>
      <c r="G102" s="119"/>
      <c r="H102" s="119"/>
      <c r="I102" s="119"/>
    </row>
    <row r="103" spans="1:9" ht="15.75">
      <c r="A103" s="11"/>
    </row>
    <row r="104" spans="1:9" ht="15.75">
      <c r="A104" s="113" t="s">
        <v>9</v>
      </c>
      <c r="B104" s="113"/>
      <c r="C104" s="113"/>
      <c r="D104" s="113"/>
      <c r="E104" s="113"/>
      <c r="F104" s="113"/>
      <c r="G104" s="113"/>
      <c r="H104" s="113"/>
      <c r="I104" s="113"/>
    </row>
    <row r="105" spans="1:9" ht="15.75">
      <c r="A105" s="4"/>
    </row>
    <row r="106" spans="1:9" ht="15.75">
      <c r="B106" s="101" t="s">
        <v>10</v>
      </c>
      <c r="C106" s="114" t="s">
        <v>96</v>
      </c>
      <c r="D106" s="114"/>
      <c r="E106" s="114"/>
      <c r="F106" s="66"/>
      <c r="I106" s="99"/>
    </row>
    <row r="107" spans="1:9">
      <c r="A107" s="100"/>
      <c r="C107" s="115" t="s">
        <v>11</v>
      </c>
      <c r="D107" s="115"/>
      <c r="E107" s="115"/>
      <c r="F107" s="24"/>
      <c r="I107" s="98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101" t="s">
        <v>13</v>
      </c>
      <c r="C109" s="116"/>
      <c r="D109" s="116"/>
      <c r="E109" s="116"/>
      <c r="F109" s="67"/>
      <c r="I109" s="99"/>
    </row>
    <row r="110" spans="1:9">
      <c r="A110" s="100"/>
      <c r="C110" s="117" t="s">
        <v>11</v>
      </c>
      <c r="D110" s="117"/>
      <c r="E110" s="117"/>
      <c r="F110" s="100"/>
      <c r="I110" s="98" t="s">
        <v>12</v>
      </c>
    </row>
    <row r="111" spans="1:9" ht="15.75">
      <c r="A111" s="4" t="s">
        <v>14</v>
      </c>
    </row>
    <row r="112" spans="1:9">
      <c r="A112" s="118" t="s">
        <v>15</v>
      </c>
      <c r="B112" s="118"/>
      <c r="C112" s="118"/>
      <c r="D112" s="118"/>
      <c r="E112" s="118"/>
      <c r="F112" s="118"/>
      <c r="G112" s="118"/>
      <c r="H112" s="118"/>
      <c r="I112" s="118"/>
    </row>
    <row r="113" spans="1:9" ht="45" customHeight="1">
      <c r="A113" s="112" t="s">
        <v>16</v>
      </c>
      <c r="B113" s="112"/>
      <c r="C113" s="112"/>
      <c r="D113" s="112"/>
      <c r="E113" s="112"/>
      <c r="F113" s="112"/>
      <c r="G113" s="112"/>
      <c r="H113" s="112"/>
      <c r="I113" s="112"/>
    </row>
    <row r="114" spans="1:9" ht="30" customHeight="1">
      <c r="A114" s="112" t="s">
        <v>17</v>
      </c>
      <c r="B114" s="112"/>
      <c r="C114" s="112"/>
      <c r="D114" s="112"/>
      <c r="E114" s="112"/>
      <c r="F114" s="112"/>
      <c r="G114" s="112"/>
      <c r="H114" s="112"/>
      <c r="I114" s="112"/>
    </row>
    <row r="115" spans="1:9" ht="30" customHeight="1">
      <c r="A115" s="112" t="s">
        <v>21</v>
      </c>
      <c r="B115" s="112"/>
      <c r="C115" s="112"/>
      <c r="D115" s="112"/>
      <c r="E115" s="112"/>
      <c r="F115" s="112"/>
      <c r="G115" s="112"/>
      <c r="H115" s="112"/>
      <c r="I115" s="112"/>
    </row>
    <row r="116" spans="1:9" ht="15.75">
      <c r="A116" s="112" t="s">
        <v>20</v>
      </c>
      <c r="B116" s="112"/>
      <c r="C116" s="112"/>
      <c r="D116" s="112"/>
      <c r="E116" s="112"/>
      <c r="F116" s="112"/>
      <c r="G116" s="112"/>
      <c r="H116" s="112"/>
      <c r="I116" s="112"/>
    </row>
  </sheetData>
  <autoFilter ref="I12:I62"/>
  <mergeCells count="29"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R67:U67"/>
    <mergeCell ref="C110:E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3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188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201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42794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hidden="1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70" t="s">
        <v>165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3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customHeight="1">
      <c r="A46" s="29">
        <v>11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4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4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4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4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4"/>
        <v>0.124912836</v>
      </c>
      <c r="I52" s="13">
        <v>0</v>
      </c>
      <c r="J52" s="23"/>
      <c r="L52" s="19"/>
      <c r="M52" s="20"/>
      <c r="N52" s="21"/>
    </row>
    <row r="53" spans="1:22" ht="15" customHeight="1">
      <c r="A53" s="29">
        <v>12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4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/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4"/>
        <v>2.1455563999999998</v>
      </c>
      <c r="I54" s="13">
        <v>0</v>
      </c>
      <c r="J54" s="23"/>
      <c r="L54" s="19"/>
      <c r="M54" s="20"/>
      <c r="N54" s="21"/>
    </row>
    <row r="55" spans="1:22" ht="31.5" hidden="1" customHeight="1">
      <c r="A55" s="29"/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4"/>
        <v>1.0921959999999999</v>
      </c>
      <c r="I55" s="13">
        <v>0</v>
      </c>
      <c r="J55" s="23"/>
      <c r="L55" s="19"/>
      <c r="M55" s="20"/>
      <c r="N55" s="21"/>
    </row>
    <row r="56" spans="1:22" ht="15" hidden="1" customHeight="1">
      <c r="A56" s="29"/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4"/>
        <v>0.11304260000000001</v>
      </c>
      <c r="I56" s="13">
        <v>0</v>
      </c>
      <c r="J56" s="23"/>
      <c r="L56" s="19"/>
      <c r="M56" s="20"/>
      <c r="N56" s="21"/>
    </row>
    <row r="57" spans="1:22" ht="15" hidden="1" customHeight="1">
      <c r="A57" s="29">
        <v>14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161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customHeight="1">
      <c r="A60" s="29">
        <v>13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14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customHeight="1">
      <c r="A65" s="29">
        <v>15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5">SUM(F65*G65/1000)</f>
        <v>4.4480000000000004</v>
      </c>
      <c r="I65" s="13">
        <f>G65*3</f>
        <v>667.2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5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5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5"/>
        <v>2.08941087</v>
      </c>
      <c r="I68" s="13">
        <f t="shared" ref="I68:I72" si="6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5"/>
        <v>39.417970000000004</v>
      </c>
      <c r="I69" s="13">
        <f t="shared" si="6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5"/>
        <v>0.48217100000000007</v>
      </c>
      <c r="I70" s="13">
        <f t="shared" si="6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5"/>
        <v>0.44985300000000006</v>
      </c>
      <c r="I71" s="13">
        <f t="shared" si="6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5"/>
        <v>0.29928000000000005</v>
      </c>
      <c r="I72" s="13">
        <f t="shared" si="6"/>
        <v>299.28000000000003</v>
      </c>
    </row>
    <row r="73" spans="1:21" ht="15" hidden="1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hidden="1" customHeight="1">
      <c r="A74" s="29"/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v>0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5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5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162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16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17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48"/>
      <c r="B86" s="38" t="s">
        <v>84</v>
      </c>
      <c r="C86" s="40"/>
      <c r="D86" s="15"/>
      <c r="E86" s="15"/>
      <c r="F86" s="15"/>
      <c r="G86" s="18"/>
      <c r="H86" s="18"/>
      <c r="I86" s="32">
        <f>I16+I17+I18+I27+I28+I39+I40+I41+I43+I44+I46+I53+I60+I63+I65+I84+I85</f>
        <v>46578.442711333344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31.5" customHeight="1">
      <c r="A88" s="29">
        <v>18</v>
      </c>
      <c r="B88" s="52" t="s">
        <v>170</v>
      </c>
      <c r="C88" s="54" t="s">
        <v>111</v>
      </c>
      <c r="D88" s="47"/>
      <c r="E88" s="13"/>
      <c r="F88" s="13">
        <v>2</v>
      </c>
      <c r="G88" s="13">
        <v>54.17</v>
      </c>
      <c r="H88" s="87">
        <f t="shared" ref="H88:H89" si="7">G88*F88/1000</f>
        <v>0.10834000000000001</v>
      </c>
      <c r="I88" s="13">
        <f>G88</f>
        <v>54.17</v>
      </c>
    </row>
    <row r="89" spans="1:9" ht="15" customHeight="1">
      <c r="A89" s="29">
        <v>19</v>
      </c>
      <c r="B89" s="33" t="s">
        <v>112</v>
      </c>
      <c r="C89" s="39" t="s">
        <v>30</v>
      </c>
      <c r="D89" s="51"/>
      <c r="E89" s="35"/>
      <c r="F89" s="35">
        <v>1</v>
      </c>
      <c r="G89" s="35">
        <v>86.15</v>
      </c>
      <c r="H89" s="105">
        <f t="shared" si="7"/>
        <v>8.6150000000000004E-2</v>
      </c>
      <c r="I89" s="13">
        <f>G89</f>
        <v>86.15</v>
      </c>
    </row>
    <row r="90" spans="1:9" ht="15" hidden="1" customHeight="1">
      <c r="A90" s="29"/>
      <c r="B90" s="92" t="s">
        <v>168</v>
      </c>
      <c r="C90" s="54" t="s">
        <v>169</v>
      </c>
      <c r="D90" s="47"/>
      <c r="E90" s="13"/>
      <c r="F90" s="13">
        <v>1</v>
      </c>
      <c r="G90" s="13">
        <v>3651</v>
      </c>
      <c r="H90" s="87">
        <f t="shared" ref="H90:H106" si="8">G90*F90/1000</f>
        <v>3.6509999999999998</v>
      </c>
      <c r="I90" s="13">
        <v>0</v>
      </c>
    </row>
    <row r="91" spans="1:9" ht="31.5" hidden="1" customHeight="1">
      <c r="A91" s="29"/>
      <c r="B91" s="52" t="s">
        <v>170</v>
      </c>
      <c r="C91" s="54" t="s">
        <v>111</v>
      </c>
      <c r="D91" s="47"/>
      <c r="E91" s="13"/>
      <c r="F91" s="13">
        <v>1</v>
      </c>
      <c r="G91" s="13">
        <v>51.39</v>
      </c>
      <c r="H91" s="87">
        <f t="shared" si="8"/>
        <v>5.1389999999999998E-2</v>
      </c>
      <c r="I91" s="13">
        <v>0</v>
      </c>
    </row>
    <row r="92" spans="1:9" ht="15" hidden="1" customHeight="1">
      <c r="A92" s="29"/>
      <c r="B92" s="52" t="s">
        <v>171</v>
      </c>
      <c r="C92" s="69" t="s">
        <v>85</v>
      </c>
      <c r="D92" s="47"/>
      <c r="E92" s="13"/>
      <c r="F92" s="13">
        <v>1</v>
      </c>
      <c r="G92" s="13">
        <v>18</v>
      </c>
      <c r="H92" s="87">
        <f t="shared" si="8"/>
        <v>1.7999999999999999E-2</v>
      </c>
      <c r="I92" s="13">
        <v>0</v>
      </c>
    </row>
    <row r="93" spans="1:9" ht="31.5" hidden="1" customHeight="1">
      <c r="A93" s="29"/>
      <c r="B93" s="53" t="s">
        <v>172</v>
      </c>
      <c r="C93" s="29" t="s">
        <v>155</v>
      </c>
      <c r="D93" s="47"/>
      <c r="E93" s="13"/>
      <c r="F93" s="13">
        <v>1</v>
      </c>
      <c r="G93" s="13">
        <v>383.01</v>
      </c>
      <c r="H93" s="87">
        <f t="shared" si="8"/>
        <v>0.38301000000000002</v>
      </c>
      <c r="I93" s="13">
        <v>0</v>
      </c>
    </row>
    <row r="94" spans="1:9" ht="15" hidden="1" customHeight="1">
      <c r="A94" s="29"/>
      <c r="B94" s="52" t="s">
        <v>173</v>
      </c>
      <c r="C94" s="54" t="s">
        <v>169</v>
      </c>
      <c r="D94" s="47"/>
      <c r="E94" s="13"/>
      <c r="F94" s="13">
        <v>2</v>
      </c>
      <c r="G94" s="13">
        <v>4879</v>
      </c>
      <c r="H94" s="87">
        <f t="shared" si="8"/>
        <v>9.7579999999999991</v>
      </c>
      <c r="I94" s="13">
        <v>0</v>
      </c>
    </row>
    <row r="95" spans="1:9" ht="15" hidden="1" customHeight="1">
      <c r="A95" s="29"/>
      <c r="B95" s="52" t="s">
        <v>174</v>
      </c>
      <c r="C95" s="54" t="s">
        <v>88</v>
      </c>
      <c r="D95" s="47"/>
      <c r="E95" s="13"/>
      <c r="F95" s="13">
        <v>4</v>
      </c>
      <c r="G95" s="13">
        <v>185.81</v>
      </c>
      <c r="H95" s="87">
        <f t="shared" si="8"/>
        <v>0.74324000000000001</v>
      </c>
      <c r="I95" s="13">
        <v>0</v>
      </c>
    </row>
    <row r="96" spans="1:9" ht="15" hidden="1" customHeight="1">
      <c r="A96" s="29"/>
      <c r="B96" s="52" t="s">
        <v>86</v>
      </c>
      <c r="C96" s="54" t="s">
        <v>136</v>
      </c>
      <c r="D96" s="47"/>
      <c r="E96" s="13"/>
      <c r="F96" s="13">
        <v>3</v>
      </c>
      <c r="G96" s="13">
        <v>180.15</v>
      </c>
      <c r="H96" s="87">
        <f t="shared" si="8"/>
        <v>0.5404500000000001</v>
      </c>
      <c r="I96" s="13">
        <v>0</v>
      </c>
    </row>
    <row r="97" spans="1:9" ht="31.5" hidden="1" customHeight="1">
      <c r="A97" s="29"/>
      <c r="B97" s="52" t="s">
        <v>175</v>
      </c>
      <c r="C97" s="54" t="s">
        <v>104</v>
      </c>
      <c r="D97" s="47"/>
      <c r="E97" s="13"/>
      <c r="F97" s="13">
        <f>3.11/10</f>
        <v>0.311</v>
      </c>
      <c r="G97" s="13">
        <v>5641.28</v>
      </c>
      <c r="H97" s="87">
        <f t="shared" si="8"/>
        <v>1.7544380799999999</v>
      </c>
      <c r="I97" s="13">
        <v>0</v>
      </c>
    </row>
    <row r="98" spans="1:9" ht="15" hidden="1" customHeight="1">
      <c r="A98" s="29"/>
      <c r="B98" s="52" t="s">
        <v>176</v>
      </c>
      <c r="C98" s="54" t="s">
        <v>177</v>
      </c>
      <c r="D98" s="47"/>
      <c r="E98" s="13"/>
      <c r="F98" s="13">
        <v>1</v>
      </c>
      <c r="G98" s="13">
        <v>755</v>
      </c>
      <c r="H98" s="87">
        <f t="shared" si="8"/>
        <v>0.755</v>
      </c>
      <c r="I98" s="13">
        <v>0</v>
      </c>
    </row>
    <row r="99" spans="1:9" ht="47.25" hidden="1" customHeight="1">
      <c r="A99" s="29"/>
      <c r="B99" s="53" t="s">
        <v>178</v>
      </c>
      <c r="C99" s="29" t="s">
        <v>104</v>
      </c>
      <c r="D99" s="47"/>
      <c r="E99" s="13"/>
      <c r="F99" s="13">
        <f>2/10</f>
        <v>0.2</v>
      </c>
      <c r="G99" s="13">
        <v>18308.990000000002</v>
      </c>
      <c r="H99" s="87">
        <f t="shared" si="8"/>
        <v>3.6617980000000006</v>
      </c>
      <c r="I99" s="13">
        <v>0</v>
      </c>
    </row>
    <row r="100" spans="1:9" ht="47.25" hidden="1" customHeight="1">
      <c r="A100" s="29"/>
      <c r="B100" s="52" t="s">
        <v>179</v>
      </c>
      <c r="C100" s="54" t="s">
        <v>104</v>
      </c>
      <c r="D100" s="47"/>
      <c r="E100" s="13"/>
      <c r="F100" s="13">
        <f>6/10</f>
        <v>0.6</v>
      </c>
      <c r="G100" s="13">
        <v>9068.24</v>
      </c>
      <c r="H100" s="87">
        <f t="shared" si="8"/>
        <v>5.4409439999999991</v>
      </c>
      <c r="I100" s="13">
        <v>0</v>
      </c>
    </row>
    <row r="101" spans="1:9" ht="15" hidden="1" customHeight="1">
      <c r="A101" s="29"/>
      <c r="B101" s="52" t="s">
        <v>180</v>
      </c>
      <c r="C101" s="54" t="s">
        <v>181</v>
      </c>
      <c r="D101" s="47"/>
      <c r="E101" s="13"/>
      <c r="F101" s="13">
        <v>1</v>
      </c>
      <c r="G101" s="13">
        <v>195.95</v>
      </c>
      <c r="H101" s="87">
        <f t="shared" si="8"/>
        <v>0.19594999999999999</v>
      </c>
      <c r="I101" s="13">
        <v>0</v>
      </c>
    </row>
    <row r="102" spans="1:9" ht="31.5" hidden="1" customHeight="1">
      <c r="A102" s="29"/>
      <c r="B102" s="52" t="s">
        <v>182</v>
      </c>
      <c r="C102" s="54" t="s">
        <v>111</v>
      </c>
      <c r="D102" s="47"/>
      <c r="E102" s="13"/>
      <c r="F102" s="13">
        <v>1</v>
      </c>
      <c r="G102" s="13">
        <v>122.55</v>
      </c>
      <c r="H102" s="87">
        <f t="shared" si="8"/>
        <v>0.12254999999999999</v>
      </c>
      <c r="I102" s="13">
        <v>0</v>
      </c>
    </row>
    <row r="103" spans="1:9" ht="15" hidden="1" customHeight="1">
      <c r="A103" s="29"/>
      <c r="B103" s="52" t="s">
        <v>97</v>
      </c>
      <c r="C103" s="54" t="s">
        <v>98</v>
      </c>
      <c r="D103" s="47"/>
      <c r="E103" s="13"/>
      <c r="F103" s="13">
        <f>45/3</f>
        <v>15</v>
      </c>
      <c r="G103" s="13">
        <v>1063.47</v>
      </c>
      <c r="H103" s="87">
        <f>G103*F103/1000</f>
        <v>15.952050000000002</v>
      </c>
      <c r="I103" s="13">
        <v>0</v>
      </c>
    </row>
    <row r="104" spans="1:9" ht="15" hidden="1" customHeight="1">
      <c r="A104" s="29"/>
      <c r="B104" s="52" t="s">
        <v>183</v>
      </c>
      <c r="C104" s="54" t="s">
        <v>184</v>
      </c>
      <c r="D104" s="47"/>
      <c r="E104" s="13"/>
      <c r="F104" s="13">
        <v>1</v>
      </c>
      <c r="G104" s="13">
        <v>4627.21</v>
      </c>
      <c r="H104" s="87">
        <f>G104*F104/1000</f>
        <v>4.6272099999999998</v>
      </c>
      <c r="I104" s="13">
        <v>0</v>
      </c>
    </row>
    <row r="105" spans="1:9" ht="15" hidden="1" customHeight="1">
      <c r="A105" s="29"/>
      <c r="B105" s="53" t="s">
        <v>114</v>
      </c>
      <c r="C105" s="29" t="s">
        <v>136</v>
      </c>
      <c r="D105" s="47"/>
      <c r="E105" s="13"/>
      <c r="F105" s="13">
        <v>2</v>
      </c>
      <c r="G105" s="13">
        <v>470</v>
      </c>
      <c r="H105" s="87">
        <f t="shared" ref="H105" si="9">G105*F105/1000</f>
        <v>0.94</v>
      </c>
      <c r="I105" s="13">
        <v>0</v>
      </c>
    </row>
    <row r="106" spans="1:9" ht="15" hidden="1" customHeight="1">
      <c r="A106" s="29"/>
      <c r="B106" s="52" t="s">
        <v>112</v>
      </c>
      <c r="C106" s="54" t="s">
        <v>136</v>
      </c>
      <c r="D106" s="47"/>
      <c r="E106" s="13"/>
      <c r="F106" s="13">
        <v>1</v>
      </c>
      <c r="G106" s="13">
        <v>81.73</v>
      </c>
      <c r="H106" s="87">
        <f t="shared" si="8"/>
        <v>8.1729999999999997E-2</v>
      </c>
      <c r="I106" s="13">
        <v>0</v>
      </c>
    </row>
    <row r="107" spans="1:9" ht="15" hidden="1" customHeight="1">
      <c r="A107" s="29"/>
      <c r="B107" s="92" t="s">
        <v>185</v>
      </c>
      <c r="C107" s="69" t="s">
        <v>78</v>
      </c>
      <c r="D107" s="47"/>
      <c r="E107" s="13"/>
      <c r="F107" s="13">
        <f>1/10</f>
        <v>0.1</v>
      </c>
      <c r="G107" s="13">
        <v>9767.5</v>
      </c>
      <c r="H107" s="87">
        <f>G107*F107/1000</f>
        <v>0.97675000000000001</v>
      </c>
      <c r="I107" s="13">
        <v>0</v>
      </c>
    </row>
    <row r="108" spans="1:9" ht="15.75" customHeight="1">
      <c r="A108" s="29"/>
      <c r="B108" s="45" t="s">
        <v>53</v>
      </c>
      <c r="C108" s="41"/>
      <c r="D108" s="49"/>
      <c r="E108" s="41">
        <v>1</v>
      </c>
      <c r="F108" s="41"/>
      <c r="G108" s="41"/>
      <c r="H108" s="41"/>
      <c r="I108" s="32">
        <f>SUM(I88:I107)</f>
        <v>140.32</v>
      </c>
    </row>
    <row r="109" spans="1:9" ht="15.75" customHeight="1">
      <c r="A109" s="29"/>
      <c r="B109" s="47" t="s">
        <v>82</v>
      </c>
      <c r="C109" s="15"/>
      <c r="D109" s="15"/>
      <c r="E109" s="42"/>
      <c r="F109" s="42"/>
      <c r="G109" s="43"/>
      <c r="H109" s="43"/>
      <c r="I109" s="17">
        <v>0</v>
      </c>
    </row>
    <row r="110" spans="1:9" ht="15.75" customHeight="1">
      <c r="A110" s="50"/>
      <c r="B110" s="46" t="s">
        <v>207</v>
      </c>
      <c r="C110" s="34"/>
      <c r="D110" s="34"/>
      <c r="E110" s="34"/>
      <c r="F110" s="34"/>
      <c r="G110" s="34"/>
      <c r="H110" s="34"/>
      <c r="I110" s="44">
        <f>I86+I108</f>
        <v>46718.762711333344</v>
      </c>
    </row>
    <row r="111" spans="1:9" ht="15.75">
      <c r="A111" s="127" t="s">
        <v>249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15.75">
      <c r="A112" s="63"/>
      <c r="B112" s="128" t="s">
        <v>250</v>
      </c>
      <c r="C112" s="128"/>
      <c r="D112" s="128"/>
      <c r="E112" s="128"/>
      <c r="F112" s="128"/>
      <c r="G112" s="128"/>
      <c r="H112" s="68"/>
      <c r="I112" s="3"/>
    </row>
    <row r="113" spans="1:9">
      <c r="A113" s="59"/>
      <c r="B113" s="115" t="s">
        <v>6</v>
      </c>
      <c r="C113" s="115"/>
      <c r="D113" s="115"/>
      <c r="E113" s="115"/>
      <c r="F113" s="115"/>
      <c r="G113" s="115"/>
      <c r="H113" s="24"/>
      <c r="I113" s="5"/>
    </row>
    <row r="114" spans="1:9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>
      <c r="A115" s="129" t="s">
        <v>7</v>
      </c>
      <c r="B115" s="129"/>
      <c r="C115" s="129"/>
      <c r="D115" s="129"/>
      <c r="E115" s="129"/>
      <c r="F115" s="129"/>
      <c r="G115" s="129"/>
      <c r="H115" s="129"/>
      <c r="I115" s="129"/>
    </row>
    <row r="116" spans="1:9" ht="15.75">
      <c r="A116" s="129" t="s">
        <v>8</v>
      </c>
      <c r="B116" s="129"/>
      <c r="C116" s="129"/>
      <c r="D116" s="129"/>
      <c r="E116" s="129"/>
      <c r="F116" s="129"/>
      <c r="G116" s="129"/>
      <c r="H116" s="129"/>
      <c r="I116" s="129"/>
    </row>
    <row r="117" spans="1:9" ht="15.75">
      <c r="A117" s="119" t="s">
        <v>63</v>
      </c>
      <c r="B117" s="119"/>
      <c r="C117" s="119"/>
      <c r="D117" s="119"/>
      <c r="E117" s="119"/>
      <c r="F117" s="119"/>
      <c r="G117" s="119"/>
      <c r="H117" s="119"/>
      <c r="I117" s="119"/>
    </row>
    <row r="118" spans="1:9" ht="15.75">
      <c r="A118" s="11"/>
    </row>
    <row r="119" spans="1:9" ht="15.75">
      <c r="A119" s="113" t="s">
        <v>9</v>
      </c>
      <c r="B119" s="113"/>
      <c r="C119" s="113"/>
      <c r="D119" s="113"/>
      <c r="E119" s="113"/>
      <c r="F119" s="113"/>
      <c r="G119" s="113"/>
      <c r="H119" s="113"/>
      <c r="I119" s="113"/>
    </row>
    <row r="120" spans="1:9" ht="15.75">
      <c r="A120" s="4"/>
    </row>
    <row r="121" spans="1:9" ht="15.75">
      <c r="B121" s="62" t="s">
        <v>10</v>
      </c>
      <c r="C121" s="114" t="s">
        <v>96</v>
      </c>
      <c r="D121" s="114"/>
      <c r="E121" s="114"/>
      <c r="F121" s="66"/>
      <c r="I121" s="58"/>
    </row>
    <row r="122" spans="1:9">
      <c r="A122" s="59"/>
      <c r="C122" s="115" t="s">
        <v>11</v>
      </c>
      <c r="D122" s="115"/>
      <c r="E122" s="115"/>
      <c r="F122" s="24"/>
      <c r="I122" s="57" t="s">
        <v>12</v>
      </c>
    </row>
    <row r="123" spans="1:9" ht="15.75">
      <c r="A123" s="25"/>
      <c r="C123" s="12"/>
      <c r="D123" s="12"/>
      <c r="G123" s="12"/>
      <c r="H123" s="12"/>
    </row>
    <row r="124" spans="1:9" ht="15.75">
      <c r="B124" s="62" t="s">
        <v>13</v>
      </c>
      <c r="C124" s="116"/>
      <c r="D124" s="116"/>
      <c r="E124" s="116"/>
      <c r="F124" s="67"/>
      <c r="I124" s="58"/>
    </row>
    <row r="125" spans="1:9">
      <c r="A125" s="59"/>
      <c r="C125" s="117" t="s">
        <v>11</v>
      </c>
      <c r="D125" s="117"/>
      <c r="E125" s="117"/>
      <c r="F125" s="59"/>
      <c r="I125" s="57" t="s">
        <v>12</v>
      </c>
    </row>
    <row r="126" spans="1:9" ht="15.75">
      <c r="A126" s="4" t="s">
        <v>14</v>
      </c>
    </row>
    <row r="127" spans="1:9">
      <c r="A127" s="118" t="s">
        <v>15</v>
      </c>
      <c r="B127" s="118"/>
      <c r="C127" s="118"/>
      <c r="D127" s="118"/>
      <c r="E127" s="118"/>
      <c r="F127" s="118"/>
      <c r="G127" s="118"/>
      <c r="H127" s="118"/>
      <c r="I127" s="118"/>
    </row>
    <row r="128" spans="1:9" ht="45" customHeight="1">
      <c r="A128" s="112" t="s">
        <v>16</v>
      </c>
      <c r="B128" s="112"/>
      <c r="C128" s="112"/>
      <c r="D128" s="112"/>
      <c r="E128" s="112"/>
      <c r="F128" s="112"/>
      <c r="G128" s="112"/>
      <c r="H128" s="112"/>
      <c r="I128" s="112"/>
    </row>
    <row r="129" spans="1:9" ht="30" customHeight="1">
      <c r="A129" s="112" t="s">
        <v>17</v>
      </c>
      <c r="B129" s="112"/>
      <c r="C129" s="112"/>
      <c r="D129" s="112"/>
      <c r="E129" s="112"/>
      <c r="F129" s="112"/>
      <c r="G129" s="112"/>
      <c r="H129" s="112"/>
      <c r="I129" s="112"/>
    </row>
    <row r="130" spans="1:9" ht="30" customHeight="1">
      <c r="A130" s="112" t="s">
        <v>21</v>
      </c>
      <c r="B130" s="112"/>
      <c r="C130" s="112"/>
      <c r="D130" s="112"/>
      <c r="E130" s="112"/>
      <c r="F130" s="112"/>
      <c r="G130" s="112"/>
      <c r="H130" s="112"/>
      <c r="I130" s="112"/>
    </row>
    <row r="131" spans="1:9" ht="15.75">
      <c r="A131" s="112" t="s">
        <v>20</v>
      </c>
      <c r="B131" s="112"/>
      <c r="C131" s="112"/>
      <c r="D131" s="112"/>
      <c r="E131" s="112"/>
      <c r="F131" s="112"/>
      <c r="G131" s="112"/>
      <c r="H131" s="112"/>
      <c r="I131" s="112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17:I117"/>
    <mergeCell ref="A15:I15"/>
    <mergeCell ref="A29:I29"/>
    <mergeCell ref="A47:I47"/>
    <mergeCell ref="A58:I58"/>
    <mergeCell ref="A87:I87"/>
    <mergeCell ref="A111:I111"/>
    <mergeCell ref="B112:G112"/>
    <mergeCell ref="B113:G113"/>
    <mergeCell ref="A115:I115"/>
    <mergeCell ref="A116:I116"/>
    <mergeCell ref="A128:I128"/>
    <mergeCell ref="A129:I129"/>
    <mergeCell ref="A130:I130"/>
    <mergeCell ref="A131:I131"/>
    <mergeCell ref="A119:I119"/>
    <mergeCell ref="C121:E121"/>
    <mergeCell ref="C122:E122"/>
    <mergeCell ref="C124:E124"/>
    <mergeCell ref="C125:E125"/>
    <mergeCell ref="A127:I12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189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202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42825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hidden="1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70" t="s">
        <v>165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customHeight="1">
      <c r="A45" s="29">
        <v>11</v>
      </c>
      <c r="B45" s="70" t="s">
        <v>133</v>
      </c>
      <c r="C45" s="71" t="s">
        <v>126</v>
      </c>
      <c r="D45" s="33" t="s">
        <v>251</v>
      </c>
      <c r="E45" s="139">
        <v>68</v>
      </c>
      <c r="F45" s="140">
        <f>SUM(E45*15/1000)</f>
        <v>1.02</v>
      </c>
      <c r="G45" s="139">
        <v>428.7</v>
      </c>
      <c r="H45" s="141">
        <f t="shared" ref="H45" si="4">SUM(F45*G45/1000)</f>
        <v>0.437274</v>
      </c>
      <c r="I45" s="13">
        <f>F45/2*G45</f>
        <v>218.637</v>
      </c>
      <c r="J45" s="23"/>
      <c r="L45" s="19"/>
      <c r="M45" s="20"/>
      <c r="N45" s="21"/>
    </row>
    <row r="46" spans="1:14" ht="15" customHeight="1">
      <c r="A46" s="29">
        <v>12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hidden="1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5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5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5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5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5"/>
        <v>0.124912836</v>
      </c>
      <c r="I52" s="13">
        <v>0</v>
      </c>
      <c r="J52" s="23"/>
      <c r="L52" s="19"/>
      <c r="M52" s="20"/>
      <c r="N52" s="21"/>
    </row>
    <row r="53" spans="1:22" ht="15" hidden="1" customHeight="1">
      <c r="A53" s="29">
        <v>13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5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/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5"/>
        <v>2.1455563999999998</v>
      </c>
      <c r="I54" s="13">
        <v>0</v>
      </c>
      <c r="J54" s="23"/>
      <c r="L54" s="19"/>
      <c r="M54" s="20"/>
      <c r="N54" s="21"/>
    </row>
    <row r="55" spans="1:22" ht="31.5" hidden="1" customHeight="1">
      <c r="A55" s="29"/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5"/>
        <v>1.0921959999999999</v>
      </c>
      <c r="I55" s="13">
        <v>0</v>
      </c>
      <c r="J55" s="23"/>
      <c r="L55" s="19"/>
      <c r="M55" s="20"/>
      <c r="N55" s="21"/>
    </row>
    <row r="56" spans="1:22" ht="15" hidden="1" customHeight="1">
      <c r="A56" s="29"/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5"/>
        <v>0.11304260000000001</v>
      </c>
      <c r="I56" s="13">
        <v>0</v>
      </c>
      <c r="J56" s="23"/>
      <c r="L56" s="19"/>
      <c r="M56" s="20"/>
      <c r="N56" s="21"/>
    </row>
    <row r="57" spans="1:22" ht="15" hidden="1" customHeight="1">
      <c r="A57" s="29">
        <v>14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5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190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customHeight="1">
      <c r="A60" s="29">
        <v>13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14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hidden="1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hidden="1" customHeight="1">
      <c r="A65" s="29">
        <v>15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6">SUM(F65*G65/1000)</f>
        <v>4.4480000000000004</v>
      </c>
      <c r="I65" s="13">
        <f>G65</f>
        <v>222.4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16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6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6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6"/>
        <v>2.08941087</v>
      </c>
      <c r="I68" s="13">
        <f t="shared" ref="I68:I72" si="7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6"/>
        <v>39.417970000000004</v>
      </c>
      <c r="I69" s="13">
        <f t="shared" si="7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6"/>
        <v>0.48217100000000007</v>
      </c>
      <c r="I70" s="13">
        <f t="shared" si="7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6"/>
        <v>0.44985300000000006</v>
      </c>
      <c r="I71" s="13">
        <f t="shared" si="7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6"/>
        <v>0.29928000000000005</v>
      </c>
      <c r="I72" s="13">
        <f t="shared" si="7"/>
        <v>299.28000000000003</v>
      </c>
    </row>
    <row r="73" spans="1:21" ht="15" hidden="1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hidden="1" customHeight="1">
      <c r="A74" s="29"/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v>0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6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6"/>
        <v>0.55188800000000005</v>
      </c>
      <c r="I80" s="13">
        <v>0</v>
      </c>
    </row>
    <row r="81" spans="1:9" ht="15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customHeight="1">
      <c r="A82" s="29">
        <v>15</v>
      </c>
      <c r="B82" s="70" t="s">
        <v>143</v>
      </c>
      <c r="C82" s="16"/>
      <c r="D82" s="14"/>
      <c r="E82" s="65"/>
      <c r="F82" s="13">
        <v>1</v>
      </c>
      <c r="G82" s="37">
        <v>14621.4</v>
      </c>
      <c r="H82" s="87">
        <f>G82*F82/1000</f>
        <v>14.6214</v>
      </c>
      <c r="I82" s="13">
        <f>G82</f>
        <v>14621.4</v>
      </c>
    </row>
    <row r="83" spans="1:9" ht="15.75" customHeight="1">
      <c r="A83" s="130" t="s">
        <v>194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16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17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48"/>
      <c r="B86" s="38" t="s">
        <v>84</v>
      </c>
      <c r="C86" s="40"/>
      <c r="D86" s="15"/>
      <c r="E86" s="15"/>
      <c r="F86" s="15"/>
      <c r="G86" s="18"/>
      <c r="H86" s="18"/>
      <c r="I86" s="32">
        <f>I16+I17+I18+I27+I28+I39+I40+I41+I43+I44+I45+I46+I60+I63+I82+I84+I85</f>
        <v>59678.501511333343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15.75" customHeight="1">
      <c r="A88" s="29">
        <v>18</v>
      </c>
      <c r="B88" s="55" t="s">
        <v>200</v>
      </c>
      <c r="C88" s="56" t="s">
        <v>98</v>
      </c>
      <c r="D88" s="51"/>
      <c r="E88" s="35"/>
      <c r="F88" s="35">
        <f>29/3</f>
        <v>9.6666666666666661</v>
      </c>
      <c r="G88" s="35">
        <v>1120.8900000000001</v>
      </c>
      <c r="H88" s="105">
        <f t="shared" ref="H88:H93" si="8">G88*F88/1000</f>
        <v>10.835270000000001</v>
      </c>
      <c r="I88" s="106">
        <f>G88*(10/3)</f>
        <v>3736.3000000000006</v>
      </c>
    </row>
    <row r="89" spans="1:9" ht="15.75" customHeight="1">
      <c r="A89" s="29">
        <v>19</v>
      </c>
      <c r="B89" s="52" t="s">
        <v>174</v>
      </c>
      <c r="C89" s="54" t="s">
        <v>88</v>
      </c>
      <c r="D89" s="47"/>
      <c r="E89" s="13"/>
      <c r="F89" s="13">
        <v>7</v>
      </c>
      <c r="G89" s="13">
        <v>195.85</v>
      </c>
      <c r="H89" s="87">
        <f t="shared" si="8"/>
        <v>1.3709500000000001</v>
      </c>
      <c r="I89" s="13">
        <f>G89*3</f>
        <v>587.54999999999995</v>
      </c>
    </row>
    <row r="90" spans="1:9" ht="31.5" customHeight="1">
      <c r="A90" s="29">
        <v>20</v>
      </c>
      <c r="B90" s="52" t="s">
        <v>83</v>
      </c>
      <c r="C90" s="54" t="s">
        <v>136</v>
      </c>
      <c r="D90" s="47"/>
      <c r="E90" s="13"/>
      <c r="F90" s="13">
        <v>6</v>
      </c>
      <c r="G90" s="13">
        <v>83.36</v>
      </c>
      <c r="H90" s="87">
        <f t="shared" si="8"/>
        <v>0.50015999999999994</v>
      </c>
      <c r="I90" s="13">
        <f>G90*2</f>
        <v>166.72</v>
      </c>
    </row>
    <row r="91" spans="1:9" ht="31.5" customHeight="1">
      <c r="A91" s="29">
        <v>21</v>
      </c>
      <c r="B91" s="52" t="s">
        <v>203</v>
      </c>
      <c r="C91" s="54" t="s">
        <v>136</v>
      </c>
      <c r="D91" s="47"/>
      <c r="E91" s="13"/>
      <c r="F91" s="13">
        <v>1</v>
      </c>
      <c r="G91" s="13">
        <v>2297.02</v>
      </c>
      <c r="H91" s="87">
        <f t="shared" si="8"/>
        <v>2.2970199999999998</v>
      </c>
      <c r="I91" s="13">
        <f t="shared" ref="I91" si="9">G91</f>
        <v>2297.02</v>
      </c>
    </row>
    <row r="92" spans="1:9" ht="47.25" customHeight="1">
      <c r="A92" s="29">
        <v>22</v>
      </c>
      <c r="B92" s="53" t="s">
        <v>204</v>
      </c>
      <c r="C92" s="29" t="s">
        <v>104</v>
      </c>
      <c r="D92" s="47"/>
      <c r="E92" s="13"/>
      <c r="F92" s="13">
        <f>0.4/10</f>
        <v>0.04</v>
      </c>
      <c r="G92" s="13">
        <v>24148.2</v>
      </c>
      <c r="H92" s="87">
        <f t="shared" si="8"/>
        <v>0.96592800000000001</v>
      </c>
      <c r="I92" s="13">
        <f>G92*(0.4/10)</f>
        <v>965.928</v>
      </c>
    </row>
    <row r="93" spans="1:9" ht="15" customHeight="1">
      <c r="A93" s="29">
        <v>23</v>
      </c>
      <c r="B93" s="52" t="s">
        <v>205</v>
      </c>
      <c r="C93" s="54" t="s">
        <v>206</v>
      </c>
      <c r="D93" s="47"/>
      <c r="E93" s="13"/>
      <c r="F93" s="13">
        <v>1</v>
      </c>
      <c r="G93" s="13">
        <v>306.62</v>
      </c>
      <c r="H93" s="87">
        <f t="shared" si="8"/>
        <v>0.30662</v>
      </c>
      <c r="I93" s="13">
        <f>G93</f>
        <v>306.62</v>
      </c>
    </row>
    <row r="94" spans="1:9" ht="15.75" customHeight="1">
      <c r="A94" s="29"/>
      <c r="B94" s="45" t="s">
        <v>53</v>
      </c>
      <c r="C94" s="41"/>
      <c r="D94" s="49"/>
      <c r="E94" s="41">
        <v>1</v>
      </c>
      <c r="F94" s="41"/>
      <c r="G94" s="41"/>
      <c r="H94" s="41"/>
      <c r="I94" s="32">
        <f>SUM(I88:I93)</f>
        <v>8060.1379999999999</v>
      </c>
    </row>
    <row r="95" spans="1:9" ht="15.75" customHeight="1">
      <c r="A95" s="29"/>
      <c r="B95" s="47" t="s">
        <v>82</v>
      </c>
      <c r="C95" s="15"/>
      <c r="D95" s="15"/>
      <c r="E95" s="42"/>
      <c r="F95" s="42"/>
      <c r="G95" s="43"/>
      <c r="H95" s="43"/>
      <c r="I95" s="17">
        <v>0</v>
      </c>
    </row>
    <row r="96" spans="1:9" ht="15.75" customHeight="1">
      <c r="A96" s="50"/>
      <c r="B96" s="46" t="s">
        <v>207</v>
      </c>
      <c r="C96" s="34"/>
      <c r="D96" s="34"/>
      <c r="E96" s="34"/>
      <c r="F96" s="34"/>
      <c r="G96" s="34"/>
      <c r="H96" s="34"/>
      <c r="I96" s="44">
        <f>I86+I94</f>
        <v>67738.639511333342</v>
      </c>
    </row>
    <row r="97" spans="1:9" ht="15.75">
      <c r="A97" s="127" t="s">
        <v>208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>
      <c r="A98" s="63"/>
      <c r="B98" s="128" t="s">
        <v>209</v>
      </c>
      <c r="C98" s="128"/>
      <c r="D98" s="128"/>
      <c r="E98" s="128"/>
      <c r="F98" s="128"/>
      <c r="G98" s="128"/>
      <c r="H98" s="68"/>
      <c r="I98" s="3"/>
    </row>
    <row r="99" spans="1:9">
      <c r="A99" s="59"/>
      <c r="B99" s="115" t="s">
        <v>6</v>
      </c>
      <c r="C99" s="115"/>
      <c r="D99" s="115"/>
      <c r="E99" s="115"/>
      <c r="F99" s="115"/>
      <c r="G99" s="115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29" t="s">
        <v>7</v>
      </c>
      <c r="B101" s="129"/>
      <c r="C101" s="129"/>
      <c r="D101" s="129"/>
      <c r="E101" s="129"/>
      <c r="F101" s="129"/>
      <c r="G101" s="129"/>
      <c r="H101" s="129"/>
      <c r="I101" s="129"/>
    </row>
    <row r="102" spans="1:9" ht="15.75">
      <c r="A102" s="129" t="s">
        <v>8</v>
      </c>
      <c r="B102" s="129"/>
      <c r="C102" s="129"/>
      <c r="D102" s="129"/>
      <c r="E102" s="129"/>
      <c r="F102" s="129"/>
      <c r="G102" s="129"/>
      <c r="H102" s="129"/>
      <c r="I102" s="129"/>
    </row>
    <row r="103" spans="1:9" ht="15.75">
      <c r="A103" s="119" t="s">
        <v>63</v>
      </c>
      <c r="B103" s="119"/>
      <c r="C103" s="119"/>
      <c r="D103" s="119"/>
      <c r="E103" s="119"/>
      <c r="F103" s="119"/>
      <c r="G103" s="119"/>
      <c r="H103" s="119"/>
      <c r="I103" s="119"/>
    </row>
    <row r="104" spans="1:9" ht="15.75">
      <c r="A104" s="11"/>
    </row>
    <row r="105" spans="1:9" ht="15.75">
      <c r="A105" s="113" t="s">
        <v>9</v>
      </c>
      <c r="B105" s="113"/>
      <c r="C105" s="113"/>
      <c r="D105" s="113"/>
      <c r="E105" s="113"/>
      <c r="F105" s="113"/>
      <c r="G105" s="113"/>
      <c r="H105" s="113"/>
      <c r="I105" s="113"/>
    </row>
    <row r="106" spans="1:9" ht="15.75">
      <c r="A106" s="4"/>
    </row>
    <row r="107" spans="1:9" ht="15.75">
      <c r="B107" s="62" t="s">
        <v>10</v>
      </c>
      <c r="C107" s="114" t="s">
        <v>96</v>
      </c>
      <c r="D107" s="114"/>
      <c r="E107" s="114"/>
      <c r="F107" s="66"/>
      <c r="I107" s="58"/>
    </row>
    <row r="108" spans="1:9">
      <c r="A108" s="59"/>
      <c r="C108" s="115" t="s">
        <v>11</v>
      </c>
      <c r="D108" s="115"/>
      <c r="E108" s="115"/>
      <c r="F108" s="24"/>
      <c r="I108" s="57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62" t="s">
        <v>13</v>
      </c>
      <c r="C110" s="116"/>
      <c r="D110" s="116"/>
      <c r="E110" s="116"/>
      <c r="F110" s="67"/>
      <c r="I110" s="58"/>
    </row>
    <row r="111" spans="1:9">
      <c r="A111" s="59"/>
      <c r="C111" s="117" t="s">
        <v>11</v>
      </c>
      <c r="D111" s="117"/>
      <c r="E111" s="117"/>
      <c r="F111" s="59"/>
      <c r="I111" s="57" t="s">
        <v>12</v>
      </c>
    </row>
    <row r="112" spans="1:9" ht="15.75">
      <c r="A112" s="4" t="s">
        <v>14</v>
      </c>
    </row>
    <row r="113" spans="1:9">
      <c r="A113" s="118" t="s">
        <v>15</v>
      </c>
      <c r="B113" s="118"/>
      <c r="C113" s="118"/>
      <c r="D113" s="118"/>
      <c r="E113" s="118"/>
      <c r="F113" s="118"/>
      <c r="G113" s="118"/>
      <c r="H113" s="118"/>
      <c r="I113" s="118"/>
    </row>
    <row r="114" spans="1:9" ht="45" customHeight="1">
      <c r="A114" s="112" t="s">
        <v>16</v>
      </c>
      <c r="B114" s="112"/>
      <c r="C114" s="112"/>
      <c r="D114" s="112"/>
      <c r="E114" s="112"/>
      <c r="F114" s="112"/>
      <c r="G114" s="112"/>
      <c r="H114" s="112"/>
      <c r="I114" s="112"/>
    </row>
    <row r="115" spans="1:9" ht="30" customHeight="1">
      <c r="A115" s="112" t="s">
        <v>17</v>
      </c>
      <c r="B115" s="112"/>
      <c r="C115" s="112"/>
      <c r="D115" s="112"/>
      <c r="E115" s="112"/>
      <c r="F115" s="112"/>
      <c r="G115" s="112"/>
      <c r="H115" s="112"/>
      <c r="I115" s="112"/>
    </row>
    <row r="116" spans="1:9" ht="30" customHeight="1">
      <c r="A116" s="112" t="s">
        <v>21</v>
      </c>
      <c r="B116" s="112"/>
      <c r="C116" s="112"/>
      <c r="D116" s="112"/>
      <c r="E116" s="112"/>
      <c r="F116" s="112"/>
      <c r="G116" s="112"/>
      <c r="H116" s="112"/>
      <c r="I116" s="112"/>
    </row>
    <row r="117" spans="1:9" ht="15.75">
      <c r="A117" s="112" t="s">
        <v>20</v>
      </c>
      <c r="B117" s="112"/>
      <c r="C117" s="112"/>
      <c r="D117" s="112"/>
      <c r="E117" s="112"/>
      <c r="F117" s="112"/>
      <c r="G117" s="112"/>
      <c r="H117" s="112"/>
      <c r="I117" s="112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03:I103"/>
    <mergeCell ref="A15:I15"/>
    <mergeCell ref="A29:I29"/>
    <mergeCell ref="A47:I47"/>
    <mergeCell ref="A58:I58"/>
    <mergeCell ref="A87:I87"/>
    <mergeCell ref="A97:I97"/>
    <mergeCell ref="B98:G98"/>
    <mergeCell ref="B99:G99"/>
    <mergeCell ref="A101:I101"/>
    <mergeCell ref="A102:I102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191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210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42855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hidden="1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70" t="s">
        <v>165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customHeight="1">
      <c r="A45" s="29">
        <v>11</v>
      </c>
      <c r="B45" s="70" t="s">
        <v>133</v>
      </c>
      <c r="C45" s="71" t="s">
        <v>126</v>
      </c>
      <c r="D45" s="33" t="s">
        <v>251</v>
      </c>
      <c r="E45" s="139">
        <v>68</v>
      </c>
      <c r="F45" s="140">
        <f>SUM(E45*15/1000)</f>
        <v>1.02</v>
      </c>
      <c r="G45" s="139">
        <v>428.7</v>
      </c>
      <c r="H45" s="141">
        <f t="shared" ref="H45" si="4">SUM(F45*G45/1000)</f>
        <v>0.437274</v>
      </c>
      <c r="I45" s="13">
        <f>F45/2*G45</f>
        <v>218.637</v>
      </c>
      <c r="J45" s="23"/>
      <c r="L45" s="19"/>
      <c r="M45" s="20"/>
      <c r="N45" s="21"/>
    </row>
    <row r="46" spans="1:14" ht="15" customHeight="1">
      <c r="A46" s="29">
        <v>12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hidden="1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5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5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5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5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5"/>
        <v>0.124912836</v>
      </c>
      <c r="I52" s="13">
        <v>0</v>
      </c>
      <c r="J52" s="23"/>
      <c r="L52" s="19"/>
      <c r="M52" s="20"/>
      <c r="N52" s="21"/>
    </row>
    <row r="53" spans="1:22" ht="15" hidden="1" customHeight="1">
      <c r="A53" s="29">
        <v>13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5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/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5"/>
        <v>2.1455563999999998</v>
      </c>
      <c r="I54" s="13">
        <v>0</v>
      </c>
      <c r="J54" s="23"/>
      <c r="L54" s="19"/>
      <c r="M54" s="20"/>
      <c r="N54" s="21"/>
    </row>
    <row r="55" spans="1:22" ht="31.5" hidden="1" customHeight="1">
      <c r="A55" s="29"/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5"/>
        <v>1.0921959999999999</v>
      </c>
      <c r="I55" s="13">
        <v>0</v>
      </c>
      <c r="J55" s="23"/>
      <c r="L55" s="19"/>
      <c r="M55" s="20"/>
      <c r="N55" s="21"/>
    </row>
    <row r="56" spans="1:22" ht="15" hidden="1" customHeight="1">
      <c r="A56" s="29"/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5"/>
        <v>0.11304260000000001</v>
      </c>
      <c r="I56" s="13">
        <v>0</v>
      </c>
      <c r="J56" s="23"/>
      <c r="L56" s="19"/>
      <c r="M56" s="20"/>
      <c r="N56" s="21"/>
    </row>
    <row r="57" spans="1:22" ht="15" hidden="1" customHeight="1">
      <c r="A57" s="29">
        <v>13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5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190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customHeight="1">
      <c r="A60" s="29">
        <v>13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14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hidden="1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hidden="1" customHeight="1">
      <c r="A65" s="29">
        <v>16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72" si="6">SUM(F65*G65/1000)</f>
        <v>4.4480000000000004</v>
      </c>
      <c r="I65" s="13">
        <f>G65</f>
        <v>222.4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6"/>
        <v>#VALUE!</v>
      </c>
      <c r="I66" s="13">
        <f>G66*7</f>
        <v>533.75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6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6"/>
        <v>2.08941087</v>
      </c>
      <c r="I68" s="13">
        <f t="shared" ref="I68:I72" si="7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6"/>
        <v>39.417970000000004</v>
      </c>
      <c r="I69" s="13">
        <f t="shared" si="7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6"/>
        <v>0.48217100000000007</v>
      </c>
      <c r="I70" s="13">
        <f t="shared" si="7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6"/>
        <v>0.44985300000000006</v>
      </c>
      <c r="I71" s="13">
        <f t="shared" si="7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6"/>
        <v>0.29928000000000005</v>
      </c>
      <c r="I72" s="13">
        <f t="shared" si="7"/>
        <v>299.28000000000003</v>
      </c>
    </row>
    <row r="73" spans="1:21" ht="15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customHeight="1">
      <c r="A74" s="29">
        <v>15</v>
      </c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f>G74*0.1</f>
        <v>50.162000000000006</v>
      </c>
    </row>
    <row r="75" spans="1:21" ht="15.75" customHeight="1">
      <c r="A75" s="130" t="s">
        <v>194</v>
      </c>
      <c r="B75" s="131"/>
      <c r="C75" s="131"/>
      <c r="D75" s="131"/>
      <c r="E75" s="131"/>
      <c r="F75" s="131"/>
      <c r="G75" s="131"/>
      <c r="H75" s="131"/>
      <c r="I75" s="132"/>
    </row>
    <row r="76" spans="1:21" ht="15" customHeight="1">
      <c r="A76" s="29">
        <v>16</v>
      </c>
      <c r="B76" s="70" t="s">
        <v>146</v>
      </c>
      <c r="C76" s="16" t="s">
        <v>56</v>
      </c>
      <c r="D76" s="91" t="s">
        <v>57</v>
      </c>
      <c r="E76" s="13">
        <v>3031.3</v>
      </c>
      <c r="F76" s="13">
        <f>SUM(E76*12)</f>
        <v>36375.600000000006</v>
      </c>
      <c r="G76" s="13">
        <v>2.1</v>
      </c>
      <c r="H76" s="87">
        <f>SUM(F76*G76/1000)</f>
        <v>76.388760000000005</v>
      </c>
      <c r="I76" s="13">
        <f>F76/12*G76</f>
        <v>6365.7300000000014</v>
      </c>
    </row>
    <row r="77" spans="1:21" ht="31.5" customHeight="1">
      <c r="A77" s="29">
        <v>17</v>
      </c>
      <c r="B77" s="14" t="s">
        <v>81</v>
      </c>
      <c r="C77" s="16"/>
      <c r="D77" s="91" t="s">
        <v>57</v>
      </c>
      <c r="E77" s="72">
        <f>E76</f>
        <v>3031.3</v>
      </c>
      <c r="F77" s="13">
        <f>E77*12</f>
        <v>36375.600000000006</v>
      </c>
      <c r="G77" s="13">
        <v>1.63</v>
      </c>
      <c r="H77" s="87">
        <f>F77*G77/1000</f>
        <v>59.292228000000001</v>
      </c>
      <c r="I77" s="13">
        <f>F77/12*G77</f>
        <v>4941.0190000000011</v>
      </c>
    </row>
    <row r="78" spans="1:21" ht="15.75" customHeight="1">
      <c r="A78" s="48"/>
      <c r="B78" s="38" t="s">
        <v>84</v>
      </c>
      <c r="C78" s="40"/>
      <c r="D78" s="15"/>
      <c r="E78" s="15"/>
      <c r="F78" s="15"/>
      <c r="G78" s="18"/>
      <c r="H78" s="18"/>
      <c r="I78" s="32">
        <f>I16+I17+I18+I27+I28+I39+I40+I41+I43+I44+I45+I46+I60+I63+I74+I76+I77</f>
        <v>45107.263511333338</v>
      </c>
    </row>
    <row r="79" spans="1:21" ht="15.75" customHeight="1">
      <c r="A79" s="124" t="s">
        <v>62</v>
      </c>
      <c r="B79" s="125"/>
      <c r="C79" s="125"/>
      <c r="D79" s="125"/>
      <c r="E79" s="125"/>
      <c r="F79" s="125"/>
      <c r="G79" s="125"/>
      <c r="H79" s="125"/>
      <c r="I79" s="126"/>
    </row>
    <row r="80" spans="1:21" ht="31.5" customHeight="1">
      <c r="A80" s="29">
        <v>18</v>
      </c>
      <c r="B80" s="52" t="s">
        <v>83</v>
      </c>
      <c r="C80" s="54" t="s">
        <v>136</v>
      </c>
      <c r="D80" s="47"/>
      <c r="E80" s="35"/>
      <c r="F80" s="35">
        <v>6</v>
      </c>
      <c r="G80" s="35">
        <v>83.36</v>
      </c>
      <c r="H80" s="105">
        <f t="shared" ref="H80:H83" si="8">G80*F80/1000</f>
        <v>0.50015999999999994</v>
      </c>
      <c r="I80" s="13">
        <f>G80*2</f>
        <v>166.72</v>
      </c>
    </row>
    <row r="81" spans="1:9" ht="31.5" customHeight="1">
      <c r="A81" s="29">
        <v>19</v>
      </c>
      <c r="B81" s="52" t="s">
        <v>156</v>
      </c>
      <c r="C81" s="54" t="s">
        <v>39</v>
      </c>
      <c r="D81" s="107"/>
      <c r="E81" s="35"/>
      <c r="F81" s="35">
        <v>0.03</v>
      </c>
      <c r="G81" s="35">
        <v>3581.13</v>
      </c>
      <c r="H81" s="105">
        <f t="shared" si="8"/>
        <v>0.1074339</v>
      </c>
      <c r="I81" s="13">
        <f>G81*0.01</f>
        <v>35.811300000000003</v>
      </c>
    </row>
    <row r="82" spans="1:9" ht="31.5" customHeight="1">
      <c r="A82" s="29">
        <v>20</v>
      </c>
      <c r="B82" s="55" t="s">
        <v>211</v>
      </c>
      <c r="C82" s="56" t="s">
        <v>104</v>
      </c>
      <c r="D82" s="107"/>
      <c r="E82" s="35"/>
      <c r="F82" s="35">
        <f>0.5/10</f>
        <v>0.05</v>
      </c>
      <c r="G82" s="35">
        <v>9833.11</v>
      </c>
      <c r="H82" s="105">
        <f t="shared" si="8"/>
        <v>0.49165550000000008</v>
      </c>
      <c r="I82" s="13">
        <f>G82*(0.5/10)</f>
        <v>491.65550000000007</v>
      </c>
    </row>
    <row r="83" spans="1:9" ht="15" customHeight="1">
      <c r="A83" s="29">
        <v>21</v>
      </c>
      <c r="B83" s="47" t="s">
        <v>93</v>
      </c>
      <c r="C83" s="16" t="s">
        <v>108</v>
      </c>
      <c r="D83" s="51"/>
      <c r="E83" s="35"/>
      <c r="F83" s="35">
        <v>1.5</v>
      </c>
      <c r="G83" s="35">
        <v>1582</v>
      </c>
      <c r="H83" s="105">
        <f t="shared" si="8"/>
        <v>2.3730000000000002</v>
      </c>
      <c r="I83" s="13">
        <f>G83*1.5</f>
        <v>2373</v>
      </c>
    </row>
    <row r="84" spans="1:9" ht="15.75" customHeight="1">
      <c r="A84" s="29"/>
      <c r="B84" s="45" t="s">
        <v>53</v>
      </c>
      <c r="C84" s="41"/>
      <c r="D84" s="49"/>
      <c r="E84" s="41">
        <v>1</v>
      </c>
      <c r="F84" s="41"/>
      <c r="G84" s="41"/>
      <c r="H84" s="41"/>
      <c r="I84" s="32">
        <f>SUM(I80:I83)</f>
        <v>3067.1867999999999</v>
      </c>
    </row>
    <row r="85" spans="1:9" ht="15.75" customHeight="1">
      <c r="A85" s="29"/>
      <c r="B85" s="47" t="s">
        <v>82</v>
      </c>
      <c r="C85" s="15"/>
      <c r="D85" s="15"/>
      <c r="E85" s="42"/>
      <c r="F85" s="42"/>
      <c r="G85" s="43"/>
      <c r="H85" s="43"/>
      <c r="I85" s="17">
        <v>0</v>
      </c>
    </row>
    <row r="86" spans="1:9" ht="15.75" customHeight="1">
      <c r="A86" s="50"/>
      <c r="B86" s="46" t="s">
        <v>207</v>
      </c>
      <c r="C86" s="34"/>
      <c r="D86" s="34"/>
      <c r="E86" s="34"/>
      <c r="F86" s="34"/>
      <c r="G86" s="34"/>
      <c r="H86" s="34"/>
      <c r="I86" s="44">
        <f>I78+I84</f>
        <v>48174.450311333341</v>
      </c>
    </row>
    <row r="87" spans="1:9" ht="15.75">
      <c r="A87" s="127" t="s">
        <v>212</v>
      </c>
      <c r="B87" s="127"/>
      <c r="C87" s="127"/>
      <c r="D87" s="127"/>
      <c r="E87" s="127"/>
      <c r="F87" s="127"/>
      <c r="G87" s="127"/>
      <c r="H87" s="127"/>
      <c r="I87" s="127"/>
    </row>
    <row r="88" spans="1:9" ht="15.75">
      <c r="A88" s="63"/>
      <c r="B88" s="128" t="s">
        <v>213</v>
      </c>
      <c r="C88" s="128"/>
      <c r="D88" s="128"/>
      <c r="E88" s="128"/>
      <c r="F88" s="128"/>
      <c r="G88" s="128"/>
      <c r="H88" s="68"/>
      <c r="I88" s="3"/>
    </row>
    <row r="89" spans="1:9">
      <c r="A89" s="59"/>
      <c r="B89" s="115" t="s">
        <v>6</v>
      </c>
      <c r="C89" s="115"/>
      <c r="D89" s="115"/>
      <c r="E89" s="115"/>
      <c r="F89" s="115"/>
      <c r="G89" s="115"/>
      <c r="H89" s="24"/>
      <c r="I89" s="5"/>
    </row>
    <row r="90" spans="1:9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29" t="s">
        <v>7</v>
      </c>
      <c r="B91" s="129"/>
      <c r="C91" s="129"/>
      <c r="D91" s="129"/>
      <c r="E91" s="129"/>
      <c r="F91" s="129"/>
      <c r="G91" s="129"/>
      <c r="H91" s="129"/>
      <c r="I91" s="129"/>
    </row>
    <row r="92" spans="1:9" ht="15.75">
      <c r="A92" s="129" t="s">
        <v>8</v>
      </c>
      <c r="B92" s="129"/>
      <c r="C92" s="129"/>
      <c r="D92" s="129"/>
      <c r="E92" s="129"/>
      <c r="F92" s="129"/>
      <c r="G92" s="129"/>
      <c r="H92" s="129"/>
      <c r="I92" s="129"/>
    </row>
    <row r="93" spans="1:9" ht="15.75">
      <c r="A93" s="119" t="s">
        <v>63</v>
      </c>
      <c r="B93" s="119"/>
      <c r="C93" s="119"/>
      <c r="D93" s="119"/>
      <c r="E93" s="119"/>
      <c r="F93" s="119"/>
      <c r="G93" s="119"/>
      <c r="H93" s="119"/>
      <c r="I93" s="119"/>
    </row>
    <row r="94" spans="1:9" ht="15.75">
      <c r="A94" s="11"/>
    </row>
    <row r="95" spans="1:9" ht="15.75">
      <c r="A95" s="113" t="s">
        <v>9</v>
      </c>
      <c r="B95" s="113"/>
      <c r="C95" s="113"/>
      <c r="D95" s="113"/>
      <c r="E95" s="113"/>
      <c r="F95" s="113"/>
      <c r="G95" s="113"/>
      <c r="H95" s="113"/>
      <c r="I95" s="113"/>
    </row>
    <row r="96" spans="1:9" ht="15.75">
      <c r="A96" s="4"/>
    </row>
    <row r="97" spans="1:9" ht="15.75">
      <c r="B97" s="62" t="s">
        <v>10</v>
      </c>
      <c r="C97" s="114" t="s">
        <v>96</v>
      </c>
      <c r="D97" s="114"/>
      <c r="E97" s="114"/>
      <c r="F97" s="66"/>
      <c r="I97" s="58"/>
    </row>
    <row r="98" spans="1:9">
      <c r="A98" s="59"/>
      <c r="C98" s="115" t="s">
        <v>11</v>
      </c>
      <c r="D98" s="115"/>
      <c r="E98" s="115"/>
      <c r="F98" s="24"/>
      <c r="I98" s="57" t="s">
        <v>12</v>
      </c>
    </row>
    <row r="99" spans="1:9" ht="15.75">
      <c r="A99" s="25"/>
      <c r="C99" s="12"/>
      <c r="D99" s="12"/>
      <c r="G99" s="12"/>
      <c r="H99" s="12"/>
    </row>
    <row r="100" spans="1:9" ht="15.75">
      <c r="B100" s="62" t="s">
        <v>13</v>
      </c>
      <c r="C100" s="116"/>
      <c r="D100" s="116"/>
      <c r="E100" s="116"/>
      <c r="F100" s="67"/>
      <c r="I100" s="58"/>
    </row>
    <row r="101" spans="1:9">
      <c r="A101" s="59"/>
      <c r="C101" s="117" t="s">
        <v>11</v>
      </c>
      <c r="D101" s="117"/>
      <c r="E101" s="117"/>
      <c r="F101" s="59"/>
      <c r="I101" s="57" t="s">
        <v>12</v>
      </c>
    </row>
    <row r="102" spans="1:9" ht="15.75">
      <c r="A102" s="4" t="s">
        <v>14</v>
      </c>
    </row>
    <row r="103" spans="1:9">
      <c r="A103" s="118" t="s">
        <v>15</v>
      </c>
      <c r="B103" s="118"/>
      <c r="C103" s="118"/>
      <c r="D103" s="118"/>
      <c r="E103" s="118"/>
      <c r="F103" s="118"/>
      <c r="G103" s="118"/>
      <c r="H103" s="118"/>
      <c r="I103" s="118"/>
    </row>
    <row r="104" spans="1:9" ht="45" customHeight="1">
      <c r="A104" s="112" t="s">
        <v>16</v>
      </c>
      <c r="B104" s="112"/>
      <c r="C104" s="112"/>
      <c r="D104" s="112"/>
      <c r="E104" s="112"/>
      <c r="F104" s="112"/>
      <c r="G104" s="112"/>
      <c r="H104" s="112"/>
      <c r="I104" s="112"/>
    </row>
    <row r="105" spans="1:9" ht="30" customHeight="1">
      <c r="A105" s="112" t="s">
        <v>17</v>
      </c>
      <c r="B105" s="112"/>
      <c r="C105" s="112"/>
      <c r="D105" s="112"/>
      <c r="E105" s="112"/>
      <c r="F105" s="112"/>
      <c r="G105" s="112"/>
      <c r="H105" s="112"/>
      <c r="I105" s="112"/>
    </row>
    <row r="106" spans="1:9" ht="30" customHeight="1">
      <c r="A106" s="112" t="s">
        <v>21</v>
      </c>
      <c r="B106" s="112"/>
      <c r="C106" s="112"/>
      <c r="D106" s="112"/>
      <c r="E106" s="112"/>
      <c r="F106" s="112"/>
      <c r="G106" s="112"/>
      <c r="H106" s="112"/>
      <c r="I106" s="112"/>
    </row>
    <row r="107" spans="1:9" ht="15.75">
      <c r="A107" s="112" t="s">
        <v>20</v>
      </c>
      <c r="B107" s="112"/>
      <c r="C107" s="112"/>
      <c r="D107" s="112"/>
      <c r="E107" s="112"/>
      <c r="F107" s="112"/>
      <c r="G107" s="112"/>
      <c r="H107" s="112"/>
      <c r="I107" s="112"/>
    </row>
  </sheetData>
  <autoFilter ref="I12:I62"/>
  <mergeCells count="29">
    <mergeCell ref="R67:U67"/>
    <mergeCell ref="A75:I75"/>
    <mergeCell ref="A3:I3"/>
    <mergeCell ref="A4:I4"/>
    <mergeCell ref="A5:I5"/>
    <mergeCell ref="A8:I8"/>
    <mergeCell ref="A10:I10"/>
    <mergeCell ref="A14:I14"/>
    <mergeCell ref="A93:I93"/>
    <mergeCell ref="A15:I15"/>
    <mergeCell ref="A29:I29"/>
    <mergeCell ref="A47:I47"/>
    <mergeCell ref="A58:I58"/>
    <mergeCell ref="A79:I79"/>
    <mergeCell ref="A87:I87"/>
    <mergeCell ref="B88:G88"/>
    <mergeCell ref="B89:G89"/>
    <mergeCell ref="A91:I91"/>
    <mergeCell ref="A92:I92"/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192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214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42886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 customHeight="1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customHeight="1">
      <c r="A19" s="29">
        <v>4</v>
      </c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f>F19/2*G19</f>
        <v>347.12639999999999</v>
      </c>
      <c r="J19" s="22"/>
      <c r="K19" s="8"/>
      <c r="L19" s="8"/>
      <c r="M19" s="8"/>
    </row>
    <row r="20" spans="1:13" ht="15" customHeight="1">
      <c r="A20" s="29">
        <v>5</v>
      </c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f>F20*G20</f>
        <v>94.124160000000003</v>
      </c>
      <c r="J20" s="22"/>
      <c r="K20" s="8"/>
      <c r="L20" s="8"/>
      <c r="M20" s="8"/>
    </row>
    <row r="21" spans="1:13" ht="15" customHeight="1">
      <c r="A21" s="29">
        <v>6</v>
      </c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f t="shared" ref="I21:I26" si="1">F21*G21</f>
        <v>21.784896</v>
      </c>
      <c r="J21" s="22"/>
      <c r="K21" s="8"/>
      <c r="L21" s="8"/>
      <c r="M21" s="8"/>
    </row>
    <row r="22" spans="1:13" ht="15" customHeight="1">
      <c r="A22" s="29">
        <v>7</v>
      </c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f t="shared" si="1"/>
        <v>1087.3795839999998</v>
      </c>
      <c r="J22" s="22"/>
      <c r="K22" s="8"/>
      <c r="L22" s="8"/>
      <c r="M22" s="8"/>
    </row>
    <row r="23" spans="1:13" ht="15" customHeight="1">
      <c r="A23" s="29">
        <v>8</v>
      </c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f t="shared" si="1"/>
        <v>31.251024000000001</v>
      </c>
      <c r="J23" s="22"/>
      <c r="K23" s="8"/>
      <c r="L23" s="8"/>
      <c r="M23" s="8"/>
    </row>
    <row r="24" spans="1:13" ht="15" customHeight="1">
      <c r="A24" s="29">
        <v>9</v>
      </c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f t="shared" si="1"/>
        <v>55.820800000000013</v>
      </c>
      <c r="J24" s="22"/>
      <c r="K24" s="8"/>
      <c r="L24" s="8"/>
      <c r="M24" s="8"/>
    </row>
    <row r="25" spans="1:13" ht="15" customHeight="1">
      <c r="A25" s="29">
        <v>10</v>
      </c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" customHeight="1">
      <c r="A26" s="29">
        <v>11</v>
      </c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f t="shared" si="1"/>
        <v>146.96975999999998</v>
      </c>
      <c r="J26" s="22"/>
      <c r="K26" s="8"/>
      <c r="L26" s="8"/>
      <c r="M26" s="8"/>
    </row>
    <row r="27" spans="1:13" ht="15" customHeight="1">
      <c r="A27" s="29">
        <v>12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13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customHeight="1">
      <c r="A31" s="29">
        <v>14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2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customHeight="1">
      <c r="A32" s="29">
        <v>15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2"/>
        <v>1.3717735199999999</v>
      </c>
      <c r="I32" s="13">
        <f t="shared" ref="I32:I35" si="3">F32/6*G32</f>
        <v>228.62891999999999</v>
      </c>
      <c r="J32" s="22"/>
      <c r="K32" s="8"/>
      <c r="L32" s="8"/>
      <c r="M32" s="8"/>
    </row>
    <row r="33" spans="1:14" ht="15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2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customHeight="1">
      <c r="A34" s="29">
        <v>17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3"/>
        <v>1345.4206666666669</v>
      </c>
      <c r="J34" s="22"/>
      <c r="K34" s="8"/>
      <c r="L34" s="8"/>
      <c r="M34" s="8"/>
    </row>
    <row r="35" spans="1:14" ht="15" customHeight="1">
      <c r="A35" s="29">
        <v>18</v>
      </c>
      <c r="B35" s="70" t="s">
        <v>129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3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2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2"/>
        <v>2.27264</v>
      </c>
      <c r="I37" s="13">
        <v>0</v>
      </c>
      <c r="J37" s="23"/>
    </row>
    <row r="38" spans="1:14" ht="15" hidden="1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hidden="1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4">SUM(F39*G39/1000)</f>
        <v>9.1633200000000006</v>
      </c>
      <c r="I39" s="13">
        <f>F39/6*G39</f>
        <v>1527.22</v>
      </c>
      <c r="J39" s="23"/>
    </row>
    <row r="40" spans="1:14" ht="15" hidden="1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4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hidden="1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hidden="1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4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hidden="1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4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4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hidden="1" customHeight="1">
      <c r="A46" s="29">
        <v>12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4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customHeight="1">
      <c r="A48" s="29">
        <v>19</v>
      </c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5">SUM(F48*G48/1000)</f>
        <v>1.7187541239999997</v>
      </c>
      <c r="I48" s="13">
        <f t="shared" ref="I48:I51" si="6">F48/2*G48</f>
        <v>859.37706199999991</v>
      </c>
      <c r="J48" s="23"/>
      <c r="L48" s="19"/>
      <c r="M48" s="20"/>
      <c r="N48" s="21"/>
    </row>
    <row r="49" spans="1:22" ht="15" customHeight="1">
      <c r="A49" s="29">
        <v>20</v>
      </c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5"/>
        <v>6.0265920000000001E-2</v>
      </c>
      <c r="I49" s="13">
        <f t="shared" si="6"/>
        <v>30.132960000000001</v>
      </c>
      <c r="J49" s="23"/>
      <c r="L49" s="19"/>
      <c r="M49" s="20"/>
      <c r="N49" s="21"/>
    </row>
    <row r="50" spans="1:22" ht="15" customHeight="1">
      <c r="A50" s="29">
        <v>21</v>
      </c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5"/>
        <v>1.4357196480000001</v>
      </c>
      <c r="I50" s="13">
        <f t="shared" si="6"/>
        <v>717.859824</v>
      </c>
      <c r="J50" s="23"/>
      <c r="L50" s="19"/>
      <c r="M50" s="20"/>
      <c r="N50" s="21"/>
    </row>
    <row r="51" spans="1:22" ht="15" customHeight="1">
      <c r="A51" s="29">
        <v>22</v>
      </c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5"/>
        <v>2.1771028954</v>
      </c>
      <c r="I51" s="13">
        <f t="shared" si="6"/>
        <v>1088.5514476999999</v>
      </c>
      <c r="J51" s="23"/>
      <c r="L51" s="19"/>
      <c r="M51" s="20"/>
      <c r="N51" s="21"/>
    </row>
    <row r="52" spans="1:22" ht="15" customHeight="1">
      <c r="A52" s="29">
        <v>23</v>
      </c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5"/>
        <v>0.124912836</v>
      </c>
      <c r="I52" s="13">
        <f>F52/2*G52</f>
        <v>62.456417999999999</v>
      </c>
      <c r="J52" s="23"/>
      <c r="L52" s="19"/>
      <c r="M52" s="20"/>
      <c r="N52" s="21"/>
    </row>
    <row r="53" spans="1:22" ht="15" customHeight="1">
      <c r="A53" s="29">
        <v>24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5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customHeight="1">
      <c r="A54" s="29">
        <v>25</v>
      </c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5"/>
        <v>2.1455563999999998</v>
      </c>
      <c r="I54" s="13">
        <f>F54/2*G54</f>
        <v>1072.7782</v>
      </c>
      <c r="J54" s="23"/>
      <c r="L54" s="19"/>
      <c r="M54" s="20"/>
      <c r="N54" s="21"/>
    </row>
    <row r="55" spans="1:22" ht="31.5" customHeight="1">
      <c r="A55" s="29">
        <v>26</v>
      </c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5"/>
        <v>1.0921959999999999</v>
      </c>
      <c r="I55" s="13">
        <f t="shared" ref="I55:I56" si="7">F55/2*G55</f>
        <v>546.09799999999996</v>
      </c>
      <c r="J55" s="23"/>
      <c r="L55" s="19"/>
      <c r="M55" s="20"/>
      <c r="N55" s="21"/>
    </row>
    <row r="56" spans="1:22" ht="15" customHeight="1">
      <c r="A56" s="29">
        <v>27</v>
      </c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5"/>
        <v>0.11304260000000001</v>
      </c>
      <c r="I56" s="13">
        <f t="shared" si="7"/>
        <v>56.521300000000004</v>
      </c>
      <c r="J56" s="23"/>
      <c r="L56" s="19"/>
      <c r="M56" s="20"/>
      <c r="N56" s="21"/>
    </row>
    <row r="57" spans="1:22" ht="15" hidden="1" customHeight="1">
      <c r="A57" s="29">
        <v>14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5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161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hidden="1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hidden="1" customHeight="1">
      <c r="A60" s="29">
        <v>15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28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customHeight="1">
      <c r="A65" s="29">
        <v>29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8">SUM(F65*G65/1000)</f>
        <v>4.4480000000000004</v>
      </c>
      <c r="I65" s="13">
        <f>G65</f>
        <v>222.4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8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customHeight="1">
      <c r="A67" s="29">
        <v>30</v>
      </c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8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customHeight="1">
      <c r="A68" s="29">
        <v>31</v>
      </c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8"/>
        <v>2.08941087</v>
      </c>
      <c r="I68" s="13">
        <f t="shared" ref="I68:I72" si="9">F68*G68</f>
        <v>2089.4108700000002</v>
      </c>
    </row>
    <row r="69" spans="1:21" ht="15" customHeight="1">
      <c r="A69" s="29">
        <v>32</v>
      </c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8"/>
        <v>39.417970000000004</v>
      </c>
      <c r="I69" s="13">
        <f t="shared" si="9"/>
        <v>39417.97</v>
      </c>
    </row>
    <row r="70" spans="1:21" ht="15" customHeight="1">
      <c r="A70" s="29">
        <v>33</v>
      </c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8"/>
        <v>0.48217100000000007</v>
      </c>
      <c r="I70" s="13">
        <f t="shared" si="9"/>
        <v>482.17100000000005</v>
      </c>
    </row>
    <row r="71" spans="1:21" ht="15" customHeight="1">
      <c r="A71" s="29">
        <v>34</v>
      </c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8"/>
        <v>0.44985300000000006</v>
      </c>
      <c r="I71" s="13">
        <f t="shared" si="9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8"/>
        <v>0.29928000000000005</v>
      </c>
      <c r="I72" s="13">
        <f t="shared" si="9"/>
        <v>299.28000000000003</v>
      </c>
    </row>
    <row r="73" spans="1:21" ht="15" hidden="1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hidden="1" customHeight="1">
      <c r="A74" s="29"/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v>0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8"/>
        <v>0.35851</v>
      </c>
      <c r="I77" s="13">
        <v>0</v>
      </c>
    </row>
    <row r="78" spans="1:21" ht="15" hidden="1" customHeight="1">
      <c r="A78" s="29">
        <v>34</v>
      </c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f>G78*6</f>
        <v>5117.9400000000005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8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162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35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36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48"/>
      <c r="B86" s="38" t="s">
        <v>84</v>
      </c>
      <c r="C86" s="40"/>
      <c r="D86" s="15"/>
      <c r="E86" s="15"/>
      <c r="F86" s="15"/>
      <c r="G86" s="18"/>
      <c r="H86" s="18"/>
      <c r="I86" s="32">
        <f>I16+I17+I18+I19+I20+I21+I22+I23+I24+I25+I26+I27+I28+I31+I32+I33+I34+I35+I48+I49+I50+I51+I52+I53+I54+I55+I56+I63+I65+I67+I68+I69+I70+I71+I84+I85</f>
        <v>118848.78250555557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15.75" customHeight="1">
      <c r="A88" s="29">
        <v>37</v>
      </c>
      <c r="B88" s="52" t="s">
        <v>200</v>
      </c>
      <c r="C88" s="54" t="s">
        <v>98</v>
      </c>
      <c r="D88" s="47"/>
      <c r="E88" s="13"/>
      <c r="F88" s="13">
        <f>29/3</f>
        <v>9.6666666666666661</v>
      </c>
      <c r="G88" s="13">
        <v>1120.8900000000001</v>
      </c>
      <c r="H88" s="87">
        <f t="shared" ref="H88:H89" si="10">G88*F88/1000</f>
        <v>10.835270000000001</v>
      </c>
      <c r="I88" s="13">
        <f>G88</f>
        <v>1120.8900000000001</v>
      </c>
    </row>
    <row r="89" spans="1:9" ht="31.5" customHeight="1">
      <c r="A89" s="29">
        <v>38</v>
      </c>
      <c r="B89" s="52" t="s">
        <v>157</v>
      </c>
      <c r="C89" s="54" t="s">
        <v>85</v>
      </c>
      <c r="D89" s="47"/>
      <c r="E89" s="13"/>
      <c r="F89" s="13">
        <v>1.5</v>
      </c>
      <c r="G89" s="13">
        <v>1187</v>
      </c>
      <c r="H89" s="87">
        <f t="shared" si="10"/>
        <v>1.7805</v>
      </c>
      <c r="I89" s="13">
        <f>G89*1.5</f>
        <v>1780.5</v>
      </c>
    </row>
    <row r="90" spans="1:9" ht="31.5" customHeight="1">
      <c r="A90" s="29">
        <v>39</v>
      </c>
      <c r="B90" s="52" t="s">
        <v>95</v>
      </c>
      <c r="C90" s="54" t="s">
        <v>99</v>
      </c>
      <c r="D90" s="47"/>
      <c r="E90" s="13"/>
      <c r="F90" s="13">
        <v>3</v>
      </c>
      <c r="G90" s="13">
        <v>589.84</v>
      </c>
      <c r="H90" s="87">
        <f>G90*F90/1000</f>
        <v>1.76952</v>
      </c>
      <c r="I90" s="13">
        <f>G90</f>
        <v>589.84</v>
      </c>
    </row>
    <row r="91" spans="1:9" ht="15.75" customHeight="1">
      <c r="A91" s="29"/>
      <c r="B91" s="45" t="s">
        <v>53</v>
      </c>
      <c r="C91" s="41"/>
      <c r="D91" s="49"/>
      <c r="E91" s="41">
        <v>1</v>
      </c>
      <c r="F91" s="41"/>
      <c r="G91" s="41"/>
      <c r="H91" s="41"/>
      <c r="I91" s="32">
        <f>SUM(I88:I90)</f>
        <v>3491.2300000000005</v>
      </c>
    </row>
    <row r="92" spans="1:9" ht="15.75" customHeight="1">
      <c r="A92" s="29"/>
      <c r="B92" s="47" t="s">
        <v>82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0"/>
      <c r="B93" s="46" t="s">
        <v>207</v>
      </c>
      <c r="C93" s="34"/>
      <c r="D93" s="34"/>
      <c r="E93" s="34"/>
      <c r="F93" s="34"/>
      <c r="G93" s="34"/>
      <c r="H93" s="34"/>
      <c r="I93" s="44">
        <f>I86+I91</f>
        <v>122340.01250555557</v>
      </c>
    </row>
    <row r="94" spans="1:9" ht="15.75">
      <c r="A94" s="127" t="s">
        <v>216</v>
      </c>
      <c r="B94" s="127"/>
      <c r="C94" s="127"/>
      <c r="D94" s="127"/>
      <c r="E94" s="127"/>
      <c r="F94" s="127"/>
      <c r="G94" s="127"/>
      <c r="H94" s="127"/>
      <c r="I94" s="127"/>
    </row>
    <row r="95" spans="1:9" ht="15.75">
      <c r="A95" s="63"/>
      <c r="B95" s="128" t="s">
        <v>217</v>
      </c>
      <c r="C95" s="128"/>
      <c r="D95" s="128"/>
      <c r="E95" s="128"/>
      <c r="F95" s="128"/>
      <c r="G95" s="128"/>
      <c r="H95" s="68"/>
      <c r="I95" s="3"/>
    </row>
    <row r="96" spans="1:9">
      <c r="A96" s="59"/>
      <c r="B96" s="115" t="s">
        <v>6</v>
      </c>
      <c r="C96" s="115"/>
      <c r="D96" s="115"/>
      <c r="E96" s="115"/>
      <c r="F96" s="115"/>
      <c r="G96" s="115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29" t="s">
        <v>7</v>
      </c>
      <c r="B98" s="129"/>
      <c r="C98" s="129"/>
      <c r="D98" s="129"/>
      <c r="E98" s="129"/>
      <c r="F98" s="129"/>
      <c r="G98" s="129"/>
      <c r="H98" s="129"/>
      <c r="I98" s="129"/>
    </row>
    <row r="99" spans="1:9" ht="15.75">
      <c r="A99" s="129" t="s">
        <v>8</v>
      </c>
      <c r="B99" s="129"/>
      <c r="C99" s="129"/>
      <c r="D99" s="129"/>
      <c r="E99" s="129"/>
      <c r="F99" s="129"/>
      <c r="G99" s="129"/>
      <c r="H99" s="129"/>
      <c r="I99" s="129"/>
    </row>
    <row r="100" spans="1:9" ht="15.75">
      <c r="A100" s="119" t="s">
        <v>63</v>
      </c>
      <c r="B100" s="119"/>
      <c r="C100" s="119"/>
      <c r="D100" s="119"/>
      <c r="E100" s="119"/>
      <c r="F100" s="119"/>
      <c r="G100" s="119"/>
      <c r="H100" s="119"/>
      <c r="I100" s="119"/>
    </row>
    <row r="101" spans="1:9" ht="15.75">
      <c r="A101" s="11"/>
    </row>
    <row r="102" spans="1:9" ht="15.75">
      <c r="A102" s="113" t="s">
        <v>9</v>
      </c>
      <c r="B102" s="113"/>
      <c r="C102" s="113"/>
      <c r="D102" s="113"/>
      <c r="E102" s="113"/>
      <c r="F102" s="113"/>
      <c r="G102" s="113"/>
      <c r="H102" s="113"/>
      <c r="I102" s="113"/>
    </row>
    <row r="103" spans="1:9" ht="15.75">
      <c r="A103" s="4"/>
    </row>
    <row r="104" spans="1:9" ht="15.75">
      <c r="B104" s="62" t="s">
        <v>10</v>
      </c>
      <c r="C104" s="114" t="s">
        <v>96</v>
      </c>
      <c r="D104" s="114"/>
      <c r="E104" s="114"/>
      <c r="F104" s="66"/>
      <c r="I104" s="58"/>
    </row>
    <row r="105" spans="1:9">
      <c r="A105" s="59"/>
      <c r="C105" s="115" t="s">
        <v>11</v>
      </c>
      <c r="D105" s="115"/>
      <c r="E105" s="115"/>
      <c r="F105" s="24"/>
      <c r="I105" s="57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62" t="s">
        <v>13</v>
      </c>
      <c r="C107" s="116"/>
      <c r="D107" s="116"/>
      <c r="E107" s="116"/>
      <c r="F107" s="67"/>
      <c r="I107" s="58"/>
    </row>
    <row r="108" spans="1:9">
      <c r="A108" s="59"/>
      <c r="C108" s="117" t="s">
        <v>11</v>
      </c>
      <c r="D108" s="117"/>
      <c r="E108" s="117"/>
      <c r="F108" s="59"/>
      <c r="I108" s="57" t="s">
        <v>12</v>
      </c>
    </row>
    <row r="109" spans="1:9" ht="15.75">
      <c r="A109" s="4" t="s">
        <v>14</v>
      </c>
    </row>
    <row r="110" spans="1:9">
      <c r="A110" s="118" t="s">
        <v>15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45" customHeight="1">
      <c r="A111" s="112" t="s">
        <v>16</v>
      </c>
      <c r="B111" s="112"/>
      <c r="C111" s="112"/>
      <c r="D111" s="112"/>
      <c r="E111" s="112"/>
      <c r="F111" s="112"/>
      <c r="G111" s="112"/>
      <c r="H111" s="112"/>
      <c r="I111" s="112"/>
    </row>
    <row r="112" spans="1:9" ht="30" customHeight="1">
      <c r="A112" s="112" t="s">
        <v>17</v>
      </c>
      <c r="B112" s="112"/>
      <c r="C112" s="112"/>
      <c r="D112" s="112"/>
      <c r="E112" s="112"/>
      <c r="F112" s="112"/>
      <c r="G112" s="112"/>
      <c r="H112" s="112"/>
      <c r="I112" s="112"/>
    </row>
    <row r="113" spans="1:9" ht="30" customHeight="1">
      <c r="A113" s="112" t="s">
        <v>21</v>
      </c>
      <c r="B113" s="112"/>
      <c r="C113" s="112"/>
      <c r="D113" s="112"/>
      <c r="E113" s="112"/>
      <c r="F113" s="112"/>
      <c r="G113" s="112"/>
      <c r="H113" s="112"/>
      <c r="I113" s="112"/>
    </row>
    <row r="114" spans="1:9" ht="15.75">
      <c r="A114" s="112" t="s">
        <v>20</v>
      </c>
      <c r="B114" s="112"/>
      <c r="C114" s="112"/>
      <c r="D114" s="112"/>
      <c r="E114" s="112"/>
      <c r="F114" s="112"/>
      <c r="G114" s="112"/>
      <c r="H114" s="112"/>
      <c r="I114" s="112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00:I100"/>
    <mergeCell ref="A15:I15"/>
    <mergeCell ref="A29:I29"/>
    <mergeCell ref="A47:I47"/>
    <mergeCell ref="A58:I58"/>
    <mergeCell ref="A87:I87"/>
    <mergeCell ref="A94:I94"/>
    <mergeCell ref="B95:G95"/>
    <mergeCell ref="B96:G96"/>
    <mergeCell ref="A98:I98"/>
    <mergeCell ref="A99:I99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193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218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42916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customHeight="1">
      <c r="A35" s="29">
        <v>9</v>
      </c>
      <c r="B35" s="70" t="s">
        <v>129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hidden="1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hidden="1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hidden="1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hidden="1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hidden="1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hidden="1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3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hidden="1" customHeight="1">
      <c r="A46" s="29">
        <v>12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4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4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4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4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4"/>
        <v>0.124912836</v>
      </c>
      <c r="I52" s="13">
        <v>0</v>
      </c>
      <c r="J52" s="23"/>
      <c r="L52" s="19"/>
      <c r="M52" s="20"/>
      <c r="N52" s="21"/>
    </row>
    <row r="53" spans="1:22" ht="15" hidden="1" customHeight="1">
      <c r="A53" s="29">
        <v>13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4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/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4"/>
        <v>2.1455563999999998</v>
      </c>
      <c r="I54" s="13">
        <v>0</v>
      </c>
      <c r="J54" s="23"/>
      <c r="L54" s="19"/>
      <c r="M54" s="20"/>
      <c r="N54" s="21"/>
    </row>
    <row r="55" spans="1:22" ht="31.5" hidden="1" customHeight="1">
      <c r="A55" s="29"/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4"/>
        <v>1.0921959999999999</v>
      </c>
      <c r="I55" s="13">
        <v>0</v>
      </c>
      <c r="J55" s="23"/>
      <c r="L55" s="19"/>
      <c r="M55" s="20"/>
      <c r="N55" s="21"/>
    </row>
    <row r="56" spans="1:22" ht="15" hidden="1" customHeight="1">
      <c r="A56" s="29"/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4"/>
        <v>0.11304260000000001</v>
      </c>
      <c r="I56" s="13">
        <v>0</v>
      </c>
      <c r="J56" s="23"/>
      <c r="L56" s="19"/>
      <c r="M56" s="20"/>
      <c r="N56" s="21"/>
    </row>
    <row r="57" spans="1:22" ht="15" customHeight="1">
      <c r="A57" s="29">
        <v>10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161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hidden="1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hidden="1" customHeight="1">
      <c r="A60" s="29">
        <v>15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11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customHeight="1">
      <c r="A65" s="29">
        <v>12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5">SUM(F65*G65/1000)</f>
        <v>4.4480000000000004</v>
      </c>
      <c r="I65" s="13">
        <f>G65*2</f>
        <v>444.8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5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5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5"/>
        <v>2.08941087</v>
      </c>
      <c r="I68" s="13">
        <f t="shared" ref="I68:I72" si="6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5"/>
        <v>39.417970000000004</v>
      </c>
      <c r="I69" s="13">
        <f t="shared" si="6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5"/>
        <v>0.48217100000000007</v>
      </c>
      <c r="I70" s="13">
        <f t="shared" si="6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5"/>
        <v>0.44985300000000006</v>
      </c>
      <c r="I71" s="13">
        <f t="shared" si="6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5"/>
        <v>0.29928000000000005</v>
      </c>
      <c r="I72" s="13">
        <f t="shared" si="6"/>
        <v>299.28000000000003</v>
      </c>
    </row>
    <row r="73" spans="1:21" ht="15" hidden="1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hidden="1" customHeight="1">
      <c r="A74" s="29"/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v>0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5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5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162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13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14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48"/>
      <c r="B86" s="38" t="s">
        <v>84</v>
      </c>
      <c r="C86" s="40"/>
      <c r="D86" s="15"/>
      <c r="E86" s="15"/>
      <c r="F86" s="15"/>
      <c r="G86" s="18"/>
      <c r="H86" s="18"/>
      <c r="I86" s="32">
        <f>I16+I17+I18+I27+I28+I31+I32+I34+I35+I57+I63+I65+I84+I85</f>
        <v>49229.103954955564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15" customHeight="1">
      <c r="A88" s="29">
        <v>15</v>
      </c>
      <c r="B88" s="52" t="s">
        <v>200</v>
      </c>
      <c r="C88" s="54" t="s">
        <v>98</v>
      </c>
      <c r="D88" s="47"/>
      <c r="E88" s="13"/>
      <c r="F88" s="13">
        <f>29/3</f>
        <v>9.6666666666666661</v>
      </c>
      <c r="G88" s="13">
        <v>1120.8900000000001</v>
      </c>
      <c r="H88" s="87">
        <f t="shared" ref="H88:H92" si="7">G88*F88/1000</f>
        <v>10.835270000000001</v>
      </c>
      <c r="I88" s="13">
        <f>G88</f>
        <v>1120.8900000000001</v>
      </c>
    </row>
    <row r="89" spans="1:9" ht="15" customHeight="1">
      <c r="A89" s="29">
        <v>16</v>
      </c>
      <c r="B89" s="52" t="s">
        <v>86</v>
      </c>
      <c r="C89" s="54" t="s">
        <v>136</v>
      </c>
      <c r="D89" s="47"/>
      <c r="E89" s="13"/>
      <c r="F89" s="13">
        <v>3</v>
      </c>
      <c r="G89" s="13">
        <v>189.88</v>
      </c>
      <c r="H89" s="87">
        <f t="shared" si="7"/>
        <v>0.56964000000000004</v>
      </c>
      <c r="I89" s="13">
        <f>G89</f>
        <v>189.88</v>
      </c>
    </row>
    <row r="90" spans="1:9" ht="15" customHeight="1">
      <c r="A90" s="29">
        <v>17</v>
      </c>
      <c r="B90" s="52" t="s">
        <v>174</v>
      </c>
      <c r="C90" s="54" t="s">
        <v>88</v>
      </c>
      <c r="D90" s="47"/>
      <c r="E90" s="13"/>
      <c r="F90" s="13">
        <v>7</v>
      </c>
      <c r="G90" s="13">
        <v>195.85</v>
      </c>
      <c r="H90" s="87">
        <f t="shared" si="7"/>
        <v>1.3709500000000001</v>
      </c>
      <c r="I90" s="13">
        <f>G90*2</f>
        <v>391.7</v>
      </c>
    </row>
    <row r="91" spans="1:9" ht="31.5" customHeight="1">
      <c r="A91" s="29">
        <v>18</v>
      </c>
      <c r="B91" s="52" t="s">
        <v>158</v>
      </c>
      <c r="C91" s="54" t="s">
        <v>85</v>
      </c>
      <c r="D91" s="47"/>
      <c r="E91" s="35"/>
      <c r="F91" s="35">
        <v>2</v>
      </c>
      <c r="G91" s="35">
        <v>1272</v>
      </c>
      <c r="H91" s="105">
        <f t="shared" si="7"/>
        <v>2.544</v>
      </c>
      <c r="I91" s="13">
        <f>G91</f>
        <v>1272</v>
      </c>
    </row>
    <row r="92" spans="1:9" ht="31.5" customHeight="1">
      <c r="A92" s="29">
        <v>19</v>
      </c>
      <c r="B92" s="53" t="s">
        <v>154</v>
      </c>
      <c r="C92" s="29" t="s">
        <v>155</v>
      </c>
      <c r="D92" s="47"/>
      <c r="E92" s="35"/>
      <c r="F92" s="35">
        <v>2</v>
      </c>
      <c r="G92" s="35">
        <v>1934.94</v>
      </c>
      <c r="H92" s="105">
        <f t="shared" si="7"/>
        <v>3.8698800000000002</v>
      </c>
      <c r="I92" s="13">
        <f>G92*2</f>
        <v>3869.88</v>
      </c>
    </row>
    <row r="93" spans="1:9" ht="31.5" customHeight="1">
      <c r="A93" s="29">
        <v>20</v>
      </c>
      <c r="B93" s="53" t="s">
        <v>172</v>
      </c>
      <c r="C93" s="29" t="s">
        <v>155</v>
      </c>
      <c r="D93" s="47"/>
      <c r="E93" s="35"/>
      <c r="F93" s="35">
        <v>2</v>
      </c>
      <c r="G93" s="35">
        <v>403.69</v>
      </c>
      <c r="H93" s="105">
        <f>G93*F93/1000</f>
        <v>0.80737999999999999</v>
      </c>
      <c r="I93" s="13">
        <f>G93*2</f>
        <v>807.38</v>
      </c>
    </row>
    <row r="94" spans="1:9" ht="31.5" customHeight="1">
      <c r="A94" s="29">
        <v>21</v>
      </c>
      <c r="B94" s="108" t="s">
        <v>219</v>
      </c>
      <c r="C94" s="40" t="s">
        <v>120</v>
      </c>
      <c r="D94" s="47"/>
      <c r="E94" s="35"/>
      <c r="F94" s="35">
        <f>0.3/10</f>
        <v>0.03</v>
      </c>
      <c r="G94" s="35">
        <v>41341.03</v>
      </c>
      <c r="H94" s="105">
        <f>G94*F94/1000</f>
        <v>1.2402309</v>
      </c>
      <c r="I94" s="13">
        <f>G94*0.03</f>
        <v>1240.2309</v>
      </c>
    </row>
    <row r="95" spans="1:9" ht="15.75" customHeight="1">
      <c r="A95" s="29"/>
      <c r="B95" s="45" t="s">
        <v>53</v>
      </c>
      <c r="C95" s="41"/>
      <c r="D95" s="49"/>
      <c r="E95" s="41">
        <v>1</v>
      </c>
      <c r="F95" s="41"/>
      <c r="G95" s="41"/>
      <c r="H95" s="41"/>
      <c r="I95" s="32">
        <f>SUM(I88:I94)</f>
        <v>8891.9609</v>
      </c>
    </row>
    <row r="96" spans="1:9" ht="15.75" customHeight="1">
      <c r="A96" s="29"/>
      <c r="B96" s="47" t="s">
        <v>82</v>
      </c>
      <c r="C96" s="15"/>
      <c r="D96" s="15"/>
      <c r="E96" s="42"/>
      <c r="F96" s="42"/>
      <c r="G96" s="43"/>
      <c r="H96" s="43"/>
      <c r="I96" s="17">
        <v>0</v>
      </c>
    </row>
    <row r="97" spans="1:9" ht="15.75" customHeight="1">
      <c r="A97" s="50"/>
      <c r="B97" s="46" t="s">
        <v>207</v>
      </c>
      <c r="C97" s="34"/>
      <c r="D97" s="34"/>
      <c r="E97" s="34"/>
      <c r="F97" s="34"/>
      <c r="G97" s="34"/>
      <c r="H97" s="34"/>
      <c r="I97" s="44">
        <f>I86+I95</f>
        <v>58121.064854955563</v>
      </c>
    </row>
    <row r="98" spans="1:9" ht="15.75">
      <c r="A98" s="127" t="s">
        <v>220</v>
      </c>
      <c r="B98" s="127"/>
      <c r="C98" s="127"/>
      <c r="D98" s="127"/>
      <c r="E98" s="127"/>
      <c r="F98" s="127"/>
      <c r="G98" s="127"/>
      <c r="H98" s="127"/>
      <c r="I98" s="127"/>
    </row>
    <row r="99" spans="1:9" ht="15.75">
      <c r="A99" s="63"/>
      <c r="B99" s="128" t="s">
        <v>221</v>
      </c>
      <c r="C99" s="128"/>
      <c r="D99" s="128"/>
      <c r="E99" s="128"/>
      <c r="F99" s="128"/>
      <c r="G99" s="128"/>
      <c r="H99" s="68"/>
      <c r="I99" s="3"/>
    </row>
    <row r="100" spans="1:9">
      <c r="A100" s="59"/>
      <c r="B100" s="115" t="s">
        <v>6</v>
      </c>
      <c r="C100" s="115"/>
      <c r="D100" s="115"/>
      <c r="E100" s="115"/>
      <c r="F100" s="115"/>
      <c r="G100" s="115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29" t="s">
        <v>7</v>
      </c>
      <c r="B102" s="129"/>
      <c r="C102" s="129"/>
      <c r="D102" s="129"/>
      <c r="E102" s="129"/>
      <c r="F102" s="129"/>
      <c r="G102" s="129"/>
      <c r="H102" s="129"/>
      <c r="I102" s="129"/>
    </row>
    <row r="103" spans="1:9" ht="15.75">
      <c r="A103" s="129" t="s">
        <v>8</v>
      </c>
      <c r="B103" s="129"/>
      <c r="C103" s="129"/>
      <c r="D103" s="129"/>
      <c r="E103" s="129"/>
      <c r="F103" s="129"/>
      <c r="G103" s="129"/>
      <c r="H103" s="129"/>
      <c r="I103" s="129"/>
    </row>
    <row r="104" spans="1:9" ht="15.75">
      <c r="A104" s="119" t="s">
        <v>63</v>
      </c>
      <c r="B104" s="119"/>
      <c r="C104" s="119"/>
      <c r="D104" s="119"/>
      <c r="E104" s="119"/>
      <c r="F104" s="119"/>
      <c r="G104" s="119"/>
      <c r="H104" s="119"/>
      <c r="I104" s="119"/>
    </row>
    <row r="105" spans="1:9" ht="15.75">
      <c r="A105" s="11"/>
    </row>
    <row r="106" spans="1:9" ht="15.75">
      <c r="A106" s="113" t="s">
        <v>9</v>
      </c>
      <c r="B106" s="113"/>
      <c r="C106" s="113"/>
      <c r="D106" s="113"/>
      <c r="E106" s="113"/>
      <c r="F106" s="113"/>
      <c r="G106" s="113"/>
      <c r="H106" s="113"/>
      <c r="I106" s="113"/>
    </row>
    <row r="107" spans="1:9" ht="15.75">
      <c r="A107" s="4"/>
    </row>
    <row r="108" spans="1:9" ht="15.75">
      <c r="B108" s="62" t="s">
        <v>10</v>
      </c>
      <c r="C108" s="114" t="s">
        <v>96</v>
      </c>
      <c r="D108" s="114"/>
      <c r="E108" s="114"/>
      <c r="F108" s="66"/>
      <c r="I108" s="58"/>
    </row>
    <row r="109" spans="1:9">
      <c r="A109" s="59"/>
      <c r="C109" s="115" t="s">
        <v>11</v>
      </c>
      <c r="D109" s="115"/>
      <c r="E109" s="115"/>
      <c r="F109" s="24"/>
      <c r="I109" s="57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62" t="s">
        <v>13</v>
      </c>
      <c r="C111" s="116"/>
      <c r="D111" s="116"/>
      <c r="E111" s="116"/>
      <c r="F111" s="67"/>
      <c r="I111" s="58"/>
    </row>
    <row r="112" spans="1:9">
      <c r="A112" s="59"/>
      <c r="C112" s="117" t="s">
        <v>11</v>
      </c>
      <c r="D112" s="117"/>
      <c r="E112" s="117"/>
      <c r="F112" s="59"/>
      <c r="I112" s="57" t="s">
        <v>12</v>
      </c>
    </row>
    <row r="113" spans="1:9" ht="15.75">
      <c r="A113" s="4" t="s">
        <v>14</v>
      </c>
    </row>
    <row r="114" spans="1:9">
      <c r="A114" s="118" t="s">
        <v>15</v>
      </c>
      <c r="B114" s="118"/>
      <c r="C114" s="118"/>
      <c r="D114" s="118"/>
      <c r="E114" s="118"/>
      <c r="F114" s="118"/>
      <c r="G114" s="118"/>
      <c r="H114" s="118"/>
      <c r="I114" s="118"/>
    </row>
    <row r="115" spans="1:9" ht="45" customHeight="1">
      <c r="A115" s="112" t="s">
        <v>16</v>
      </c>
      <c r="B115" s="112"/>
      <c r="C115" s="112"/>
      <c r="D115" s="112"/>
      <c r="E115" s="112"/>
      <c r="F115" s="112"/>
      <c r="G115" s="112"/>
      <c r="H115" s="112"/>
      <c r="I115" s="112"/>
    </row>
    <row r="116" spans="1:9" ht="30" customHeight="1">
      <c r="A116" s="112" t="s">
        <v>17</v>
      </c>
      <c r="B116" s="112"/>
      <c r="C116" s="112"/>
      <c r="D116" s="112"/>
      <c r="E116" s="112"/>
      <c r="F116" s="112"/>
      <c r="G116" s="112"/>
      <c r="H116" s="112"/>
      <c r="I116" s="112"/>
    </row>
    <row r="117" spans="1:9" ht="30" customHeight="1">
      <c r="A117" s="112" t="s">
        <v>21</v>
      </c>
      <c r="B117" s="112"/>
      <c r="C117" s="112"/>
      <c r="D117" s="112"/>
      <c r="E117" s="112"/>
      <c r="F117" s="112"/>
      <c r="G117" s="112"/>
      <c r="H117" s="112"/>
      <c r="I117" s="112"/>
    </row>
    <row r="118" spans="1:9" ht="15.75">
      <c r="A118" s="112" t="s">
        <v>20</v>
      </c>
      <c r="B118" s="112"/>
      <c r="C118" s="112"/>
      <c r="D118" s="112"/>
      <c r="E118" s="112"/>
      <c r="F118" s="112"/>
      <c r="G118" s="112"/>
      <c r="H118" s="112"/>
      <c r="I118" s="112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04:I104"/>
    <mergeCell ref="A15:I15"/>
    <mergeCell ref="A29:I29"/>
    <mergeCell ref="A47:I47"/>
    <mergeCell ref="A58:I58"/>
    <mergeCell ref="A87:I87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195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222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42947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customHeight="1">
      <c r="A35" s="29">
        <v>9</v>
      </c>
      <c r="B35" s="70" t="s">
        <v>129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hidden="1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hidden="1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hidden="1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hidden="1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hidden="1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hidden="1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3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hidden="1" customHeight="1">
      <c r="A46" s="29">
        <v>12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hidden="1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4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4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4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4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4"/>
        <v>0.124912836</v>
      </c>
      <c r="I52" s="13">
        <v>0</v>
      </c>
      <c r="J52" s="23"/>
      <c r="L52" s="19"/>
      <c r="M52" s="20"/>
      <c r="N52" s="21"/>
    </row>
    <row r="53" spans="1:22" ht="15" hidden="1" customHeight="1">
      <c r="A53" s="29">
        <v>13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4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/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4"/>
        <v>2.1455563999999998</v>
      </c>
      <c r="I54" s="13">
        <v>0</v>
      </c>
      <c r="J54" s="23"/>
      <c r="L54" s="19"/>
      <c r="M54" s="20"/>
      <c r="N54" s="21"/>
    </row>
    <row r="55" spans="1:22" ht="31.5" hidden="1" customHeight="1">
      <c r="A55" s="29"/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4"/>
        <v>1.0921959999999999</v>
      </c>
      <c r="I55" s="13">
        <v>0</v>
      </c>
      <c r="J55" s="23"/>
      <c r="L55" s="19"/>
      <c r="M55" s="20"/>
      <c r="N55" s="21"/>
    </row>
    <row r="56" spans="1:22" ht="15" hidden="1" customHeight="1">
      <c r="A56" s="29"/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4"/>
        <v>0.11304260000000001</v>
      </c>
      <c r="I56" s="13">
        <v>0</v>
      </c>
      <c r="J56" s="23"/>
      <c r="L56" s="19"/>
      <c r="M56" s="20"/>
      <c r="N56" s="21"/>
    </row>
    <row r="57" spans="1:22" ht="15" hidden="1" customHeight="1">
      <c r="A57" s="29">
        <v>14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190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hidden="1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hidden="1" customHeight="1">
      <c r="A60" s="29">
        <v>15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10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hidden="1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hidden="1" customHeight="1">
      <c r="A65" s="29"/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5">SUM(F65*G65/1000)</f>
        <v>4.4480000000000004</v>
      </c>
      <c r="I65" s="13">
        <v>0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5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5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5"/>
        <v>2.08941087</v>
      </c>
      <c r="I68" s="13">
        <f t="shared" ref="I68:I72" si="6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5"/>
        <v>39.417970000000004</v>
      </c>
      <c r="I69" s="13">
        <f t="shared" si="6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5"/>
        <v>0.48217100000000007</v>
      </c>
      <c r="I70" s="13">
        <f t="shared" si="6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5"/>
        <v>0.44985300000000006</v>
      </c>
      <c r="I71" s="13">
        <f t="shared" si="6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5"/>
        <v>0.29928000000000005</v>
      </c>
      <c r="I72" s="13">
        <f t="shared" si="6"/>
        <v>299.28000000000003</v>
      </c>
    </row>
    <row r="73" spans="1:21" ht="15" hidden="1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hidden="1" customHeight="1">
      <c r="A74" s="29"/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v>0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5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5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194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11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12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48"/>
      <c r="B86" s="38" t="s">
        <v>84</v>
      </c>
      <c r="C86" s="40"/>
      <c r="D86" s="15"/>
      <c r="E86" s="15"/>
      <c r="F86" s="15"/>
      <c r="G86" s="18"/>
      <c r="H86" s="18"/>
      <c r="I86" s="32">
        <f>I16+I17+I18+I27+I28+I31+I32+I34+I35+I63+I84+I85</f>
        <v>39853.183954955559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15.75" customHeight="1">
      <c r="A88" s="29">
        <v>13</v>
      </c>
      <c r="B88" s="55" t="s">
        <v>200</v>
      </c>
      <c r="C88" s="56" t="s">
        <v>98</v>
      </c>
      <c r="D88" s="51"/>
      <c r="E88" s="35"/>
      <c r="F88" s="35">
        <f>29/3</f>
        <v>9.6666666666666661</v>
      </c>
      <c r="G88" s="35">
        <v>1120.8900000000001</v>
      </c>
      <c r="H88" s="105">
        <f t="shared" ref="H88" si="7">G88*F88/1000</f>
        <v>10.835270000000001</v>
      </c>
      <c r="I88" s="13">
        <f>G88*(10/3)</f>
        <v>3736.3000000000006</v>
      </c>
    </row>
    <row r="89" spans="1:9" ht="15.75" customHeight="1">
      <c r="A89" s="29">
        <v>14</v>
      </c>
      <c r="B89" s="55" t="s">
        <v>223</v>
      </c>
      <c r="C89" s="56" t="s">
        <v>136</v>
      </c>
      <c r="D89" s="47"/>
      <c r="E89" s="35"/>
      <c r="F89" s="35">
        <v>1</v>
      </c>
      <c r="G89" s="35">
        <v>510.84</v>
      </c>
      <c r="H89" s="105">
        <f>G89*F89/1000</f>
        <v>0.51083999999999996</v>
      </c>
      <c r="I89" s="13">
        <f>G89</f>
        <v>510.84</v>
      </c>
    </row>
    <row r="90" spans="1:9" ht="15" customHeight="1">
      <c r="A90" s="29">
        <v>15</v>
      </c>
      <c r="B90" s="92" t="s">
        <v>224</v>
      </c>
      <c r="C90" s="69" t="s">
        <v>136</v>
      </c>
      <c r="D90" s="47"/>
      <c r="E90" s="35"/>
      <c r="F90" s="35">
        <v>5</v>
      </c>
      <c r="G90" s="35">
        <v>170.63</v>
      </c>
      <c r="H90" s="105">
        <f>G90*F90/1000</f>
        <v>0.85314999999999996</v>
      </c>
      <c r="I90" s="13">
        <f>G90*3</f>
        <v>511.89</v>
      </c>
    </row>
    <row r="91" spans="1:9" ht="15" customHeight="1">
      <c r="A91" s="29">
        <v>16</v>
      </c>
      <c r="B91" s="55" t="s">
        <v>225</v>
      </c>
      <c r="C91" s="56" t="s">
        <v>56</v>
      </c>
      <c r="D91" s="47"/>
      <c r="E91" s="35"/>
      <c r="F91" s="35">
        <v>5.5</v>
      </c>
      <c r="G91" s="35">
        <v>645.96</v>
      </c>
      <c r="H91" s="105">
        <f>G91*F91/1000</f>
        <v>3.5527800000000003</v>
      </c>
      <c r="I91" s="13">
        <f>G91*5.5</f>
        <v>3552.78</v>
      </c>
    </row>
    <row r="92" spans="1:9" ht="15.75" customHeight="1">
      <c r="A92" s="29"/>
      <c r="B92" s="45" t="s">
        <v>53</v>
      </c>
      <c r="C92" s="41"/>
      <c r="D92" s="49"/>
      <c r="E92" s="41">
        <v>1</v>
      </c>
      <c r="F92" s="41"/>
      <c r="G92" s="41"/>
      <c r="H92" s="41"/>
      <c r="I92" s="32">
        <f>SUM(I88:I91)</f>
        <v>8311.8100000000013</v>
      </c>
    </row>
    <row r="93" spans="1:9" ht="15.75" customHeight="1">
      <c r="A93" s="29"/>
      <c r="B93" s="47" t="s">
        <v>82</v>
      </c>
      <c r="C93" s="15"/>
      <c r="D93" s="15"/>
      <c r="E93" s="42"/>
      <c r="F93" s="42"/>
      <c r="G93" s="43"/>
      <c r="H93" s="43"/>
      <c r="I93" s="17">
        <v>0</v>
      </c>
    </row>
    <row r="94" spans="1:9" ht="15.75" customHeight="1">
      <c r="A94" s="50"/>
      <c r="B94" s="46" t="s">
        <v>207</v>
      </c>
      <c r="C94" s="34"/>
      <c r="D94" s="34"/>
      <c r="E94" s="34"/>
      <c r="F94" s="34"/>
      <c r="G94" s="34"/>
      <c r="H94" s="34"/>
      <c r="I94" s="44">
        <f>I86+I92</f>
        <v>48164.993954955557</v>
      </c>
    </row>
    <row r="95" spans="1:9" ht="15.75">
      <c r="A95" s="127" t="s">
        <v>226</v>
      </c>
      <c r="B95" s="127"/>
      <c r="C95" s="127"/>
      <c r="D95" s="127"/>
      <c r="E95" s="127"/>
      <c r="F95" s="127"/>
      <c r="G95" s="127"/>
      <c r="H95" s="127"/>
      <c r="I95" s="127"/>
    </row>
    <row r="96" spans="1:9" ht="15.75">
      <c r="A96" s="63"/>
      <c r="B96" s="128" t="s">
        <v>227</v>
      </c>
      <c r="C96" s="128"/>
      <c r="D96" s="128"/>
      <c r="E96" s="128"/>
      <c r="F96" s="128"/>
      <c r="G96" s="128"/>
      <c r="H96" s="68"/>
      <c r="I96" s="3"/>
    </row>
    <row r="97" spans="1:9">
      <c r="A97" s="59"/>
      <c r="B97" s="115" t="s">
        <v>6</v>
      </c>
      <c r="C97" s="115"/>
      <c r="D97" s="115"/>
      <c r="E97" s="115"/>
      <c r="F97" s="115"/>
      <c r="G97" s="115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29" t="s">
        <v>7</v>
      </c>
      <c r="B99" s="129"/>
      <c r="C99" s="129"/>
      <c r="D99" s="129"/>
      <c r="E99" s="129"/>
      <c r="F99" s="129"/>
      <c r="G99" s="129"/>
      <c r="H99" s="129"/>
      <c r="I99" s="129"/>
    </row>
    <row r="100" spans="1:9" ht="15.75">
      <c r="A100" s="129" t="s">
        <v>8</v>
      </c>
      <c r="B100" s="129"/>
      <c r="C100" s="129"/>
      <c r="D100" s="129"/>
      <c r="E100" s="129"/>
      <c r="F100" s="129"/>
      <c r="G100" s="129"/>
      <c r="H100" s="129"/>
      <c r="I100" s="129"/>
    </row>
    <row r="101" spans="1:9" ht="15.75">
      <c r="A101" s="119" t="s">
        <v>63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ht="15.75">
      <c r="A102" s="11"/>
    </row>
    <row r="103" spans="1:9" ht="15.75">
      <c r="A103" s="113" t="s">
        <v>9</v>
      </c>
      <c r="B103" s="113"/>
      <c r="C103" s="113"/>
      <c r="D103" s="113"/>
      <c r="E103" s="113"/>
      <c r="F103" s="113"/>
      <c r="G103" s="113"/>
      <c r="H103" s="113"/>
      <c r="I103" s="113"/>
    </row>
    <row r="104" spans="1:9" ht="15.75">
      <c r="A104" s="4"/>
    </row>
    <row r="105" spans="1:9" ht="15.75">
      <c r="B105" s="62" t="s">
        <v>10</v>
      </c>
      <c r="C105" s="114" t="s">
        <v>96</v>
      </c>
      <c r="D105" s="114"/>
      <c r="E105" s="114"/>
      <c r="F105" s="66"/>
      <c r="I105" s="58"/>
    </row>
    <row r="106" spans="1:9">
      <c r="A106" s="59"/>
      <c r="C106" s="115" t="s">
        <v>11</v>
      </c>
      <c r="D106" s="115"/>
      <c r="E106" s="115"/>
      <c r="F106" s="24"/>
      <c r="I106" s="57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62" t="s">
        <v>13</v>
      </c>
      <c r="C108" s="116"/>
      <c r="D108" s="116"/>
      <c r="E108" s="116"/>
      <c r="F108" s="67"/>
      <c r="I108" s="58"/>
    </row>
    <row r="109" spans="1:9">
      <c r="A109" s="59"/>
      <c r="C109" s="117" t="s">
        <v>11</v>
      </c>
      <c r="D109" s="117"/>
      <c r="E109" s="117"/>
      <c r="F109" s="59"/>
      <c r="I109" s="57" t="s">
        <v>12</v>
      </c>
    </row>
    <row r="110" spans="1:9" ht="15.75">
      <c r="A110" s="4" t="s">
        <v>14</v>
      </c>
    </row>
    <row r="111" spans="1:9">
      <c r="A111" s="118" t="s">
        <v>15</v>
      </c>
      <c r="B111" s="118"/>
      <c r="C111" s="118"/>
      <c r="D111" s="118"/>
      <c r="E111" s="118"/>
      <c r="F111" s="118"/>
      <c r="G111" s="118"/>
      <c r="H111" s="118"/>
      <c r="I111" s="118"/>
    </row>
    <row r="112" spans="1:9" ht="45" customHeight="1">
      <c r="A112" s="112" t="s">
        <v>16</v>
      </c>
      <c r="B112" s="112"/>
      <c r="C112" s="112"/>
      <c r="D112" s="112"/>
      <c r="E112" s="112"/>
      <c r="F112" s="112"/>
      <c r="G112" s="112"/>
      <c r="H112" s="112"/>
      <c r="I112" s="112"/>
    </row>
    <row r="113" spans="1:9" ht="30" customHeight="1">
      <c r="A113" s="112" t="s">
        <v>17</v>
      </c>
      <c r="B113" s="112"/>
      <c r="C113" s="112"/>
      <c r="D113" s="112"/>
      <c r="E113" s="112"/>
      <c r="F113" s="112"/>
      <c r="G113" s="112"/>
      <c r="H113" s="112"/>
      <c r="I113" s="112"/>
    </row>
    <row r="114" spans="1:9" ht="30" customHeight="1">
      <c r="A114" s="112" t="s">
        <v>21</v>
      </c>
      <c r="B114" s="112"/>
      <c r="C114" s="112"/>
      <c r="D114" s="112"/>
      <c r="E114" s="112"/>
      <c r="F114" s="112"/>
      <c r="G114" s="112"/>
      <c r="H114" s="112"/>
      <c r="I114" s="112"/>
    </row>
    <row r="115" spans="1:9" ht="15.75">
      <c r="A115" s="112" t="s">
        <v>20</v>
      </c>
      <c r="B115" s="112"/>
      <c r="C115" s="112"/>
      <c r="D115" s="112"/>
      <c r="E115" s="112"/>
      <c r="F115" s="112"/>
      <c r="G115" s="112"/>
      <c r="H115" s="112"/>
      <c r="I115" s="112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01:I101"/>
    <mergeCell ref="A15:I15"/>
    <mergeCell ref="A29:I29"/>
    <mergeCell ref="A47:I47"/>
    <mergeCell ref="A58:I58"/>
    <mergeCell ref="A87:I87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196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228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42978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customHeight="1">
      <c r="A35" s="29">
        <v>9</v>
      </c>
      <c r="B35" s="70" t="s">
        <v>129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hidden="1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hidden="1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hidden="1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hidden="1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hidden="1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hidden="1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3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hidden="1" customHeight="1">
      <c r="A46" s="29">
        <v>12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hidden="1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hidden="1" customHeight="1">
      <c r="A48" s="29"/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4">SUM(F48*G48/1000)</f>
        <v>1.7187541239999997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4"/>
        <v>6.0265920000000001E-2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4"/>
        <v>1.4357196480000001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4"/>
        <v>2.1771028954</v>
      </c>
      <c r="I51" s="13">
        <v>0</v>
      </c>
      <c r="J51" s="23"/>
      <c r="L51" s="19"/>
      <c r="M51" s="20"/>
      <c r="N51" s="21"/>
    </row>
    <row r="52" spans="1:22" ht="15" hidden="1" customHeight="1">
      <c r="A52" s="29"/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4"/>
        <v>0.124912836</v>
      </c>
      <c r="I52" s="13">
        <v>0</v>
      </c>
      <c r="J52" s="23"/>
      <c r="L52" s="19"/>
      <c r="M52" s="20"/>
      <c r="N52" s="21"/>
    </row>
    <row r="53" spans="1:22" ht="15" hidden="1" customHeight="1">
      <c r="A53" s="29">
        <v>13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4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/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4"/>
        <v>2.1455563999999998</v>
      </c>
      <c r="I54" s="13">
        <v>0</v>
      </c>
      <c r="J54" s="23"/>
      <c r="L54" s="19"/>
      <c r="M54" s="20"/>
      <c r="N54" s="21"/>
    </row>
    <row r="55" spans="1:22" ht="31.5" hidden="1" customHeight="1">
      <c r="A55" s="29"/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4"/>
        <v>1.0921959999999999</v>
      </c>
      <c r="I55" s="13">
        <v>0</v>
      </c>
      <c r="J55" s="23"/>
      <c r="L55" s="19"/>
      <c r="M55" s="20"/>
      <c r="N55" s="21"/>
    </row>
    <row r="56" spans="1:22" ht="15" hidden="1" customHeight="1">
      <c r="A56" s="29"/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4"/>
        <v>0.11304260000000001</v>
      </c>
      <c r="I56" s="13">
        <v>0</v>
      </c>
      <c r="J56" s="23"/>
      <c r="L56" s="19"/>
      <c r="M56" s="20"/>
      <c r="N56" s="21"/>
    </row>
    <row r="57" spans="1:22" ht="15" hidden="1" customHeight="1">
      <c r="A57" s="29">
        <v>10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190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hidden="1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hidden="1" customHeight="1">
      <c r="A60" s="29">
        <v>15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10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hidden="1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hidden="1" customHeight="1">
      <c r="A65" s="29"/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5">SUM(F65*G65/1000)</f>
        <v>4.4480000000000004</v>
      </c>
      <c r="I65" s="13">
        <v>0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5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5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5"/>
        <v>2.08941087</v>
      </c>
      <c r="I68" s="13">
        <f t="shared" ref="I68:I72" si="6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5"/>
        <v>39.417970000000004</v>
      </c>
      <c r="I69" s="13">
        <f t="shared" si="6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5"/>
        <v>0.48217100000000007</v>
      </c>
      <c r="I70" s="13">
        <f t="shared" si="6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5"/>
        <v>0.44985300000000006</v>
      </c>
      <c r="I71" s="13">
        <f t="shared" si="6"/>
        <v>449.85300000000007</v>
      </c>
    </row>
    <row r="72" spans="1:21" ht="15" hidden="1" customHeight="1">
      <c r="A72" s="29"/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5"/>
        <v>0.29928000000000005</v>
      </c>
      <c r="I72" s="13">
        <f t="shared" si="6"/>
        <v>299.28000000000003</v>
      </c>
    </row>
    <row r="73" spans="1:21" ht="15" hidden="1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hidden="1" customHeight="1">
      <c r="A74" s="29">
        <v>12</v>
      </c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f>G74*0.2</f>
        <v>100.32400000000001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5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5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194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11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12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48"/>
      <c r="B86" s="38" t="s">
        <v>84</v>
      </c>
      <c r="C86" s="40"/>
      <c r="D86" s="15"/>
      <c r="E86" s="15"/>
      <c r="F86" s="15"/>
      <c r="G86" s="18"/>
      <c r="H86" s="18"/>
      <c r="I86" s="32">
        <f>I16+I17+I18+I27+I28+I31+I32+I34+I35+I63+I84+I85</f>
        <v>39853.183954955559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15" customHeight="1">
      <c r="A88" s="29">
        <v>13</v>
      </c>
      <c r="B88" s="52" t="s">
        <v>86</v>
      </c>
      <c r="C88" s="54" t="s">
        <v>136</v>
      </c>
      <c r="D88" s="47"/>
      <c r="E88" s="13"/>
      <c r="F88" s="13">
        <v>3</v>
      </c>
      <c r="G88" s="13">
        <v>189.88</v>
      </c>
      <c r="H88" s="87">
        <f t="shared" ref="H88:H90" si="7">G88*F88/1000</f>
        <v>0.56964000000000004</v>
      </c>
      <c r="I88" s="13">
        <f>G88</f>
        <v>189.88</v>
      </c>
    </row>
    <row r="89" spans="1:9" ht="15" customHeight="1">
      <c r="A89" s="29">
        <v>14</v>
      </c>
      <c r="B89" s="52" t="s">
        <v>174</v>
      </c>
      <c r="C89" s="54" t="s">
        <v>88</v>
      </c>
      <c r="D89" s="47"/>
      <c r="E89" s="13"/>
      <c r="F89" s="13">
        <v>7</v>
      </c>
      <c r="G89" s="13">
        <v>195.85</v>
      </c>
      <c r="H89" s="87">
        <f t="shared" si="7"/>
        <v>1.3709500000000001</v>
      </c>
      <c r="I89" s="13">
        <f t="shared" ref="I89:I91" si="8">G89</f>
        <v>195.85</v>
      </c>
    </row>
    <row r="90" spans="1:9" ht="31.5" customHeight="1">
      <c r="A90" s="29">
        <v>15</v>
      </c>
      <c r="B90" s="52" t="s">
        <v>83</v>
      </c>
      <c r="C90" s="54" t="s">
        <v>136</v>
      </c>
      <c r="D90" s="47"/>
      <c r="E90" s="13"/>
      <c r="F90" s="13">
        <v>6</v>
      </c>
      <c r="G90" s="13">
        <v>83.36</v>
      </c>
      <c r="H90" s="87">
        <f t="shared" si="7"/>
        <v>0.50015999999999994</v>
      </c>
      <c r="I90" s="13">
        <f t="shared" si="8"/>
        <v>83.36</v>
      </c>
    </row>
    <row r="91" spans="1:9" ht="15.75" customHeight="1">
      <c r="A91" s="29">
        <v>16</v>
      </c>
      <c r="B91" s="92" t="s">
        <v>224</v>
      </c>
      <c r="C91" s="69" t="s">
        <v>136</v>
      </c>
      <c r="D91" s="47"/>
      <c r="E91" s="13"/>
      <c r="F91" s="13">
        <v>5</v>
      </c>
      <c r="G91" s="13">
        <v>170.63</v>
      </c>
      <c r="H91" s="87">
        <f>G91*F91/1000</f>
        <v>0.85314999999999996</v>
      </c>
      <c r="I91" s="13">
        <f t="shared" si="8"/>
        <v>170.63</v>
      </c>
    </row>
    <row r="92" spans="1:9" ht="15.75" customHeight="1">
      <c r="A92" s="29"/>
      <c r="B92" s="45" t="s">
        <v>53</v>
      </c>
      <c r="C92" s="41"/>
      <c r="D92" s="49"/>
      <c r="E92" s="41">
        <v>1</v>
      </c>
      <c r="F92" s="41"/>
      <c r="G92" s="41"/>
      <c r="H92" s="41"/>
      <c r="I92" s="32">
        <f>SUM(I88:I91)</f>
        <v>639.72</v>
      </c>
    </row>
    <row r="93" spans="1:9" ht="15.75" customHeight="1">
      <c r="A93" s="29"/>
      <c r="B93" s="47" t="s">
        <v>82</v>
      </c>
      <c r="C93" s="15"/>
      <c r="D93" s="15"/>
      <c r="E93" s="42"/>
      <c r="F93" s="42"/>
      <c r="G93" s="43"/>
      <c r="H93" s="43"/>
      <c r="I93" s="17">
        <v>0</v>
      </c>
    </row>
    <row r="94" spans="1:9" ht="15.75" customHeight="1">
      <c r="A94" s="50"/>
      <c r="B94" s="46" t="s">
        <v>207</v>
      </c>
      <c r="C94" s="34"/>
      <c r="D94" s="34"/>
      <c r="E94" s="34"/>
      <c r="F94" s="34"/>
      <c r="G94" s="34"/>
      <c r="H94" s="34"/>
      <c r="I94" s="44">
        <f>I86+I92</f>
        <v>40492.90395495556</v>
      </c>
    </row>
    <row r="95" spans="1:9" ht="15.75">
      <c r="A95" s="127" t="s">
        <v>229</v>
      </c>
      <c r="B95" s="127"/>
      <c r="C95" s="127"/>
      <c r="D95" s="127"/>
      <c r="E95" s="127"/>
      <c r="F95" s="127"/>
      <c r="G95" s="127"/>
      <c r="H95" s="127"/>
      <c r="I95" s="127"/>
    </row>
    <row r="96" spans="1:9" ht="15.75">
      <c r="A96" s="63"/>
      <c r="B96" s="128" t="s">
        <v>230</v>
      </c>
      <c r="C96" s="128"/>
      <c r="D96" s="128"/>
      <c r="E96" s="128"/>
      <c r="F96" s="128"/>
      <c r="G96" s="128"/>
      <c r="H96" s="68"/>
      <c r="I96" s="3"/>
    </row>
    <row r="97" spans="1:9">
      <c r="A97" s="59"/>
      <c r="B97" s="115" t="s">
        <v>6</v>
      </c>
      <c r="C97" s="115"/>
      <c r="D97" s="115"/>
      <c r="E97" s="115"/>
      <c r="F97" s="115"/>
      <c r="G97" s="115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29" t="s">
        <v>7</v>
      </c>
      <c r="B99" s="129"/>
      <c r="C99" s="129"/>
      <c r="D99" s="129"/>
      <c r="E99" s="129"/>
      <c r="F99" s="129"/>
      <c r="G99" s="129"/>
      <c r="H99" s="129"/>
      <c r="I99" s="129"/>
    </row>
    <row r="100" spans="1:9" ht="15.75">
      <c r="A100" s="129" t="s">
        <v>8</v>
      </c>
      <c r="B100" s="129"/>
      <c r="C100" s="129"/>
      <c r="D100" s="129"/>
      <c r="E100" s="129"/>
      <c r="F100" s="129"/>
      <c r="G100" s="129"/>
      <c r="H100" s="129"/>
      <c r="I100" s="129"/>
    </row>
    <row r="101" spans="1:9" ht="15.75">
      <c r="A101" s="119" t="s">
        <v>63</v>
      </c>
      <c r="B101" s="119"/>
      <c r="C101" s="119"/>
      <c r="D101" s="119"/>
      <c r="E101" s="119"/>
      <c r="F101" s="119"/>
      <c r="G101" s="119"/>
      <c r="H101" s="119"/>
      <c r="I101" s="119"/>
    </row>
    <row r="102" spans="1:9" ht="15.75">
      <c r="A102" s="11"/>
    </row>
    <row r="103" spans="1:9" ht="15.75">
      <c r="A103" s="113" t="s">
        <v>9</v>
      </c>
      <c r="B103" s="113"/>
      <c r="C103" s="113"/>
      <c r="D103" s="113"/>
      <c r="E103" s="113"/>
      <c r="F103" s="113"/>
      <c r="G103" s="113"/>
      <c r="H103" s="113"/>
      <c r="I103" s="113"/>
    </row>
    <row r="104" spans="1:9" ht="15.75">
      <c r="A104" s="4"/>
    </row>
    <row r="105" spans="1:9" ht="15.75">
      <c r="B105" s="62" t="s">
        <v>10</v>
      </c>
      <c r="C105" s="114" t="s">
        <v>96</v>
      </c>
      <c r="D105" s="114"/>
      <c r="E105" s="114"/>
      <c r="F105" s="66"/>
      <c r="I105" s="58"/>
    </row>
    <row r="106" spans="1:9">
      <c r="A106" s="59"/>
      <c r="C106" s="115" t="s">
        <v>11</v>
      </c>
      <c r="D106" s="115"/>
      <c r="E106" s="115"/>
      <c r="F106" s="24"/>
      <c r="I106" s="57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62" t="s">
        <v>13</v>
      </c>
      <c r="C108" s="116"/>
      <c r="D108" s="116"/>
      <c r="E108" s="116"/>
      <c r="F108" s="67"/>
      <c r="I108" s="58"/>
    </row>
    <row r="109" spans="1:9">
      <c r="A109" s="59"/>
      <c r="C109" s="117" t="s">
        <v>11</v>
      </c>
      <c r="D109" s="117"/>
      <c r="E109" s="117"/>
      <c r="F109" s="59"/>
      <c r="I109" s="57" t="s">
        <v>12</v>
      </c>
    </row>
    <row r="110" spans="1:9" ht="15.75">
      <c r="A110" s="4" t="s">
        <v>14</v>
      </c>
    </row>
    <row r="111" spans="1:9">
      <c r="A111" s="118" t="s">
        <v>15</v>
      </c>
      <c r="B111" s="118"/>
      <c r="C111" s="118"/>
      <c r="D111" s="118"/>
      <c r="E111" s="118"/>
      <c r="F111" s="118"/>
      <c r="G111" s="118"/>
      <c r="H111" s="118"/>
      <c r="I111" s="118"/>
    </row>
    <row r="112" spans="1:9" ht="45" customHeight="1">
      <c r="A112" s="112" t="s">
        <v>16</v>
      </c>
      <c r="B112" s="112"/>
      <c r="C112" s="112"/>
      <c r="D112" s="112"/>
      <c r="E112" s="112"/>
      <c r="F112" s="112"/>
      <c r="G112" s="112"/>
      <c r="H112" s="112"/>
      <c r="I112" s="112"/>
    </row>
    <row r="113" spans="1:9" ht="30" customHeight="1">
      <c r="A113" s="112" t="s">
        <v>17</v>
      </c>
      <c r="B113" s="112"/>
      <c r="C113" s="112"/>
      <c r="D113" s="112"/>
      <c r="E113" s="112"/>
      <c r="F113" s="112"/>
      <c r="G113" s="112"/>
      <c r="H113" s="112"/>
      <c r="I113" s="112"/>
    </row>
    <row r="114" spans="1:9" ht="30" customHeight="1">
      <c r="A114" s="112" t="s">
        <v>21</v>
      </c>
      <c r="B114" s="112"/>
      <c r="C114" s="112"/>
      <c r="D114" s="112"/>
      <c r="E114" s="112"/>
      <c r="F114" s="112"/>
      <c r="G114" s="112"/>
      <c r="H114" s="112"/>
      <c r="I114" s="112"/>
    </row>
    <row r="115" spans="1:9" ht="15.75">
      <c r="A115" s="112" t="s">
        <v>20</v>
      </c>
      <c r="B115" s="112"/>
      <c r="C115" s="112"/>
      <c r="D115" s="112"/>
      <c r="E115" s="112"/>
      <c r="F115" s="112"/>
      <c r="G115" s="112"/>
      <c r="H115" s="112"/>
      <c r="I115" s="112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01:I101"/>
    <mergeCell ref="A15:I15"/>
    <mergeCell ref="A29:I29"/>
    <mergeCell ref="A47:I47"/>
    <mergeCell ref="A58:I58"/>
    <mergeCell ref="A87:I87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33" t="s">
        <v>197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147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231</v>
      </c>
      <c r="B5" s="135"/>
      <c r="C5" s="135"/>
      <c r="D5" s="135"/>
      <c r="E5" s="135"/>
      <c r="F5" s="135"/>
      <c r="G5" s="135"/>
      <c r="H5" s="135"/>
      <c r="I5" s="13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61"/>
      <c r="F6" s="61"/>
      <c r="G6" s="61"/>
      <c r="H6" s="61"/>
      <c r="I6" s="30">
        <v>43008</v>
      </c>
      <c r="J6" s="2"/>
      <c r="K6" s="2"/>
      <c r="L6" s="2"/>
      <c r="M6" s="2"/>
    </row>
    <row r="7" spans="1:13" ht="15.75" customHeight="1">
      <c r="B7" s="62"/>
      <c r="C7" s="62"/>
      <c r="D7" s="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159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215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61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  <c r="J15" s="8"/>
      <c r="K15" s="8"/>
      <c r="L15" s="8"/>
      <c r="M15" s="8"/>
    </row>
    <row r="16" spans="1:13" ht="15" customHeight="1">
      <c r="A16" s="29">
        <v>1</v>
      </c>
      <c r="B16" s="70" t="s">
        <v>92</v>
      </c>
      <c r="C16" s="71" t="s">
        <v>115</v>
      </c>
      <c r="D16" s="70" t="s">
        <v>116</v>
      </c>
      <c r="E16" s="72">
        <v>59.96</v>
      </c>
      <c r="F16" s="73">
        <f>SUM(E16*156/100)</f>
        <v>93.537599999999998</v>
      </c>
      <c r="G16" s="73">
        <v>175.38</v>
      </c>
      <c r="H16" s="74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70" t="s">
        <v>100</v>
      </c>
      <c r="C17" s="71" t="s">
        <v>115</v>
      </c>
      <c r="D17" s="70" t="s">
        <v>117</v>
      </c>
      <c r="E17" s="72">
        <v>239.84</v>
      </c>
      <c r="F17" s="73">
        <f>SUM(E17*104/100)</f>
        <v>249.43360000000001</v>
      </c>
      <c r="G17" s="73">
        <v>175.38</v>
      </c>
      <c r="H17" s="74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70" t="s">
        <v>101</v>
      </c>
      <c r="C18" s="71" t="s">
        <v>115</v>
      </c>
      <c r="D18" s="70" t="s">
        <v>118</v>
      </c>
      <c r="E18" s="72">
        <f>SUM(E16+E17)</f>
        <v>299.8</v>
      </c>
      <c r="F18" s="73">
        <f>SUM(E18*24/100)</f>
        <v>71.952000000000012</v>
      </c>
      <c r="G18" s="73">
        <v>504.5</v>
      </c>
      <c r="H18" s="74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70" t="s">
        <v>119</v>
      </c>
      <c r="C19" s="71" t="s">
        <v>120</v>
      </c>
      <c r="D19" s="70" t="s">
        <v>121</v>
      </c>
      <c r="E19" s="72">
        <v>40.799999999999997</v>
      </c>
      <c r="F19" s="73">
        <f>SUM(E19/10)</f>
        <v>4.08</v>
      </c>
      <c r="G19" s="73">
        <v>170.16</v>
      </c>
      <c r="H19" s="74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70" t="s">
        <v>105</v>
      </c>
      <c r="C20" s="71" t="s">
        <v>115</v>
      </c>
      <c r="D20" s="70" t="s">
        <v>55</v>
      </c>
      <c r="E20" s="72">
        <v>43.2</v>
      </c>
      <c r="F20" s="73">
        <f>SUM(E20/100)</f>
        <v>0.43200000000000005</v>
      </c>
      <c r="G20" s="73">
        <v>217.88</v>
      </c>
      <c r="H20" s="74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70" t="s">
        <v>106</v>
      </c>
      <c r="C21" s="71" t="s">
        <v>115</v>
      </c>
      <c r="D21" s="70" t="s">
        <v>55</v>
      </c>
      <c r="E21" s="72">
        <v>10.08</v>
      </c>
      <c r="F21" s="73">
        <f>E21/100</f>
        <v>0.1008</v>
      </c>
      <c r="G21" s="73">
        <v>216.12</v>
      </c>
      <c r="H21" s="74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70" t="s">
        <v>122</v>
      </c>
      <c r="C22" s="71" t="s">
        <v>54</v>
      </c>
      <c r="D22" s="70" t="s">
        <v>121</v>
      </c>
      <c r="E22" s="72">
        <v>403.84</v>
      </c>
      <c r="F22" s="73">
        <f>SUM(E22/100)</f>
        <v>4.0383999999999993</v>
      </c>
      <c r="G22" s="73">
        <v>269.26</v>
      </c>
      <c r="H22" s="74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70" t="s">
        <v>123</v>
      </c>
      <c r="C23" s="71" t="s">
        <v>54</v>
      </c>
      <c r="D23" s="70" t="s">
        <v>121</v>
      </c>
      <c r="E23" s="75">
        <v>70.56</v>
      </c>
      <c r="F23" s="73">
        <f>SUM(E23/100)</f>
        <v>0.7056</v>
      </c>
      <c r="G23" s="73">
        <v>44.29</v>
      </c>
      <c r="H23" s="7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70" t="s">
        <v>109</v>
      </c>
      <c r="C24" s="71" t="s">
        <v>54</v>
      </c>
      <c r="D24" s="70" t="s">
        <v>121</v>
      </c>
      <c r="E24" s="18">
        <v>14.4</v>
      </c>
      <c r="F24" s="76">
        <v>0.14000000000000001</v>
      </c>
      <c r="G24" s="73">
        <v>398.72</v>
      </c>
      <c r="H24" s="74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70" t="s">
        <v>124</v>
      </c>
      <c r="C25" s="71" t="s">
        <v>54</v>
      </c>
      <c r="D25" s="70" t="s">
        <v>121</v>
      </c>
      <c r="E25" s="75">
        <v>31.5</v>
      </c>
      <c r="F25" s="73">
        <v>0.32</v>
      </c>
      <c r="G25" s="73">
        <v>216.12</v>
      </c>
      <c r="H25" s="74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70" t="s">
        <v>110</v>
      </c>
      <c r="C26" s="71" t="s">
        <v>54</v>
      </c>
      <c r="D26" s="70" t="s">
        <v>121</v>
      </c>
      <c r="E26" s="72">
        <v>28.22</v>
      </c>
      <c r="F26" s="73">
        <f>SUM(E26/100)</f>
        <v>0.28220000000000001</v>
      </c>
      <c r="G26" s="73">
        <v>520.79999999999995</v>
      </c>
      <c r="H26" s="74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70" t="s">
        <v>66</v>
      </c>
      <c r="C27" s="71" t="s">
        <v>33</v>
      </c>
      <c r="D27" s="70" t="s">
        <v>90</v>
      </c>
      <c r="E27" s="72">
        <v>0.1</v>
      </c>
      <c r="F27" s="73">
        <f>SUM(E27*365)</f>
        <v>36.5</v>
      </c>
      <c r="G27" s="73">
        <v>147.03</v>
      </c>
      <c r="H27" s="74">
        <f>SUM(F27*G27/1000)</f>
        <v>5.3665950000000002</v>
      </c>
      <c r="I27" s="13">
        <f>F27/12*G27</f>
        <v>447.21625</v>
      </c>
      <c r="J27" s="23"/>
    </row>
    <row r="28" spans="1:13" ht="15" customHeight="1">
      <c r="A28" s="29">
        <v>5</v>
      </c>
      <c r="B28" s="80" t="s">
        <v>23</v>
      </c>
      <c r="C28" s="71" t="s">
        <v>24</v>
      </c>
      <c r="D28" s="70" t="s">
        <v>90</v>
      </c>
      <c r="E28" s="72">
        <v>3031.3</v>
      </c>
      <c r="F28" s="73">
        <f>SUM(E28*12)</f>
        <v>36375.600000000006</v>
      </c>
      <c r="G28" s="73">
        <v>5.47</v>
      </c>
      <c r="H28" s="74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20" t="s">
        <v>89</v>
      </c>
      <c r="B29" s="120"/>
      <c r="C29" s="120"/>
      <c r="D29" s="120"/>
      <c r="E29" s="120"/>
      <c r="F29" s="120"/>
      <c r="G29" s="120"/>
      <c r="H29" s="120"/>
      <c r="I29" s="120"/>
      <c r="J29" s="22"/>
      <c r="K29" s="8"/>
      <c r="L29" s="8"/>
      <c r="M29" s="8"/>
    </row>
    <row r="30" spans="1:13" ht="15" customHeight="1">
      <c r="A30" s="29"/>
      <c r="B30" s="93" t="s">
        <v>28</v>
      </c>
      <c r="C30" s="71"/>
      <c r="D30" s="70"/>
      <c r="E30" s="72"/>
      <c r="F30" s="73"/>
      <c r="G30" s="73"/>
      <c r="H30" s="74"/>
      <c r="I30" s="13"/>
      <c r="J30" s="22"/>
      <c r="K30" s="8"/>
      <c r="L30" s="8"/>
      <c r="M30" s="8"/>
    </row>
    <row r="31" spans="1:13" ht="15" customHeight="1">
      <c r="A31" s="29">
        <v>6</v>
      </c>
      <c r="B31" s="70" t="s">
        <v>125</v>
      </c>
      <c r="C31" s="71" t="s">
        <v>126</v>
      </c>
      <c r="D31" s="70" t="s">
        <v>127</v>
      </c>
      <c r="E31" s="73">
        <v>709.53</v>
      </c>
      <c r="F31" s="73">
        <f>SUM(E31*52/1000)</f>
        <v>36.895559999999996</v>
      </c>
      <c r="G31" s="73">
        <v>155.88999999999999</v>
      </c>
      <c r="H31" s="74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customHeight="1">
      <c r="A32" s="29">
        <v>7</v>
      </c>
      <c r="B32" s="70" t="s">
        <v>186</v>
      </c>
      <c r="C32" s="71" t="s">
        <v>126</v>
      </c>
      <c r="D32" s="70" t="s">
        <v>128</v>
      </c>
      <c r="E32" s="73">
        <v>68</v>
      </c>
      <c r="F32" s="73">
        <f>SUM(E32*78/1000)</f>
        <v>5.3040000000000003</v>
      </c>
      <c r="G32" s="73">
        <v>258.63</v>
      </c>
      <c r="H32" s="74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70" t="s">
        <v>27</v>
      </c>
      <c r="C33" s="71" t="s">
        <v>126</v>
      </c>
      <c r="D33" s="70" t="s">
        <v>55</v>
      </c>
      <c r="E33" s="73">
        <v>709.53</v>
      </c>
      <c r="F33" s="73">
        <f>SUM(E33/1000)</f>
        <v>0.70952999999999999</v>
      </c>
      <c r="G33" s="73">
        <v>3020.33</v>
      </c>
      <c r="H33" s="74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customHeight="1">
      <c r="A34" s="29">
        <v>8</v>
      </c>
      <c r="B34" s="70" t="s">
        <v>164</v>
      </c>
      <c r="C34" s="71" t="s">
        <v>41</v>
      </c>
      <c r="D34" s="70" t="s">
        <v>65</v>
      </c>
      <c r="E34" s="73">
        <v>4</v>
      </c>
      <c r="F34" s="73">
        <v>6.2</v>
      </c>
      <c r="G34" s="73">
        <v>1302.02</v>
      </c>
      <c r="H34" s="74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customHeight="1">
      <c r="A35" s="29">
        <v>9</v>
      </c>
      <c r="B35" s="70" t="s">
        <v>129</v>
      </c>
      <c r="C35" s="71" t="s">
        <v>30</v>
      </c>
      <c r="D35" s="70" t="s">
        <v>65</v>
      </c>
      <c r="E35" s="79">
        <v>0.33333333333333331</v>
      </c>
      <c r="F35" s="73">
        <f>155/3</f>
        <v>51.666666666666664</v>
      </c>
      <c r="G35" s="73">
        <v>56.69</v>
      </c>
      <c r="H35" s="74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70" t="s">
        <v>67</v>
      </c>
      <c r="C36" s="71" t="s">
        <v>33</v>
      </c>
      <c r="D36" s="70" t="s">
        <v>69</v>
      </c>
      <c r="E36" s="72"/>
      <c r="F36" s="73">
        <v>3</v>
      </c>
      <c r="G36" s="73">
        <v>191.32</v>
      </c>
      <c r="H36" s="74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70" t="s">
        <v>68</v>
      </c>
      <c r="C37" s="71" t="s">
        <v>32</v>
      </c>
      <c r="D37" s="70" t="s">
        <v>69</v>
      </c>
      <c r="E37" s="72"/>
      <c r="F37" s="73">
        <v>2</v>
      </c>
      <c r="G37" s="73">
        <v>1136.32</v>
      </c>
      <c r="H37" s="74">
        <f t="shared" si="1"/>
        <v>2.27264</v>
      </c>
      <c r="I37" s="13">
        <v>0</v>
      </c>
      <c r="J37" s="23"/>
    </row>
    <row r="38" spans="1:14" ht="15" hidden="1" customHeight="1">
      <c r="A38" s="29"/>
      <c r="B38" s="93" t="s">
        <v>5</v>
      </c>
      <c r="C38" s="71"/>
      <c r="D38" s="70"/>
      <c r="E38" s="72"/>
      <c r="F38" s="73"/>
      <c r="G38" s="73"/>
      <c r="H38" s="74" t="s">
        <v>144</v>
      </c>
      <c r="I38" s="13"/>
      <c r="J38" s="23"/>
    </row>
    <row r="39" spans="1:14" ht="15" hidden="1" customHeight="1">
      <c r="A39" s="29">
        <v>6</v>
      </c>
      <c r="B39" s="70" t="s">
        <v>26</v>
      </c>
      <c r="C39" s="71" t="s">
        <v>32</v>
      </c>
      <c r="D39" s="70"/>
      <c r="E39" s="72"/>
      <c r="F39" s="73">
        <v>6</v>
      </c>
      <c r="G39" s="73">
        <v>1527.22</v>
      </c>
      <c r="H39" s="74">
        <f t="shared" ref="H39:H46" si="3">SUM(F39*G39/1000)</f>
        <v>9.1633200000000006</v>
      </c>
      <c r="I39" s="13">
        <f>F39/6*G39</f>
        <v>1527.22</v>
      </c>
      <c r="J39" s="23"/>
    </row>
    <row r="40" spans="1:14" ht="15" hidden="1" customHeight="1">
      <c r="A40" s="29">
        <v>7</v>
      </c>
      <c r="B40" s="70" t="s">
        <v>113</v>
      </c>
      <c r="C40" s="71" t="s">
        <v>29</v>
      </c>
      <c r="D40" s="70" t="s">
        <v>148</v>
      </c>
      <c r="E40" s="73">
        <v>429.8</v>
      </c>
      <c r="F40" s="73">
        <f>SUM(E40*12/1000)</f>
        <v>5.1576000000000004</v>
      </c>
      <c r="G40" s="73">
        <v>2102.71</v>
      </c>
      <c r="H40" s="74">
        <f t="shared" si="3"/>
        <v>10.844937096000001</v>
      </c>
      <c r="I40" s="13">
        <f>F40/6*G40</f>
        <v>1807.4895160000001</v>
      </c>
      <c r="J40" s="23"/>
      <c r="L40" s="19"/>
      <c r="M40" s="20"/>
      <c r="N40" s="21"/>
    </row>
    <row r="41" spans="1:14" ht="15" hidden="1" customHeight="1">
      <c r="A41" s="29">
        <v>8</v>
      </c>
      <c r="B41" s="70" t="s">
        <v>149</v>
      </c>
      <c r="C41" s="71" t="s">
        <v>29</v>
      </c>
      <c r="D41" s="70" t="s">
        <v>130</v>
      </c>
      <c r="E41" s="73">
        <v>68</v>
      </c>
      <c r="F41" s="73">
        <f>SUM(E41*30/1000)</f>
        <v>2.04</v>
      </c>
      <c r="G41" s="73">
        <v>2102.71</v>
      </c>
      <c r="H41" s="74">
        <f>SUM(F41*G41/1000)</f>
        <v>4.2895284</v>
      </c>
      <c r="I41" s="13">
        <f>F41/6*G41</f>
        <v>714.92140000000006</v>
      </c>
      <c r="J41" s="23"/>
      <c r="L41" s="19"/>
      <c r="M41" s="20"/>
      <c r="N41" s="21"/>
    </row>
    <row r="42" spans="1:14" ht="15" hidden="1" customHeight="1">
      <c r="A42" s="29"/>
      <c r="B42" s="70" t="s">
        <v>102</v>
      </c>
      <c r="C42" s="71" t="s">
        <v>131</v>
      </c>
      <c r="D42" s="70" t="s">
        <v>166</v>
      </c>
      <c r="E42" s="72"/>
      <c r="F42" s="73">
        <v>50</v>
      </c>
      <c r="G42" s="73">
        <v>199.44</v>
      </c>
      <c r="H42" s="74">
        <f>SUM(F42*G42/1000)</f>
        <v>9.9719999999999995</v>
      </c>
      <c r="I42" s="13">
        <v>0</v>
      </c>
      <c r="J42" s="23"/>
      <c r="L42" s="19"/>
      <c r="M42" s="20"/>
      <c r="N42" s="21"/>
    </row>
    <row r="43" spans="1:14" ht="15" hidden="1" customHeight="1">
      <c r="A43" s="29">
        <v>9</v>
      </c>
      <c r="B43" s="70" t="s">
        <v>70</v>
      </c>
      <c r="C43" s="71" t="s">
        <v>29</v>
      </c>
      <c r="D43" s="70" t="s">
        <v>132</v>
      </c>
      <c r="E43" s="73">
        <v>68</v>
      </c>
      <c r="F43" s="73">
        <f>SUM(E43*155/1000)</f>
        <v>10.54</v>
      </c>
      <c r="G43" s="73">
        <v>350.75</v>
      </c>
      <c r="H43" s="74">
        <f t="shared" si="3"/>
        <v>3.6969049999999997</v>
      </c>
      <c r="I43" s="13">
        <f>F43/6*G43</f>
        <v>616.15083333333325</v>
      </c>
      <c r="J43" s="23"/>
      <c r="L43" s="19"/>
      <c r="M43" s="20"/>
      <c r="N43" s="21"/>
    </row>
    <row r="44" spans="1:14" ht="47.25" hidden="1" customHeight="1">
      <c r="A44" s="29">
        <v>10</v>
      </c>
      <c r="B44" s="70" t="s">
        <v>87</v>
      </c>
      <c r="C44" s="71" t="s">
        <v>126</v>
      </c>
      <c r="D44" s="70" t="s">
        <v>150</v>
      </c>
      <c r="E44" s="73">
        <v>68</v>
      </c>
      <c r="F44" s="73">
        <f>SUM(E44*24/1000)</f>
        <v>1.6319999999999999</v>
      </c>
      <c r="G44" s="73">
        <v>5803.28</v>
      </c>
      <c r="H44" s="74">
        <f t="shared" si="3"/>
        <v>9.4709529599999982</v>
      </c>
      <c r="I44" s="13">
        <f>F44/6*G44</f>
        <v>1578.4921599999998</v>
      </c>
      <c r="J44" s="23"/>
      <c r="L44" s="19"/>
      <c r="M44" s="20"/>
      <c r="N44" s="21"/>
    </row>
    <row r="45" spans="1:14" ht="15" hidden="1" customHeight="1">
      <c r="A45" s="29">
        <v>11</v>
      </c>
      <c r="B45" s="70" t="s">
        <v>133</v>
      </c>
      <c r="C45" s="71" t="s">
        <v>126</v>
      </c>
      <c r="D45" s="70" t="s">
        <v>71</v>
      </c>
      <c r="E45" s="73">
        <v>68</v>
      </c>
      <c r="F45" s="73">
        <f>SUM(E45*45/1000)</f>
        <v>3.06</v>
      </c>
      <c r="G45" s="73">
        <v>428.7</v>
      </c>
      <c r="H45" s="74">
        <f t="shared" si="3"/>
        <v>1.3118219999999998</v>
      </c>
      <c r="I45" s="13">
        <f>F45/6*G45</f>
        <v>218.637</v>
      </c>
      <c r="J45" s="23"/>
      <c r="L45" s="19"/>
      <c r="M45" s="20"/>
      <c r="N45" s="21"/>
    </row>
    <row r="46" spans="1:14" ht="15" hidden="1" customHeight="1">
      <c r="A46" s="29">
        <v>12</v>
      </c>
      <c r="B46" s="70" t="s">
        <v>72</v>
      </c>
      <c r="C46" s="71" t="s">
        <v>33</v>
      </c>
      <c r="D46" s="70"/>
      <c r="E46" s="72"/>
      <c r="F46" s="73">
        <v>0.9</v>
      </c>
      <c r="G46" s="73">
        <v>798</v>
      </c>
      <c r="H46" s="74">
        <f t="shared" si="3"/>
        <v>0.71820000000000006</v>
      </c>
      <c r="I46" s="13">
        <f>F46/6*G46</f>
        <v>119.69999999999999</v>
      </c>
      <c r="J46" s="23"/>
      <c r="L46" s="19"/>
      <c r="M46" s="20"/>
      <c r="N46" s="21"/>
    </row>
    <row r="47" spans="1:14" ht="15.75" customHeight="1">
      <c r="A47" s="121" t="s">
        <v>160</v>
      </c>
      <c r="B47" s="122"/>
      <c r="C47" s="122"/>
      <c r="D47" s="122"/>
      <c r="E47" s="122"/>
      <c r="F47" s="122"/>
      <c r="G47" s="122"/>
      <c r="H47" s="122"/>
      <c r="I47" s="123"/>
      <c r="J47" s="23"/>
      <c r="L47" s="19"/>
      <c r="M47" s="20"/>
      <c r="N47" s="21"/>
    </row>
    <row r="48" spans="1:14" ht="15" customHeight="1">
      <c r="A48" s="29">
        <v>10</v>
      </c>
      <c r="B48" s="70" t="s">
        <v>151</v>
      </c>
      <c r="C48" s="71" t="s">
        <v>126</v>
      </c>
      <c r="D48" s="70" t="s">
        <v>43</v>
      </c>
      <c r="E48" s="72">
        <v>1061.3</v>
      </c>
      <c r="F48" s="73">
        <f>SUM(E48*2/1000)</f>
        <v>2.1225999999999998</v>
      </c>
      <c r="G48" s="13">
        <v>809.74</v>
      </c>
      <c r="H48" s="74">
        <f t="shared" ref="H48:H57" si="4">SUM(F48*G48/1000)</f>
        <v>1.7187541239999997</v>
      </c>
      <c r="I48" s="13">
        <f t="shared" ref="I48:I51" si="5">F48/2*G48</f>
        <v>859.37706199999991</v>
      </c>
      <c r="J48" s="23"/>
      <c r="L48" s="19"/>
      <c r="M48" s="20"/>
      <c r="N48" s="21"/>
    </row>
    <row r="49" spans="1:22" ht="15" customHeight="1">
      <c r="A49" s="29">
        <v>11</v>
      </c>
      <c r="B49" s="70" t="s">
        <v>36</v>
      </c>
      <c r="C49" s="71" t="s">
        <v>126</v>
      </c>
      <c r="D49" s="70" t="s">
        <v>43</v>
      </c>
      <c r="E49" s="72">
        <v>52</v>
      </c>
      <c r="F49" s="73">
        <f>SUM(E49*2/1000)</f>
        <v>0.104</v>
      </c>
      <c r="G49" s="13">
        <v>579.48</v>
      </c>
      <c r="H49" s="74">
        <f t="shared" si="4"/>
        <v>6.0265920000000001E-2</v>
      </c>
      <c r="I49" s="13">
        <f t="shared" si="5"/>
        <v>30.132960000000001</v>
      </c>
      <c r="J49" s="23"/>
      <c r="L49" s="19"/>
      <c r="M49" s="20"/>
      <c r="N49" s="21"/>
    </row>
    <row r="50" spans="1:22" ht="15" customHeight="1">
      <c r="A50" s="29">
        <v>12</v>
      </c>
      <c r="B50" s="70" t="s">
        <v>37</v>
      </c>
      <c r="C50" s="71" t="s">
        <v>126</v>
      </c>
      <c r="D50" s="70" t="s">
        <v>43</v>
      </c>
      <c r="E50" s="72">
        <v>1238.8</v>
      </c>
      <c r="F50" s="73">
        <f>SUM(E50*2/1000)</f>
        <v>2.4775999999999998</v>
      </c>
      <c r="G50" s="13">
        <v>579.48</v>
      </c>
      <c r="H50" s="74">
        <f t="shared" si="4"/>
        <v>1.4357196480000001</v>
      </c>
      <c r="I50" s="13">
        <f t="shared" si="5"/>
        <v>717.859824</v>
      </c>
      <c r="J50" s="23"/>
      <c r="L50" s="19"/>
      <c r="M50" s="20"/>
      <c r="N50" s="21"/>
    </row>
    <row r="51" spans="1:22" ht="15" customHeight="1">
      <c r="A51" s="29">
        <v>13</v>
      </c>
      <c r="B51" s="70" t="s">
        <v>38</v>
      </c>
      <c r="C51" s="71" t="s">
        <v>126</v>
      </c>
      <c r="D51" s="70" t="s">
        <v>43</v>
      </c>
      <c r="E51" s="72">
        <v>1794.01</v>
      </c>
      <c r="F51" s="73">
        <f>SUM(E51*2/1000)</f>
        <v>3.5880199999999998</v>
      </c>
      <c r="G51" s="13">
        <v>606.77</v>
      </c>
      <c r="H51" s="74">
        <f t="shared" si="4"/>
        <v>2.1771028954</v>
      </c>
      <c r="I51" s="13">
        <f t="shared" si="5"/>
        <v>1088.5514476999999</v>
      </c>
      <c r="J51" s="23"/>
      <c r="L51" s="19"/>
      <c r="M51" s="20"/>
      <c r="N51" s="21"/>
    </row>
    <row r="52" spans="1:22" ht="15" customHeight="1">
      <c r="A52" s="29">
        <v>14</v>
      </c>
      <c r="B52" s="70" t="s">
        <v>34</v>
      </c>
      <c r="C52" s="71" t="s">
        <v>35</v>
      </c>
      <c r="D52" s="70" t="s">
        <v>167</v>
      </c>
      <c r="E52" s="72">
        <v>85.78</v>
      </c>
      <c r="F52" s="73">
        <f>SUM(E52*2/100)</f>
        <v>1.7156</v>
      </c>
      <c r="G52" s="13">
        <v>72.81</v>
      </c>
      <c r="H52" s="74">
        <f t="shared" si="4"/>
        <v>0.124912836</v>
      </c>
      <c r="I52" s="13">
        <f>F52/2*G52</f>
        <v>62.456417999999999</v>
      </c>
      <c r="J52" s="23"/>
      <c r="L52" s="19"/>
      <c r="M52" s="20"/>
      <c r="N52" s="21"/>
    </row>
    <row r="53" spans="1:22" ht="15" customHeight="1">
      <c r="A53" s="29">
        <v>15</v>
      </c>
      <c r="B53" s="70" t="s">
        <v>58</v>
      </c>
      <c r="C53" s="71" t="s">
        <v>126</v>
      </c>
      <c r="D53" s="70" t="s">
        <v>187</v>
      </c>
      <c r="E53" s="72">
        <v>884</v>
      </c>
      <c r="F53" s="73">
        <f>SUM(E53*5/1000)</f>
        <v>4.42</v>
      </c>
      <c r="G53" s="13">
        <v>1213.55</v>
      </c>
      <c r="H53" s="74">
        <f t="shared" si="4"/>
        <v>5.3638909999999997</v>
      </c>
      <c r="I53" s="13">
        <f>F53/5*G53</f>
        <v>1072.7782</v>
      </c>
      <c r="J53" s="23"/>
      <c r="L53" s="19"/>
      <c r="M53" s="20"/>
      <c r="N53" s="21"/>
    </row>
    <row r="54" spans="1:22" ht="31.5" hidden="1" customHeight="1">
      <c r="A54" s="29"/>
      <c r="B54" s="70" t="s">
        <v>134</v>
      </c>
      <c r="C54" s="71" t="s">
        <v>126</v>
      </c>
      <c r="D54" s="70" t="s">
        <v>43</v>
      </c>
      <c r="E54" s="72">
        <v>884</v>
      </c>
      <c r="F54" s="73">
        <f>SUM(E54*2/1000)</f>
        <v>1.768</v>
      </c>
      <c r="G54" s="13">
        <v>1213.55</v>
      </c>
      <c r="H54" s="74">
        <f t="shared" si="4"/>
        <v>2.1455563999999998</v>
      </c>
      <c r="I54" s="13">
        <v>0</v>
      </c>
      <c r="J54" s="23"/>
      <c r="L54" s="19"/>
      <c r="M54" s="20"/>
      <c r="N54" s="21"/>
    </row>
    <row r="55" spans="1:22" ht="31.5" hidden="1" customHeight="1">
      <c r="A55" s="29"/>
      <c r="B55" s="70" t="s">
        <v>135</v>
      </c>
      <c r="C55" s="71" t="s">
        <v>39</v>
      </c>
      <c r="D55" s="70" t="s">
        <v>43</v>
      </c>
      <c r="E55" s="72">
        <v>20</v>
      </c>
      <c r="F55" s="73">
        <f>SUM(E55*2/100)</f>
        <v>0.4</v>
      </c>
      <c r="G55" s="13">
        <v>2730.49</v>
      </c>
      <c r="H55" s="74">
        <f t="shared" si="4"/>
        <v>1.0921959999999999</v>
      </c>
      <c r="I55" s="13">
        <v>0</v>
      </c>
      <c r="J55" s="23"/>
      <c r="L55" s="19"/>
      <c r="M55" s="20"/>
      <c r="N55" s="21"/>
    </row>
    <row r="56" spans="1:22" ht="15" hidden="1" customHeight="1">
      <c r="A56" s="29"/>
      <c r="B56" s="70" t="s">
        <v>40</v>
      </c>
      <c r="C56" s="71" t="s">
        <v>41</v>
      </c>
      <c r="D56" s="70" t="s">
        <v>43</v>
      </c>
      <c r="E56" s="72">
        <v>1</v>
      </c>
      <c r="F56" s="73">
        <v>0.02</v>
      </c>
      <c r="G56" s="13">
        <v>5652.13</v>
      </c>
      <c r="H56" s="74">
        <f t="shared" si="4"/>
        <v>0.11304260000000001</v>
      </c>
      <c r="I56" s="13">
        <v>0</v>
      </c>
      <c r="J56" s="23"/>
      <c r="L56" s="19"/>
      <c r="M56" s="20"/>
      <c r="N56" s="21"/>
    </row>
    <row r="57" spans="1:22" ht="15" hidden="1" customHeight="1">
      <c r="A57" s="29">
        <v>14</v>
      </c>
      <c r="B57" s="70" t="s">
        <v>42</v>
      </c>
      <c r="C57" s="71" t="s">
        <v>30</v>
      </c>
      <c r="D57" s="70" t="s">
        <v>73</v>
      </c>
      <c r="E57" s="72">
        <v>136</v>
      </c>
      <c r="F57" s="73">
        <f>SUM(E57)*3</f>
        <v>408</v>
      </c>
      <c r="G57" s="13">
        <v>65.67</v>
      </c>
      <c r="H57" s="74">
        <f t="shared" si="4"/>
        <v>26.79336</v>
      </c>
      <c r="I57" s="13">
        <f>E57*G57</f>
        <v>8931.1200000000008</v>
      </c>
      <c r="J57" s="23"/>
      <c r="L57" s="19"/>
      <c r="M57" s="20"/>
      <c r="N57" s="21"/>
    </row>
    <row r="58" spans="1:22" ht="15.75" customHeight="1">
      <c r="A58" s="121" t="s">
        <v>161</v>
      </c>
      <c r="B58" s="122"/>
      <c r="C58" s="122"/>
      <c r="D58" s="122"/>
      <c r="E58" s="122"/>
      <c r="F58" s="122"/>
      <c r="G58" s="122"/>
      <c r="H58" s="122"/>
      <c r="I58" s="123"/>
      <c r="J58" s="23"/>
      <c r="L58" s="19"/>
      <c r="M58" s="20"/>
      <c r="N58" s="21"/>
    </row>
    <row r="59" spans="1:22" ht="15" hidden="1" customHeight="1">
      <c r="A59" s="29"/>
      <c r="B59" s="93" t="s">
        <v>44</v>
      </c>
      <c r="C59" s="71"/>
      <c r="D59" s="70"/>
      <c r="E59" s="72"/>
      <c r="F59" s="73"/>
      <c r="G59" s="73"/>
      <c r="H59" s="74"/>
      <c r="I59" s="13"/>
      <c r="J59" s="23"/>
      <c r="L59" s="19"/>
      <c r="M59" s="20"/>
      <c r="N59" s="21"/>
    </row>
    <row r="60" spans="1:22" ht="31.5" hidden="1" customHeight="1">
      <c r="A60" s="29">
        <v>15</v>
      </c>
      <c r="B60" s="70" t="s">
        <v>137</v>
      </c>
      <c r="C60" s="71" t="s">
        <v>107</v>
      </c>
      <c r="D60" s="70" t="s">
        <v>74</v>
      </c>
      <c r="E60" s="72">
        <v>106.13</v>
      </c>
      <c r="F60" s="73">
        <f>E60*6/100</f>
        <v>6.3677999999999999</v>
      </c>
      <c r="G60" s="81">
        <v>1547.28</v>
      </c>
      <c r="H60" s="74">
        <f>F60*G60/1000</f>
        <v>9.8527695839999989</v>
      </c>
      <c r="I60" s="13">
        <f>F60/6*G60</f>
        <v>1642.1282639999999</v>
      </c>
      <c r="J60" s="23"/>
      <c r="L60" s="19"/>
    </row>
    <row r="61" spans="1:22" ht="15" customHeight="1">
      <c r="A61" s="29"/>
      <c r="B61" s="94" t="s">
        <v>45</v>
      </c>
      <c r="C61" s="82"/>
      <c r="D61" s="83"/>
      <c r="E61" s="84"/>
      <c r="F61" s="85"/>
      <c r="G61" s="86"/>
      <c r="H61" s="95"/>
      <c r="I61" s="13"/>
    </row>
    <row r="62" spans="1:22" ht="15" hidden="1" customHeight="1">
      <c r="A62" s="29"/>
      <c r="B62" s="83" t="s">
        <v>46</v>
      </c>
      <c r="C62" s="82" t="s">
        <v>54</v>
      </c>
      <c r="D62" s="83" t="s">
        <v>55</v>
      </c>
      <c r="E62" s="84">
        <v>884</v>
      </c>
      <c r="F62" s="85">
        <f>E62/100</f>
        <v>8.84</v>
      </c>
      <c r="G62" s="73">
        <v>793.61</v>
      </c>
      <c r="H62" s="95">
        <f>G62*F62/1000</f>
        <v>7.0155123999999995</v>
      </c>
      <c r="I62" s="13">
        <v>0</v>
      </c>
    </row>
    <row r="63" spans="1:22" ht="15" customHeight="1">
      <c r="A63" s="29">
        <v>16</v>
      </c>
      <c r="B63" s="83" t="s">
        <v>103</v>
      </c>
      <c r="C63" s="82" t="s">
        <v>25</v>
      </c>
      <c r="D63" s="83"/>
      <c r="E63" s="84">
        <v>176.8</v>
      </c>
      <c r="F63" s="85">
        <f>E63*12</f>
        <v>2121.6000000000004</v>
      </c>
      <c r="G63" s="73">
        <v>2.6</v>
      </c>
      <c r="H63" s="95">
        <f>G63*F63</f>
        <v>5516.1600000000008</v>
      </c>
      <c r="I63" s="13">
        <f>F63/12*G63</f>
        <v>459.68000000000012</v>
      </c>
    </row>
    <row r="64" spans="1:22" ht="15" customHeight="1">
      <c r="A64" s="29"/>
      <c r="B64" s="94" t="s">
        <v>47</v>
      </c>
      <c r="C64" s="82"/>
      <c r="D64" s="83"/>
      <c r="E64" s="84"/>
      <c r="F64" s="85"/>
      <c r="G64" s="73"/>
      <c r="H64" s="95" t="s">
        <v>144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" customHeight="1">
      <c r="A65" s="29">
        <v>17</v>
      </c>
      <c r="B65" s="14" t="s">
        <v>48</v>
      </c>
      <c r="C65" s="16" t="s">
        <v>136</v>
      </c>
      <c r="D65" s="14" t="s">
        <v>69</v>
      </c>
      <c r="E65" s="18">
        <v>20</v>
      </c>
      <c r="F65" s="73">
        <v>20</v>
      </c>
      <c r="G65" s="97">
        <v>222.4</v>
      </c>
      <c r="H65" s="96">
        <f t="shared" ref="H65:H80" si="6">SUM(F65*G65/1000)</f>
        <v>4.4480000000000004</v>
      </c>
      <c r="I65" s="13">
        <f>G65*6</f>
        <v>1334.4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29">
        <v>17</v>
      </c>
      <c r="B66" s="14" t="s">
        <v>49</v>
      </c>
      <c r="C66" s="16" t="s">
        <v>136</v>
      </c>
      <c r="D66" s="14" t="s">
        <v>69</v>
      </c>
      <c r="E66" s="14" t="s">
        <v>69</v>
      </c>
      <c r="F66" s="14" t="s">
        <v>69</v>
      </c>
      <c r="G66" s="13">
        <v>76.25</v>
      </c>
      <c r="H66" s="87" t="e">
        <f t="shared" si="6"/>
        <v>#VALUE!</v>
      </c>
      <c r="I66" s="13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29"/>
      <c r="B67" s="14" t="s">
        <v>50</v>
      </c>
      <c r="C67" s="16" t="s">
        <v>138</v>
      </c>
      <c r="D67" s="14" t="s">
        <v>55</v>
      </c>
      <c r="E67" s="72">
        <v>12647</v>
      </c>
      <c r="F67" s="13">
        <f>SUM(E67/100)</f>
        <v>126.47</v>
      </c>
      <c r="G67" s="13">
        <v>212.15</v>
      </c>
      <c r="H67" s="87">
        <f t="shared" si="6"/>
        <v>26.830610499999999</v>
      </c>
      <c r="I67" s="13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117"/>
      <c r="S67" s="117"/>
      <c r="T67" s="117"/>
      <c r="U67" s="117"/>
    </row>
    <row r="68" spans="1:21" ht="15" hidden="1" customHeight="1">
      <c r="A68" s="29"/>
      <c r="B68" s="14" t="s">
        <v>51</v>
      </c>
      <c r="C68" s="16" t="s">
        <v>139</v>
      </c>
      <c r="D68" s="14"/>
      <c r="E68" s="72">
        <v>12647</v>
      </c>
      <c r="F68" s="13">
        <f>SUM(E68/1000)</f>
        <v>12.647</v>
      </c>
      <c r="G68" s="13">
        <v>165.21</v>
      </c>
      <c r="H68" s="87">
        <f t="shared" si="6"/>
        <v>2.08941087</v>
      </c>
      <c r="I68" s="13">
        <f t="shared" ref="I68:I71" si="7">F68*G68</f>
        <v>2089.4108700000002</v>
      </c>
    </row>
    <row r="69" spans="1:21" ht="15" hidden="1" customHeight="1">
      <c r="A69" s="29"/>
      <c r="B69" s="14" t="s">
        <v>52</v>
      </c>
      <c r="C69" s="16" t="s">
        <v>80</v>
      </c>
      <c r="D69" s="14" t="s">
        <v>55</v>
      </c>
      <c r="E69" s="72">
        <v>1900</v>
      </c>
      <c r="F69" s="13">
        <f>SUM(E69/100)</f>
        <v>19</v>
      </c>
      <c r="G69" s="13">
        <v>2074.63</v>
      </c>
      <c r="H69" s="87">
        <f t="shared" si="6"/>
        <v>39.417970000000004</v>
      </c>
      <c r="I69" s="13">
        <f t="shared" si="7"/>
        <v>39417.97</v>
      </c>
    </row>
    <row r="70" spans="1:21" ht="15" hidden="1" customHeight="1">
      <c r="A70" s="29"/>
      <c r="B70" s="88" t="s">
        <v>140</v>
      </c>
      <c r="C70" s="16" t="s">
        <v>33</v>
      </c>
      <c r="D70" s="14"/>
      <c r="E70" s="72">
        <v>11.3</v>
      </c>
      <c r="F70" s="13">
        <f>SUM(E70)</f>
        <v>11.3</v>
      </c>
      <c r="G70" s="13">
        <v>42.67</v>
      </c>
      <c r="H70" s="87">
        <f t="shared" si="6"/>
        <v>0.48217100000000007</v>
      </c>
      <c r="I70" s="13">
        <f t="shared" si="7"/>
        <v>482.17100000000005</v>
      </c>
    </row>
    <row r="71" spans="1:21" ht="15" hidden="1" customHeight="1">
      <c r="A71" s="29"/>
      <c r="B71" s="88" t="s">
        <v>141</v>
      </c>
      <c r="C71" s="16" t="s">
        <v>33</v>
      </c>
      <c r="D71" s="14"/>
      <c r="E71" s="72">
        <v>11.3</v>
      </c>
      <c r="F71" s="13">
        <f>SUM(E71)</f>
        <v>11.3</v>
      </c>
      <c r="G71" s="13">
        <v>39.81</v>
      </c>
      <c r="H71" s="87">
        <f t="shared" si="6"/>
        <v>0.44985300000000006</v>
      </c>
      <c r="I71" s="13">
        <f t="shared" si="7"/>
        <v>449.85300000000007</v>
      </c>
    </row>
    <row r="72" spans="1:21" ht="15" customHeight="1">
      <c r="A72" s="29">
        <v>18</v>
      </c>
      <c r="B72" s="14" t="s">
        <v>59</v>
      </c>
      <c r="C72" s="16" t="s">
        <v>60</v>
      </c>
      <c r="D72" s="14" t="s">
        <v>55</v>
      </c>
      <c r="E72" s="18">
        <v>6</v>
      </c>
      <c r="F72" s="73">
        <f>SUM(E72)</f>
        <v>6</v>
      </c>
      <c r="G72" s="13">
        <v>49.88</v>
      </c>
      <c r="H72" s="87">
        <f t="shared" si="6"/>
        <v>0.29928000000000005</v>
      </c>
      <c r="I72" s="13">
        <f>F72*G72</f>
        <v>299.28000000000003</v>
      </c>
    </row>
    <row r="73" spans="1:21" ht="15" hidden="1" customHeight="1">
      <c r="A73" s="29"/>
      <c r="B73" s="60" t="s">
        <v>75</v>
      </c>
      <c r="C73" s="16"/>
      <c r="D73" s="14"/>
      <c r="E73" s="18"/>
      <c r="F73" s="13"/>
      <c r="G73" s="13"/>
      <c r="H73" s="87" t="s">
        <v>144</v>
      </c>
      <c r="I73" s="13"/>
    </row>
    <row r="74" spans="1:21" ht="15" hidden="1" customHeight="1">
      <c r="A74" s="29"/>
      <c r="B74" s="14" t="s">
        <v>76</v>
      </c>
      <c r="C74" s="16" t="s">
        <v>31</v>
      </c>
      <c r="D74" s="14"/>
      <c r="E74" s="18">
        <v>5</v>
      </c>
      <c r="F74" s="64">
        <v>0.5</v>
      </c>
      <c r="G74" s="13">
        <v>501.62</v>
      </c>
      <c r="H74" s="87">
        <v>0.251</v>
      </c>
      <c r="I74" s="13">
        <v>0</v>
      </c>
    </row>
    <row r="75" spans="1:21" ht="15" hidden="1" customHeight="1">
      <c r="A75" s="29"/>
      <c r="B75" s="14" t="s">
        <v>152</v>
      </c>
      <c r="C75" s="16" t="s">
        <v>30</v>
      </c>
      <c r="D75" s="14"/>
      <c r="E75" s="18">
        <v>2</v>
      </c>
      <c r="F75" s="13">
        <v>2</v>
      </c>
      <c r="G75" s="13">
        <v>99.85</v>
      </c>
      <c r="H75" s="87">
        <v>0.1</v>
      </c>
      <c r="I75" s="13">
        <v>0</v>
      </c>
    </row>
    <row r="76" spans="1:21" ht="15" hidden="1" customHeight="1">
      <c r="A76" s="29"/>
      <c r="B76" s="14" t="s">
        <v>153</v>
      </c>
      <c r="C76" s="16" t="s">
        <v>30</v>
      </c>
      <c r="D76" s="14"/>
      <c r="E76" s="18">
        <v>1</v>
      </c>
      <c r="F76" s="64">
        <v>1</v>
      </c>
      <c r="G76" s="13">
        <v>120.26</v>
      </c>
      <c r="H76" s="87">
        <v>0.12</v>
      </c>
      <c r="I76" s="13">
        <v>0</v>
      </c>
    </row>
    <row r="77" spans="1:21" ht="15" hidden="1" customHeight="1">
      <c r="A77" s="29"/>
      <c r="B77" s="14" t="s">
        <v>94</v>
      </c>
      <c r="C77" s="16" t="s">
        <v>30</v>
      </c>
      <c r="D77" s="14"/>
      <c r="E77" s="18">
        <v>1</v>
      </c>
      <c r="F77" s="73">
        <f>SUM(E77)</f>
        <v>1</v>
      </c>
      <c r="G77" s="13">
        <v>358.51</v>
      </c>
      <c r="H77" s="87">
        <f t="shared" si="6"/>
        <v>0.35851</v>
      </c>
      <c r="I77" s="13">
        <v>0</v>
      </c>
    </row>
    <row r="78" spans="1:21" ht="15" hidden="1" customHeight="1">
      <c r="A78" s="29"/>
      <c r="B78" s="14" t="s">
        <v>77</v>
      </c>
      <c r="C78" s="16" t="s">
        <v>30</v>
      </c>
      <c r="D78" s="14"/>
      <c r="E78" s="18">
        <v>1</v>
      </c>
      <c r="F78" s="13">
        <v>1</v>
      </c>
      <c r="G78" s="13">
        <v>852.99</v>
      </c>
      <c r="H78" s="87">
        <f>F78*G78/1000</f>
        <v>0.85299000000000003</v>
      </c>
      <c r="I78" s="13">
        <v>0</v>
      </c>
    </row>
    <row r="79" spans="1:21" ht="15" hidden="1" customHeight="1">
      <c r="A79" s="29"/>
      <c r="B79" s="89" t="s">
        <v>79</v>
      </c>
      <c r="C79" s="16"/>
      <c r="D79" s="14"/>
      <c r="E79" s="18"/>
      <c r="F79" s="13"/>
      <c r="G79" s="13" t="s">
        <v>144</v>
      </c>
      <c r="H79" s="87" t="s">
        <v>144</v>
      </c>
      <c r="I79" s="13"/>
    </row>
    <row r="80" spans="1:21" ht="15" hidden="1" customHeight="1">
      <c r="A80" s="29"/>
      <c r="B80" s="47" t="s">
        <v>145</v>
      </c>
      <c r="C80" s="16" t="s">
        <v>80</v>
      </c>
      <c r="D80" s="14"/>
      <c r="E80" s="18"/>
      <c r="F80" s="13">
        <v>0.2</v>
      </c>
      <c r="G80" s="13">
        <v>2759.44</v>
      </c>
      <c r="H80" s="87">
        <f t="shared" si="6"/>
        <v>0.55188800000000005</v>
      </c>
      <c r="I80" s="13">
        <v>0</v>
      </c>
    </row>
    <row r="81" spans="1:9" ht="15" hidden="1" customHeight="1">
      <c r="A81" s="29"/>
      <c r="B81" s="77" t="s">
        <v>142</v>
      </c>
      <c r="C81" s="89"/>
      <c r="D81" s="31"/>
      <c r="E81" s="32"/>
      <c r="F81" s="78"/>
      <c r="G81" s="78"/>
      <c r="H81" s="90" t="e">
        <f>SUM(H60:H80)</f>
        <v>#VALUE!</v>
      </c>
      <c r="I81" s="78"/>
    </row>
    <row r="82" spans="1:9" ht="15" hidden="1" customHeight="1">
      <c r="A82" s="29"/>
      <c r="B82" s="70" t="s">
        <v>143</v>
      </c>
      <c r="C82" s="16"/>
      <c r="D82" s="14"/>
      <c r="E82" s="65"/>
      <c r="F82" s="13">
        <v>1</v>
      </c>
      <c r="G82" s="13">
        <v>13437.4</v>
      </c>
      <c r="H82" s="87">
        <f>G82*F82/1000</f>
        <v>13.4374</v>
      </c>
      <c r="I82" s="13">
        <v>0</v>
      </c>
    </row>
    <row r="83" spans="1:9" ht="15.75" customHeight="1">
      <c r="A83" s="130" t="s">
        <v>162</v>
      </c>
      <c r="B83" s="131"/>
      <c r="C83" s="131"/>
      <c r="D83" s="131"/>
      <c r="E83" s="131"/>
      <c r="F83" s="131"/>
      <c r="G83" s="131"/>
      <c r="H83" s="131"/>
      <c r="I83" s="132"/>
    </row>
    <row r="84" spans="1:9" ht="15" customHeight="1">
      <c r="A84" s="29">
        <v>19</v>
      </c>
      <c r="B84" s="70" t="s">
        <v>146</v>
      </c>
      <c r="C84" s="16" t="s">
        <v>56</v>
      </c>
      <c r="D84" s="91" t="s">
        <v>57</v>
      </c>
      <c r="E84" s="13">
        <v>3031.3</v>
      </c>
      <c r="F84" s="13">
        <f>SUM(E84*12)</f>
        <v>36375.600000000006</v>
      </c>
      <c r="G84" s="13">
        <v>2.1</v>
      </c>
      <c r="H84" s="87">
        <f>SUM(F84*G84/1000)</f>
        <v>76.388760000000005</v>
      </c>
      <c r="I84" s="13">
        <f>F84/12*G84</f>
        <v>6365.7300000000014</v>
      </c>
    </row>
    <row r="85" spans="1:9" ht="31.5" customHeight="1">
      <c r="A85" s="29">
        <v>20</v>
      </c>
      <c r="B85" s="14" t="s">
        <v>81</v>
      </c>
      <c r="C85" s="16"/>
      <c r="D85" s="91" t="s">
        <v>57</v>
      </c>
      <c r="E85" s="72">
        <f>E84</f>
        <v>3031.3</v>
      </c>
      <c r="F85" s="13">
        <f>E85*12</f>
        <v>36375.600000000006</v>
      </c>
      <c r="G85" s="13">
        <v>1.63</v>
      </c>
      <c r="H85" s="87">
        <f>F85*G85/1000</f>
        <v>59.292228000000001</v>
      </c>
      <c r="I85" s="13">
        <f>F85/12*G85</f>
        <v>4941.0190000000011</v>
      </c>
    </row>
    <row r="86" spans="1:9" ht="15.75" customHeight="1">
      <c r="A86" s="48"/>
      <c r="B86" s="38" t="s">
        <v>84</v>
      </c>
      <c r="C86" s="40"/>
      <c r="D86" s="15"/>
      <c r="E86" s="15"/>
      <c r="F86" s="15"/>
      <c r="G86" s="18"/>
      <c r="H86" s="18"/>
      <c r="I86" s="32">
        <f>I16+I17+I18+I27+I28+I31+I32+I34+I35+I48+I49+I50+I51+I52+I53+I63+I65+I72+I84+I85</f>
        <v>45318.019866655559</v>
      </c>
    </row>
    <row r="87" spans="1:9" ht="15.75" customHeight="1">
      <c r="A87" s="124" t="s">
        <v>62</v>
      </c>
      <c r="B87" s="125"/>
      <c r="C87" s="125"/>
      <c r="D87" s="125"/>
      <c r="E87" s="125"/>
      <c r="F87" s="125"/>
      <c r="G87" s="125"/>
      <c r="H87" s="125"/>
      <c r="I87" s="126"/>
    </row>
    <row r="88" spans="1:9" ht="15.75" customHeight="1">
      <c r="A88" s="29">
        <v>21</v>
      </c>
      <c r="B88" s="52" t="s">
        <v>174</v>
      </c>
      <c r="C88" s="54" t="s">
        <v>88</v>
      </c>
      <c r="D88" s="47"/>
      <c r="E88" s="13"/>
      <c r="F88" s="13">
        <v>7</v>
      </c>
      <c r="G88" s="13">
        <v>195.85</v>
      </c>
      <c r="H88" s="87">
        <f t="shared" ref="H88:H90" si="8">G88*F88/1000</f>
        <v>1.3709500000000001</v>
      </c>
      <c r="I88" s="13">
        <f>G88</f>
        <v>195.85</v>
      </c>
    </row>
    <row r="89" spans="1:9" ht="31.5" customHeight="1">
      <c r="A89" s="29">
        <v>22</v>
      </c>
      <c r="B89" s="52" t="s">
        <v>83</v>
      </c>
      <c r="C89" s="54" t="s">
        <v>136</v>
      </c>
      <c r="D89" s="47"/>
      <c r="E89" s="13"/>
      <c r="F89" s="13">
        <v>6</v>
      </c>
      <c r="G89" s="13">
        <v>83.36</v>
      </c>
      <c r="H89" s="87">
        <f t="shared" si="8"/>
        <v>0.50015999999999994</v>
      </c>
      <c r="I89" s="13">
        <f>G89</f>
        <v>83.36</v>
      </c>
    </row>
    <row r="90" spans="1:9" ht="31.5" customHeight="1">
      <c r="A90" s="29">
        <v>23</v>
      </c>
      <c r="B90" s="52" t="s">
        <v>156</v>
      </c>
      <c r="C90" s="54" t="s">
        <v>39</v>
      </c>
      <c r="D90" s="109"/>
      <c r="E90" s="13"/>
      <c r="F90" s="13">
        <v>0.03</v>
      </c>
      <c r="G90" s="13">
        <v>3581.13</v>
      </c>
      <c r="H90" s="87">
        <f t="shared" si="8"/>
        <v>0.1074339</v>
      </c>
      <c r="I90" s="13">
        <f>G90*0.02</f>
        <v>71.622600000000006</v>
      </c>
    </row>
    <row r="91" spans="1:9" ht="31.5" customHeight="1">
      <c r="A91" s="29">
        <v>24</v>
      </c>
      <c r="B91" s="52" t="s">
        <v>95</v>
      </c>
      <c r="C91" s="54" t="s">
        <v>99</v>
      </c>
      <c r="D91" s="47"/>
      <c r="E91" s="35"/>
      <c r="F91" s="35">
        <v>3</v>
      </c>
      <c r="G91" s="36">
        <v>589.84</v>
      </c>
      <c r="H91" s="105">
        <f>G91*F91/1000</f>
        <v>1.76952</v>
      </c>
      <c r="I91" s="13">
        <f>G91*2</f>
        <v>1179.68</v>
      </c>
    </row>
    <row r="92" spans="1:9" ht="31.5" customHeight="1">
      <c r="A92" s="29">
        <v>25</v>
      </c>
      <c r="B92" s="52" t="s">
        <v>158</v>
      </c>
      <c r="C92" s="54" t="s">
        <v>85</v>
      </c>
      <c r="D92" s="47"/>
      <c r="E92" s="35"/>
      <c r="F92" s="35">
        <v>2</v>
      </c>
      <c r="G92" s="35">
        <v>1272</v>
      </c>
      <c r="H92" s="105">
        <f t="shared" ref="H92" si="9">G92*F92/1000</f>
        <v>2.544</v>
      </c>
      <c r="I92" s="13">
        <f>G92</f>
        <v>1272</v>
      </c>
    </row>
    <row r="93" spans="1:9" ht="15" customHeight="1">
      <c r="A93" s="29">
        <v>26</v>
      </c>
      <c r="B93" s="92" t="s">
        <v>224</v>
      </c>
      <c r="C93" s="69" t="s">
        <v>136</v>
      </c>
      <c r="D93" s="47"/>
      <c r="E93" s="35"/>
      <c r="F93" s="35">
        <v>5</v>
      </c>
      <c r="G93" s="35">
        <v>170.63</v>
      </c>
      <c r="H93" s="105">
        <f>G93*F93/1000</f>
        <v>0.85314999999999996</v>
      </c>
      <c r="I93" s="13">
        <f>G93</f>
        <v>170.63</v>
      </c>
    </row>
    <row r="94" spans="1:9" ht="15" customHeight="1">
      <c r="A94" s="29">
        <v>27</v>
      </c>
      <c r="B94" s="52" t="s">
        <v>232</v>
      </c>
      <c r="C94" s="54" t="s">
        <v>233</v>
      </c>
      <c r="D94" s="47"/>
      <c r="E94" s="13"/>
      <c r="F94" s="13">
        <v>0.01</v>
      </c>
      <c r="G94" s="13">
        <v>7412.92</v>
      </c>
      <c r="H94" s="87">
        <f t="shared" ref="H94" si="10">G94*F94/1000</f>
        <v>7.4129199999999992E-2</v>
      </c>
      <c r="I94" s="13">
        <f>G94*0.01</f>
        <v>74.129199999999997</v>
      </c>
    </row>
    <row r="95" spans="1:9" ht="15.75" customHeight="1">
      <c r="A95" s="29"/>
      <c r="B95" s="45" t="s">
        <v>53</v>
      </c>
      <c r="C95" s="41"/>
      <c r="D95" s="49"/>
      <c r="E95" s="41">
        <v>1</v>
      </c>
      <c r="F95" s="41"/>
      <c r="G95" s="41"/>
      <c r="H95" s="41"/>
      <c r="I95" s="32">
        <f>SUM(I88:I94)</f>
        <v>3047.2718</v>
      </c>
    </row>
    <row r="96" spans="1:9" ht="15.75" customHeight="1">
      <c r="A96" s="29"/>
      <c r="B96" s="47" t="s">
        <v>82</v>
      </c>
      <c r="C96" s="15"/>
      <c r="D96" s="15"/>
      <c r="E96" s="42"/>
      <c r="F96" s="42"/>
      <c r="G96" s="43"/>
      <c r="H96" s="43"/>
      <c r="I96" s="17">
        <v>0</v>
      </c>
    </row>
    <row r="97" spans="1:9" ht="15.75" customHeight="1">
      <c r="A97" s="50"/>
      <c r="B97" s="46" t="s">
        <v>207</v>
      </c>
      <c r="C97" s="34"/>
      <c r="D97" s="34"/>
      <c r="E97" s="34"/>
      <c r="F97" s="34"/>
      <c r="G97" s="34"/>
      <c r="H97" s="34"/>
      <c r="I97" s="44">
        <f>I86+I95</f>
        <v>48365.291666655561</v>
      </c>
    </row>
    <row r="98" spans="1:9" ht="15.75">
      <c r="A98" s="127" t="s">
        <v>234</v>
      </c>
      <c r="B98" s="127"/>
      <c r="C98" s="127"/>
      <c r="D98" s="127"/>
      <c r="E98" s="127"/>
      <c r="F98" s="127"/>
      <c r="G98" s="127"/>
      <c r="H98" s="127"/>
      <c r="I98" s="127"/>
    </row>
    <row r="99" spans="1:9" ht="15.75">
      <c r="A99" s="63"/>
      <c r="B99" s="128" t="s">
        <v>235</v>
      </c>
      <c r="C99" s="128"/>
      <c r="D99" s="128"/>
      <c r="E99" s="128"/>
      <c r="F99" s="128"/>
      <c r="G99" s="128"/>
      <c r="H99" s="68"/>
      <c r="I99" s="3"/>
    </row>
    <row r="100" spans="1:9">
      <c r="A100" s="59"/>
      <c r="B100" s="115" t="s">
        <v>6</v>
      </c>
      <c r="C100" s="115"/>
      <c r="D100" s="115"/>
      <c r="E100" s="115"/>
      <c r="F100" s="115"/>
      <c r="G100" s="115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29" t="s">
        <v>7</v>
      </c>
      <c r="B102" s="129"/>
      <c r="C102" s="129"/>
      <c r="D102" s="129"/>
      <c r="E102" s="129"/>
      <c r="F102" s="129"/>
      <c r="G102" s="129"/>
      <c r="H102" s="129"/>
      <c r="I102" s="129"/>
    </row>
    <row r="103" spans="1:9" ht="15.75">
      <c r="A103" s="129" t="s">
        <v>8</v>
      </c>
      <c r="B103" s="129"/>
      <c r="C103" s="129"/>
      <c r="D103" s="129"/>
      <c r="E103" s="129"/>
      <c r="F103" s="129"/>
      <c r="G103" s="129"/>
      <c r="H103" s="129"/>
      <c r="I103" s="129"/>
    </row>
    <row r="104" spans="1:9" ht="15.75">
      <c r="A104" s="119" t="s">
        <v>63</v>
      </c>
      <c r="B104" s="119"/>
      <c r="C104" s="119"/>
      <c r="D104" s="119"/>
      <c r="E104" s="119"/>
      <c r="F104" s="119"/>
      <c r="G104" s="119"/>
      <c r="H104" s="119"/>
      <c r="I104" s="119"/>
    </row>
    <row r="105" spans="1:9" ht="15.75">
      <c r="A105" s="11"/>
    </row>
    <row r="106" spans="1:9" ht="15.75">
      <c r="A106" s="113" t="s">
        <v>9</v>
      </c>
      <c r="B106" s="113"/>
      <c r="C106" s="113"/>
      <c r="D106" s="113"/>
      <c r="E106" s="113"/>
      <c r="F106" s="113"/>
      <c r="G106" s="113"/>
      <c r="H106" s="113"/>
      <c r="I106" s="113"/>
    </row>
    <row r="107" spans="1:9" ht="15.75">
      <c r="A107" s="4"/>
    </row>
    <row r="108" spans="1:9" ht="15.75">
      <c r="B108" s="62" t="s">
        <v>10</v>
      </c>
      <c r="C108" s="114" t="s">
        <v>96</v>
      </c>
      <c r="D108" s="114"/>
      <c r="E108" s="114"/>
      <c r="F108" s="66"/>
      <c r="I108" s="58"/>
    </row>
    <row r="109" spans="1:9">
      <c r="A109" s="59"/>
      <c r="C109" s="115" t="s">
        <v>11</v>
      </c>
      <c r="D109" s="115"/>
      <c r="E109" s="115"/>
      <c r="F109" s="24"/>
      <c r="I109" s="57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62" t="s">
        <v>13</v>
      </c>
      <c r="C111" s="116"/>
      <c r="D111" s="116"/>
      <c r="E111" s="116"/>
      <c r="F111" s="67"/>
      <c r="I111" s="58"/>
    </row>
    <row r="112" spans="1:9">
      <c r="A112" s="59"/>
      <c r="C112" s="117" t="s">
        <v>11</v>
      </c>
      <c r="D112" s="117"/>
      <c r="E112" s="117"/>
      <c r="F112" s="59"/>
      <c r="I112" s="57" t="s">
        <v>12</v>
      </c>
    </row>
    <row r="113" spans="1:9" ht="15.75">
      <c r="A113" s="4" t="s">
        <v>14</v>
      </c>
    </row>
    <row r="114" spans="1:9">
      <c r="A114" s="118" t="s">
        <v>15</v>
      </c>
      <c r="B114" s="118"/>
      <c r="C114" s="118"/>
      <c r="D114" s="118"/>
      <c r="E114" s="118"/>
      <c r="F114" s="118"/>
      <c r="G114" s="118"/>
      <c r="H114" s="118"/>
      <c r="I114" s="118"/>
    </row>
    <row r="115" spans="1:9" ht="45" customHeight="1">
      <c r="A115" s="112" t="s">
        <v>16</v>
      </c>
      <c r="B115" s="112"/>
      <c r="C115" s="112"/>
      <c r="D115" s="112"/>
      <c r="E115" s="112"/>
      <c r="F115" s="112"/>
      <c r="G115" s="112"/>
      <c r="H115" s="112"/>
      <c r="I115" s="112"/>
    </row>
    <row r="116" spans="1:9" ht="30" customHeight="1">
      <c r="A116" s="112" t="s">
        <v>17</v>
      </c>
      <c r="B116" s="112"/>
      <c r="C116" s="112"/>
      <c r="D116" s="112"/>
      <c r="E116" s="112"/>
      <c r="F116" s="112"/>
      <c r="G116" s="112"/>
      <c r="H116" s="112"/>
      <c r="I116" s="112"/>
    </row>
    <row r="117" spans="1:9" ht="30" customHeight="1">
      <c r="A117" s="112" t="s">
        <v>21</v>
      </c>
      <c r="B117" s="112"/>
      <c r="C117" s="112"/>
      <c r="D117" s="112"/>
      <c r="E117" s="112"/>
      <c r="F117" s="112"/>
      <c r="G117" s="112"/>
      <c r="H117" s="112"/>
      <c r="I117" s="112"/>
    </row>
    <row r="118" spans="1:9" ht="15.75">
      <c r="A118" s="112" t="s">
        <v>20</v>
      </c>
      <c r="B118" s="112"/>
      <c r="C118" s="112"/>
      <c r="D118" s="112"/>
      <c r="E118" s="112"/>
      <c r="F118" s="112"/>
      <c r="G118" s="112"/>
      <c r="H118" s="112"/>
      <c r="I118" s="112"/>
    </row>
  </sheetData>
  <autoFilter ref="I12:I62"/>
  <mergeCells count="29">
    <mergeCell ref="R67:U67"/>
    <mergeCell ref="A83:I83"/>
    <mergeCell ref="A3:I3"/>
    <mergeCell ref="A4:I4"/>
    <mergeCell ref="A5:I5"/>
    <mergeCell ref="A8:I8"/>
    <mergeCell ref="A10:I10"/>
    <mergeCell ref="A14:I14"/>
    <mergeCell ref="A104:I104"/>
    <mergeCell ref="A15:I15"/>
    <mergeCell ref="A29:I29"/>
    <mergeCell ref="A47:I47"/>
    <mergeCell ref="A58:I58"/>
    <mergeCell ref="A87:I87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2017-12-15T07:08:37Z</cp:lastPrinted>
  <dcterms:created xsi:type="dcterms:W3CDTF">2016-03-25T08:33:47Z</dcterms:created>
  <dcterms:modified xsi:type="dcterms:W3CDTF">2018-03-30T06:08:08Z</dcterms:modified>
</cp:coreProperties>
</file>