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5480" windowHeight="8280" activeTab="11"/>
  </bookViews>
  <sheets>
    <sheet name="01.18" sheetId="17" r:id="rId1"/>
    <sheet name="02.18" sheetId="18" r:id="rId2"/>
    <sheet name="03.18" sheetId="19" r:id="rId3"/>
    <sheet name="04.18" sheetId="20" r:id="rId4"/>
    <sheet name="05.18" sheetId="21" r:id="rId5"/>
    <sheet name="06.18" sheetId="22" r:id="rId6"/>
    <sheet name="07.18" sheetId="23" r:id="rId7"/>
    <sheet name="08.18" sheetId="24" r:id="rId8"/>
    <sheet name="09.18" sheetId="25" r:id="rId9"/>
    <sheet name="10.18" sheetId="26" r:id="rId10"/>
    <sheet name="11.18" sheetId="27" r:id="rId11"/>
    <sheet name="12.18" sheetId="28" r:id="rId12"/>
  </sheets>
  <definedNames>
    <definedName name="_xlnm._FilterDatabase" localSheetId="0" hidden="1">'01.18'!$I$12:$I$62</definedName>
    <definedName name="_xlnm._FilterDatabase" localSheetId="1" hidden="1">'02.18'!$I$12:$I$62</definedName>
    <definedName name="_xlnm._FilterDatabase" localSheetId="2" hidden="1">'03.18'!$I$12:$I$57</definedName>
    <definedName name="_xlnm.Print_Area" localSheetId="0">'01.18'!$A$1:$I$141</definedName>
    <definedName name="_xlnm.Print_Area" localSheetId="1">'02.18'!$A$1:$I$127</definedName>
    <definedName name="_xlnm.Print_Area" localSheetId="2">'03.18'!$A$1:$I$129</definedName>
  </definedNames>
  <calcPr calcId="124519"/>
</workbook>
</file>

<file path=xl/calcChain.xml><?xml version="1.0" encoding="utf-8"?>
<calcChain xmlns="http://schemas.openxmlformats.org/spreadsheetml/2006/main">
  <c r="I106" i="25"/>
  <c r="I105"/>
  <c r="I91" i="28"/>
  <c r="I105"/>
  <c r="I104"/>
  <c r="I103"/>
  <c r="I102"/>
  <c r="I101"/>
  <c r="I100"/>
  <c r="I99"/>
  <c r="I98"/>
  <c r="I97"/>
  <c r="I96"/>
  <c r="I95"/>
  <c r="I94"/>
  <c r="I93"/>
  <c r="I66"/>
  <c r="I44"/>
  <c r="H94"/>
  <c r="H93"/>
  <c r="E90"/>
  <c r="F90" s="1"/>
  <c r="F89"/>
  <c r="I89" s="1"/>
  <c r="H87"/>
  <c r="H85"/>
  <c r="F83"/>
  <c r="H83" s="1"/>
  <c r="H82"/>
  <c r="F81"/>
  <c r="H81" s="1"/>
  <c r="H80"/>
  <c r="F79"/>
  <c r="H79" s="1"/>
  <c r="F77"/>
  <c r="I77" s="1"/>
  <c r="F76"/>
  <c r="I76" s="1"/>
  <c r="I74"/>
  <c r="H74"/>
  <c r="F73"/>
  <c r="I73" s="1"/>
  <c r="F72"/>
  <c r="I72" s="1"/>
  <c r="F71"/>
  <c r="I71" s="1"/>
  <c r="F70"/>
  <c r="I70" s="1"/>
  <c r="F69"/>
  <c r="I69" s="1"/>
  <c r="F68"/>
  <c r="I68" s="1"/>
  <c r="F67"/>
  <c r="H67" s="1"/>
  <c r="F66"/>
  <c r="H66" s="1"/>
  <c r="F64"/>
  <c r="I64" s="1"/>
  <c r="F63"/>
  <c r="H63" s="1"/>
  <c r="I61"/>
  <c r="H61"/>
  <c r="I60"/>
  <c r="F59"/>
  <c r="I59" s="1"/>
  <c r="I58"/>
  <c r="F58"/>
  <c r="H58" s="1"/>
  <c r="F55"/>
  <c r="I55" s="1"/>
  <c r="I54"/>
  <c r="H54"/>
  <c r="F53"/>
  <c r="I53" s="1"/>
  <c r="F52"/>
  <c r="I52" s="1"/>
  <c r="H51"/>
  <c r="F51"/>
  <c r="I51" s="1"/>
  <c r="F50"/>
  <c r="I50" s="1"/>
  <c r="F49"/>
  <c r="I49" s="1"/>
  <c r="F48"/>
  <c r="I48" s="1"/>
  <c r="F47"/>
  <c r="I47" s="1"/>
  <c r="F45"/>
  <c r="I45" s="1"/>
  <c r="H44"/>
  <c r="F43"/>
  <c r="I43" s="1"/>
  <c r="F42"/>
  <c r="I42" s="1"/>
  <c r="H41"/>
  <c r="F40"/>
  <c r="I40" s="1"/>
  <c r="F39"/>
  <c r="I39" s="1"/>
  <c r="I38"/>
  <c r="H38"/>
  <c r="H36"/>
  <c r="H35"/>
  <c r="H34"/>
  <c r="F34"/>
  <c r="I34" s="1"/>
  <c r="E34"/>
  <c r="F33"/>
  <c r="I33" s="1"/>
  <c r="F32"/>
  <c r="I32" s="1"/>
  <c r="F31"/>
  <c r="I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H19" s="1"/>
  <c r="E18"/>
  <c r="F18" s="1"/>
  <c r="F17"/>
  <c r="I17" s="1"/>
  <c r="F16"/>
  <c r="H16" s="1"/>
  <c r="I91" i="27"/>
  <c r="I110"/>
  <c r="I94"/>
  <c r="I109"/>
  <c r="I108"/>
  <c r="I107"/>
  <c r="I66"/>
  <c r="I95"/>
  <c r="I106"/>
  <c r="I105"/>
  <c r="I104"/>
  <c r="I103"/>
  <c r="I102"/>
  <c r="I101"/>
  <c r="I100"/>
  <c r="I99"/>
  <c r="I98"/>
  <c r="I97"/>
  <c r="I96"/>
  <c r="I93"/>
  <c r="H43" i="28" l="1"/>
  <c r="H89"/>
  <c r="H17"/>
  <c r="H26"/>
  <c r="H39"/>
  <c r="H77"/>
  <c r="H73"/>
  <c r="H71"/>
  <c r="H69"/>
  <c r="H53"/>
  <c r="H49"/>
  <c r="H47"/>
  <c r="H32"/>
  <c r="H30"/>
  <c r="H24"/>
  <c r="H22"/>
  <c r="H20"/>
  <c r="I18"/>
  <c r="H18"/>
  <c r="H90"/>
  <c r="I90"/>
  <c r="I16"/>
  <c r="I19"/>
  <c r="H21"/>
  <c r="H23"/>
  <c r="H25"/>
  <c r="H27"/>
  <c r="H31"/>
  <c r="H33"/>
  <c r="H40"/>
  <c r="H42"/>
  <c r="H45"/>
  <c r="H48"/>
  <c r="H50"/>
  <c r="H52"/>
  <c r="H55"/>
  <c r="H59"/>
  <c r="H64"/>
  <c r="H68"/>
  <c r="H70"/>
  <c r="H72"/>
  <c r="H76"/>
  <c r="I44" i="27"/>
  <c r="H94"/>
  <c r="H93"/>
  <c r="E90"/>
  <c r="F90" s="1"/>
  <c r="I90" s="1"/>
  <c r="F89"/>
  <c r="I89" s="1"/>
  <c r="H87"/>
  <c r="H85"/>
  <c r="F83"/>
  <c r="H83" s="1"/>
  <c r="H82"/>
  <c r="F81"/>
  <c r="H81" s="1"/>
  <c r="H80"/>
  <c r="F79"/>
  <c r="H79" s="1"/>
  <c r="F77"/>
  <c r="I77" s="1"/>
  <c r="F76"/>
  <c r="I76" s="1"/>
  <c r="I74"/>
  <c r="H74"/>
  <c r="F73"/>
  <c r="I73" s="1"/>
  <c r="F72"/>
  <c r="I72" s="1"/>
  <c r="F71"/>
  <c r="I71" s="1"/>
  <c r="F70"/>
  <c r="I70" s="1"/>
  <c r="F69"/>
  <c r="I69" s="1"/>
  <c r="F68"/>
  <c r="I68" s="1"/>
  <c r="F67"/>
  <c r="H67" s="1"/>
  <c r="F66"/>
  <c r="H66" s="1"/>
  <c r="F64"/>
  <c r="I64" s="1"/>
  <c r="F63"/>
  <c r="H63" s="1"/>
  <c r="I61"/>
  <c r="H61"/>
  <c r="I60"/>
  <c r="F59"/>
  <c r="I59" s="1"/>
  <c r="I58"/>
  <c r="F58"/>
  <c r="H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5"/>
  <c r="I45" s="1"/>
  <c r="H44"/>
  <c r="F43"/>
  <c r="I43" s="1"/>
  <c r="F42"/>
  <c r="I42" s="1"/>
  <c r="H41"/>
  <c r="F40"/>
  <c r="I40" s="1"/>
  <c r="F39"/>
  <c r="I39" s="1"/>
  <c r="I38"/>
  <c r="H38"/>
  <c r="H36"/>
  <c r="H35"/>
  <c r="H34"/>
  <c r="F34"/>
  <c r="I34" s="1"/>
  <c r="E34"/>
  <c r="F33"/>
  <c r="I33" s="1"/>
  <c r="F32"/>
  <c r="I32" s="1"/>
  <c r="F31"/>
  <c r="I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H16" s="1"/>
  <c r="I107" i="28" l="1"/>
  <c r="H86"/>
  <c r="H40" i="27"/>
  <c r="H70"/>
  <c r="H42"/>
  <c r="H45"/>
  <c r="H59"/>
  <c r="H64"/>
  <c r="H76"/>
  <c r="H72"/>
  <c r="H68"/>
  <c r="H55"/>
  <c r="H52"/>
  <c r="H50"/>
  <c r="H48"/>
  <c r="H33"/>
  <c r="H31"/>
  <c r="H27"/>
  <c r="H25"/>
  <c r="H23"/>
  <c r="H21"/>
  <c r="H19"/>
  <c r="I16"/>
  <c r="H17"/>
  <c r="H18"/>
  <c r="H20"/>
  <c r="H22"/>
  <c r="H24"/>
  <c r="H26"/>
  <c r="H30"/>
  <c r="H32"/>
  <c r="H39"/>
  <c r="H43"/>
  <c r="H47"/>
  <c r="H49"/>
  <c r="H51"/>
  <c r="H53"/>
  <c r="H69"/>
  <c r="H71"/>
  <c r="H73"/>
  <c r="H77"/>
  <c r="H89"/>
  <c r="H90"/>
  <c r="I112" l="1"/>
  <c r="H86"/>
  <c r="I91" i="26" l="1"/>
  <c r="I119"/>
  <c r="I121"/>
  <c r="I120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5"/>
  <c r="I96"/>
  <c r="I94"/>
  <c r="I93"/>
  <c r="I61"/>
  <c r="H94"/>
  <c r="H93"/>
  <c r="E90"/>
  <c r="F90" s="1"/>
  <c r="F89"/>
  <c r="I89" s="1"/>
  <c r="H87"/>
  <c r="H85"/>
  <c r="F83"/>
  <c r="H83" s="1"/>
  <c r="H82"/>
  <c r="F81"/>
  <c r="H81" s="1"/>
  <c r="H80"/>
  <c r="F79"/>
  <c r="H79" s="1"/>
  <c r="F77"/>
  <c r="I77" s="1"/>
  <c r="F76"/>
  <c r="H76" s="1"/>
  <c r="I74"/>
  <c r="H74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H61"/>
  <c r="I60"/>
  <c r="F59"/>
  <c r="H59" s="1"/>
  <c r="I58"/>
  <c r="F58"/>
  <c r="H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1" i="25"/>
  <c r="I61"/>
  <c r="I66"/>
  <c r="I104"/>
  <c r="I103"/>
  <c r="I102"/>
  <c r="I101"/>
  <c r="I100"/>
  <c r="I99"/>
  <c r="I98"/>
  <c r="I97"/>
  <c r="I96"/>
  <c r="I95"/>
  <c r="I94"/>
  <c r="I93"/>
  <c r="H94"/>
  <c r="H93"/>
  <c r="E90"/>
  <c r="F90" s="1"/>
  <c r="F89"/>
  <c r="H89" s="1"/>
  <c r="H87"/>
  <c r="H85"/>
  <c r="F83"/>
  <c r="H83" s="1"/>
  <c r="H82"/>
  <c r="F81"/>
  <c r="H81" s="1"/>
  <c r="H80"/>
  <c r="F79"/>
  <c r="H79" s="1"/>
  <c r="F77"/>
  <c r="H77" s="1"/>
  <c r="F76"/>
  <c r="I76" s="1"/>
  <c r="I74"/>
  <c r="H74"/>
  <c r="F73"/>
  <c r="H73" s="1"/>
  <c r="F72"/>
  <c r="I72" s="1"/>
  <c r="F71"/>
  <c r="H71" s="1"/>
  <c r="F70"/>
  <c r="I70" s="1"/>
  <c r="F69"/>
  <c r="H69" s="1"/>
  <c r="F68"/>
  <c r="I68" s="1"/>
  <c r="F67"/>
  <c r="H67" s="1"/>
  <c r="F66"/>
  <c r="H66" s="1"/>
  <c r="F64"/>
  <c r="I64" s="1"/>
  <c r="F63"/>
  <c r="H63" s="1"/>
  <c r="H61"/>
  <c r="I60"/>
  <c r="F59"/>
  <c r="H59" s="1"/>
  <c r="I58"/>
  <c r="F58"/>
  <c r="H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I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05" i="24"/>
  <c r="I98"/>
  <c r="I99"/>
  <c r="I97"/>
  <c r="I104"/>
  <c r="I103"/>
  <c r="I95"/>
  <c r="I66"/>
  <c r="I102"/>
  <c r="H17" i="26" l="1"/>
  <c r="H26"/>
  <c r="H89"/>
  <c r="H30"/>
  <c r="H53"/>
  <c r="H73"/>
  <c r="H71"/>
  <c r="H69"/>
  <c r="H51"/>
  <c r="H49"/>
  <c r="H47"/>
  <c r="H43"/>
  <c r="H39"/>
  <c r="H32"/>
  <c r="H24"/>
  <c r="H22"/>
  <c r="H20"/>
  <c r="I18"/>
  <c r="H18"/>
  <c r="I90"/>
  <c r="H90"/>
  <c r="I16"/>
  <c r="I19"/>
  <c r="I21"/>
  <c r="I23"/>
  <c r="I25"/>
  <c r="I27"/>
  <c r="I31"/>
  <c r="I33"/>
  <c r="I40"/>
  <c r="I42"/>
  <c r="I45"/>
  <c r="I48"/>
  <c r="I50"/>
  <c r="I52"/>
  <c r="I55"/>
  <c r="I59"/>
  <c r="I64"/>
  <c r="I68"/>
  <c r="I70"/>
  <c r="I72"/>
  <c r="I76"/>
  <c r="H77"/>
  <c r="H17" i="25"/>
  <c r="H27"/>
  <c r="I18"/>
  <c r="H18"/>
  <c r="H90"/>
  <c r="I90"/>
  <c r="I16"/>
  <c r="I19"/>
  <c r="H20"/>
  <c r="I21"/>
  <c r="H22"/>
  <c r="I23"/>
  <c r="H24"/>
  <c r="I25"/>
  <c r="H26"/>
  <c r="H30"/>
  <c r="I31"/>
  <c r="H32"/>
  <c r="I33"/>
  <c r="H39"/>
  <c r="I40"/>
  <c r="I42"/>
  <c r="H43"/>
  <c r="I45"/>
  <c r="H47"/>
  <c r="I48"/>
  <c r="H49"/>
  <c r="I50"/>
  <c r="H51"/>
  <c r="I52"/>
  <c r="H53"/>
  <c r="I55"/>
  <c r="I59"/>
  <c r="H64"/>
  <c r="H68"/>
  <c r="I69"/>
  <c r="H70"/>
  <c r="I71"/>
  <c r="H72"/>
  <c r="I73"/>
  <c r="H76"/>
  <c r="I77"/>
  <c r="I89"/>
  <c r="I101" i="24"/>
  <c r="I100"/>
  <c r="I96"/>
  <c r="I86" i="18"/>
  <c r="I60"/>
  <c r="I86" i="17"/>
  <c r="H86" i="26" l="1"/>
  <c r="I123"/>
  <c r="H86" i="25"/>
  <c r="I108"/>
  <c r="I91" i="19"/>
  <c r="I94" i="24"/>
  <c r="I93"/>
  <c r="H94"/>
  <c r="H93"/>
  <c r="E90"/>
  <c r="F90" s="1"/>
  <c r="F89"/>
  <c r="H89" s="1"/>
  <c r="H87"/>
  <c r="H85"/>
  <c r="F83"/>
  <c r="H83" s="1"/>
  <c r="H82"/>
  <c r="F81"/>
  <c r="H81" s="1"/>
  <c r="H80"/>
  <c r="F79"/>
  <c r="H79" s="1"/>
  <c r="F77"/>
  <c r="H77" s="1"/>
  <c r="F76"/>
  <c r="I76" s="1"/>
  <c r="I74"/>
  <c r="H74"/>
  <c r="F73"/>
  <c r="H73" s="1"/>
  <c r="F72"/>
  <c r="I72" s="1"/>
  <c r="F71"/>
  <c r="H71" s="1"/>
  <c r="F70"/>
  <c r="I70" s="1"/>
  <c r="F69"/>
  <c r="H69" s="1"/>
  <c r="F68"/>
  <c r="I68" s="1"/>
  <c r="F67"/>
  <c r="H67" s="1"/>
  <c r="F66"/>
  <c r="H66" s="1"/>
  <c r="F64"/>
  <c r="I64" s="1"/>
  <c r="F63"/>
  <c r="H63" s="1"/>
  <c r="H61"/>
  <c r="I60"/>
  <c r="F59"/>
  <c r="H59" s="1"/>
  <c r="I58"/>
  <c r="F58"/>
  <c r="H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H16" s="1"/>
  <c r="I106" l="1"/>
  <c r="H64"/>
  <c r="H27"/>
  <c r="H76"/>
  <c r="H72"/>
  <c r="H70"/>
  <c r="H68"/>
  <c r="H51"/>
  <c r="H49"/>
  <c r="H47"/>
  <c r="H43"/>
  <c r="H39"/>
  <c r="H25"/>
  <c r="H23"/>
  <c r="H21"/>
  <c r="H19"/>
  <c r="I18"/>
  <c r="H18"/>
  <c r="H90"/>
  <c r="I90"/>
  <c r="I16"/>
  <c r="H17"/>
  <c r="H20"/>
  <c r="H22"/>
  <c r="H24"/>
  <c r="H26"/>
  <c r="H30"/>
  <c r="I31"/>
  <c r="H32"/>
  <c r="I33"/>
  <c r="I40"/>
  <c r="I42"/>
  <c r="I45"/>
  <c r="I48"/>
  <c r="I50"/>
  <c r="I52"/>
  <c r="H53"/>
  <c r="I55"/>
  <c r="I59"/>
  <c r="I69"/>
  <c r="I71"/>
  <c r="I73"/>
  <c r="I77"/>
  <c r="I89"/>
  <c r="I91" l="1"/>
  <c r="H86"/>
  <c r="I108"/>
  <c r="I94" i="23" l="1"/>
  <c r="I101" s="1"/>
  <c r="I91"/>
  <c r="I100"/>
  <c r="I99"/>
  <c r="I98"/>
  <c r="I97"/>
  <c r="I96"/>
  <c r="I95"/>
  <c r="I93"/>
  <c r="H100"/>
  <c r="H94"/>
  <c r="H93"/>
  <c r="E90"/>
  <c r="F90" s="1"/>
  <c r="F89"/>
  <c r="I89" s="1"/>
  <c r="H87"/>
  <c r="H85"/>
  <c r="F83"/>
  <c r="H83" s="1"/>
  <c r="H82"/>
  <c r="F81"/>
  <c r="H81" s="1"/>
  <c r="H80"/>
  <c r="H79"/>
  <c r="F79"/>
  <c r="F77"/>
  <c r="I77" s="1"/>
  <c r="F76"/>
  <c r="H76" s="1"/>
  <c r="I74"/>
  <c r="H74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H61"/>
  <c r="I60"/>
  <c r="F59"/>
  <c r="I59" s="1"/>
  <c r="I58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7"/>
  <c r="F17"/>
  <c r="I17" s="1"/>
  <c r="F16"/>
  <c r="I16" s="1"/>
  <c r="H33" l="1"/>
  <c r="H52"/>
  <c r="H50"/>
  <c r="I90"/>
  <c r="H90"/>
  <c r="H18"/>
  <c r="I18"/>
  <c r="H16"/>
  <c r="H19"/>
  <c r="I20"/>
  <c r="H21"/>
  <c r="I22"/>
  <c r="H23"/>
  <c r="I24"/>
  <c r="H25"/>
  <c r="I26"/>
  <c r="H27"/>
  <c r="I30"/>
  <c r="H31"/>
  <c r="I32"/>
  <c r="I39"/>
  <c r="H40"/>
  <c r="H42"/>
  <c r="I43"/>
  <c r="H45"/>
  <c r="I47"/>
  <c r="H48"/>
  <c r="I49"/>
  <c r="I51"/>
  <c r="I53"/>
  <c r="H55"/>
  <c r="H59"/>
  <c r="I64"/>
  <c r="I68"/>
  <c r="H69"/>
  <c r="I70"/>
  <c r="H71"/>
  <c r="I72"/>
  <c r="H73"/>
  <c r="I76"/>
  <c r="H77"/>
  <c r="H89"/>
  <c r="H86" l="1"/>
  <c r="I103"/>
  <c r="I91" i="22" l="1"/>
  <c r="I99" s="1"/>
  <c r="I97"/>
  <c r="I96"/>
  <c r="I95"/>
  <c r="I94"/>
  <c r="I93"/>
  <c r="H96"/>
  <c r="H95"/>
  <c r="H94"/>
  <c r="H93"/>
  <c r="E90"/>
  <c r="F90" s="1"/>
  <c r="F89"/>
  <c r="I89" s="1"/>
  <c r="H87"/>
  <c r="H85"/>
  <c r="F83"/>
  <c r="H83" s="1"/>
  <c r="H82"/>
  <c r="F81"/>
  <c r="H81" s="1"/>
  <c r="H80"/>
  <c r="F79"/>
  <c r="H79" s="1"/>
  <c r="F77"/>
  <c r="I77" s="1"/>
  <c r="F76"/>
  <c r="H76" s="1"/>
  <c r="I74"/>
  <c r="H74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H61"/>
  <c r="I60"/>
  <c r="F59"/>
  <c r="I59" s="1"/>
  <c r="I58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H16"/>
  <c r="F16"/>
  <c r="I16" s="1"/>
  <c r="I91" i="21"/>
  <c r="I102"/>
  <c r="I25"/>
  <c r="I24"/>
  <c r="I23"/>
  <c r="I22"/>
  <c r="I19"/>
  <c r="I97"/>
  <c r="I96"/>
  <c r="I95"/>
  <c r="I94"/>
  <c r="I93"/>
  <c r="H101"/>
  <c r="H100"/>
  <c r="H99"/>
  <c r="H98"/>
  <c r="H97"/>
  <c r="H96"/>
  <c r="H95"/>
  <c r="H94"/>
  <c r="H93"/>
  <c r="F90"/>
  <c r="I90" s="1"/>
  <c r="E90"/>
  <c r="F89"/>
  <c r="I89" s="1"/>
  <c r="H87"/>
  <c r="H85"/>
  <c r="F83"/>
  <c r="H83" s="1"/>
  <c r="H82"/>
  <c r="F81"/>
  <c r="H81" s="1"/>
  <c r="H80"/>
  <c r="H79"/>
  <c r="F79"/>
  <c r="F77"/>
  <c r="I77" s="1"/>
  <c r="H76"/>
  <c r="F76"/>
  <c r="I76" s="1"/>
  <c r="I74"/>
  <c r="H74"/>
  <c r="F73"/>
  <c r="I73" s="1"/>
  <c r="H72"/>
  <c r="F72"/>
  <c r="I72" s="1"/>
  <c r="F71"/>
  <c r="I71" s="1"/>
  <c r="H70"/>
  <c r="F70"/>
  <c r="I70" s="1"/>
  <c r="F69"/>
  <c r="I69" s="1"/>
  <c r="H68"/>
  <c r="F68"/>
  <c r="I68" s="1"/>
  <c r="F67"/>
  <c r="H67" s="1"/>
  <c r="I66"/>
  <c r="F66"/>
  <c r="H66" s="1"/>
  <c r="H64"/>
  <c r="F64"/>
  <c r="I64" s="1"/>
  <c r="F63"/>
  <c r="H63" s="1"/>
  <c r="H61"/>
  <c r="I60"/>
  <c r="F59"/>
  <c r="I59" s="1"/>
  <c r="I58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I43" s="1"/>
  <c r="F42"/>
  <c r="I42" s="1"/>
  <c r="H41"/>
  <c r="F40"/>
  <c r="I40" s="1"/>
  <c r="F39"/>
  <c r="I39" s="1"/>
  <c r="I38"/>
  <c r="H38"/>
  <c r="H36"/>
  <c r="H35"/>
  <c r="H34"/>
  <c r="F34"/>
  <c r="I34" s="1"/>
  <c r="E34"/>
  <c r="F33"/>
  <c r="I33" s="1"/>
  <c r="H32"/>
  <c r="F32"/>
  <c r="I32" s="1"/>
  <c r="F31"/>
  <c r="I31" s="1"/>
  <c r="H30"/>
  <c r="F30"/>
  <c r="I30" s="1"/>
  <c r="F27"/>
  <c r="I27" s="1"/>
  <c r="H26"/>
  <c r="F26"/>
  <c r="I26" s="1"/>
  <c r="H25"/>
  <c r="F25"/>
  <c r="H24"/>
  <c r="F24"/>
  <c r="H23"/>
  <c r="F23"/>
  <c r="H22"/>
  <c r="F22"/>
  <c r="F21"/>
  <c r="I21" s="1"/>
  <c r="H20"/>
  <c r="F20"/>
  <c r="I20" s="1"/>
  <c r="H19"/>
  <c r="F19"/>
  <c r="F18"/>
  <c r="I18" s="1"/>
  <c r="E18"/>
  <c r="F17"/>
  <c r="I17" s="1"/>
  <c r="H16"/>
  <c r="F16"/>
  <c r="I16" s="1"/>
  <c r="I91" i="20"/>
  <c r="I97"/>
  <c r="I98"/>
  <c r="H27" i="22" l="1"/>
  <c r="H33"/>
  <c r="H55"/>
  <c r="H19"/>
  <c r="H31"/>
  <c r="H77"/>
  <c r="H89"/>
  <c r="H73"/>
  <c r="H71"/>
  <c r="H69"/>
  <c r="H59"/>
  <c r="H52"/>
  <c r="H50"/>
  <c r="H48"/>
  <c r="H45"/>
  <c r="H42"/>
  <c r="H40"/>
  <c r="H25"/>
  <c r="H23"/>
  <c r="H21"/>
  <c r="I90"/>
  <c r="H90"/>
  <c r="I17"/>
  <c r="I18"/>
  <c r="I20"/>
  <c r="I22"/>
  <c r="I24"/>
  <c r="I26"/>
  <c r="I30"/>
  <c r="I32"/>
  <c r="I39"/>
  <c r="I43"/>
  <c r="I47"/>
  <c r="I49"/>
  <c r="I51"/>
  <c r="I53"/>
  <c r="I64"/>
  <c r="I68"/>
  <c r="I70"/>
  <c r="I72"/>
  <c r="I76"/>
  <c r="H39" i="21"/>
  <c r="H43"/>
  <c r="H17"/>
  <c r="H18"/>
  <c r="H21"/>
  <c r="H27"/>
  <c r="H31"/>
  <c r="H33"/>
  <c r="H40"/>
  <c r="H42"/>
  <c r="H45"/>
  <c r="I47"/>
  <c r="H48"/>
  <c r="I49"/>
  <c r="H50"/>
  <c r="I51"/>
  <c r="H52"/>
  <c r="I53"/>
  <c r="I104" s="1"/>
  <c r="H55"/>
  <c r="H59"/>
  <c r="H86" s="1"/>
  <c r="H69"/>
  <c r="H71"/>
  <c r="H73"/>
  <c r="H77"/>
  <c r="H89"/>
  <c r="H90"/>
  <c r="H86" i="22" l="1"/>
  <c r="I58" i="20"/>
  <c r="I94"/>
  <c r="I66"/>
  <c r="I66" i="19"/>
  <c r="I101" i="20"/>
  <c r="I102" s="1"/>
  <c r="I100"/>
  <c r="I99"/>
  <c r="I96"/>
  <c r="I95"/>
  <c r="I93"/>
  <c r="H101"/>
  <c r="H100"/>
  <c r="H99"/>
  <c r="H98"/>
  <c r="H97"/>
  <c r="H96"/>
  <c r="H95"/>
  <c r="H94"/>
  <c r="H93"/>
  <c r="E90"/>
  <c r="F90" s="1"/>
  <c r="F89"/>
  <c r="I89" s="1"/>
  <c r="H87"/>
  <c r="H85"/>
  <c r="F83"/>
  <c r="H83" s="1"/>
  <c r="H82"/>
  <c r="F81"/>
  <c r="H81" s="1"/>
  <c r="H80"/>
  <c r="F79"/>
  <c r="H79" s="1"/>
  <c r="F77"/>
  <c r="I77" s="1"/>
  <c r="F76"/>
  <c r="H76" s="1"/>
  <c r="I74"/>
  <c r="H74"/>
  <c r="F73"/>
  <c r="I73" s="1"/>
  <c r="F72"/>
  <c r="H72" s="1"/>
  <c r="F71"/>
  <c r="I71" s="1"/>
  <c r="F70"/>
  <c r="H70" s="1"/>
  <c r="F69"/>
  <c r="I69" s="1"/>
  <c r="F68"/>
  <c r="H68" s="1"/>
  <c r="F67"/>
  <c r="H67" s="1"/>
  <c r="F66"/>
  <c r="H66" s="1"/>
  <c r="F64"/>
  <c r="H64" s="1"/>
  <c r="F63"/>
  <c r="H63" s="1"/>
  <c r="H61"/>
  <c r="I60"/>
  <c r="F59"/>
  <c r="I59" s="1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40"/>
  <c r="H89"/>
  <c r="H45"/>
  <c r="H27"/>
  <c r="H21"/>
  <c r="H42"/>
  <c r="H59"/>
  <c r="H77"/>
  <c r="H69"/>
  <c r="H71"/>
  <c r="H73"/>
  <c r="H86"/>
  <c r="H55"/>
  <c r="H52"/>
  <c r="H50"/>
  <c r="H48"/>
  <c r="H31"/>
  <c r="H33"/>
  <c r="I90"/>
  <c r="H90"/>
  <c r="I18"/>
  <c r="H18"/>
  <c r="I16"/>
  <c r="I20"/>
  <c r="I26"/>
  <c r="I30"/>
  <c r="I32"/>
  <c r="I39"/>
  <c r="I43"/>
  <c r="I47"/>
  <c r="I49"/>
  <c r="I51"/>
  <c r="I53"/>
  <c r="I64"/>
  <c r="I68"/>
  <c r="I70"/>
  <c r="I72"/>
  <c r="I76"/>
  <c r="I104" l="1"/>
  <c r="I44" i="19" l="1"/>
  <c r="I43"/>
  <c r="I106"/>
  <c r="I105"/>
  <c r="I104"/>
  <c r="I103"/>
  <c r="I102"/>
  <c r="I101"/>
  <c r="I100"/>
  <c r="I99"/>
  <c r="I97"/>
  <c r="I96"/>
  <c r="I95"/>
  <c r="I94"/>
  <c r="I93"/>
  <c r="H105"/>
  <c r="H104"/>
  <c r="H103"/>
  <c r="H102"/>
  <c r="H101"/>
  <c r="H100"/>
  <c r="H99"/>
  <c r="H98"/>
  <c r="H97"/>
  <c r="H96"/>
  <c r="H95"/>
  <c r="H94"/>
  <c r="H93"/>
  <c r="I74"/>
  <c r="I60"/>
  <c r="I54"/>
  <c r="E90" l="1"/>
  <c r="F90" s="1"/>
  <c r="H90" s="1"/>
  <c r="F89"/>
  <c r="H87"/>
  <c r="H85"/>
  <c r="F83"/>
  <c r="H83" s="1"/>
  <c r="H82"/>
  <c r="F81"/>
  <c r="H81" s="1"/>
  <c r="H80"/>
  <c r="F79"/>
  <c r="H79" s="1"/>
  <c r="F77"/>
  <c r="F76"/>
  <c r="H74"/>
  <c r="F73"/>
  <c r="F72"/>
  <c r="F71"/>
  <c r="F70"/>
  <c r="F69"/>
  <c r="F68"/>
  <c r="F67"/>
  <c r="H67" s="1"/>
  <c r="F66"/>
  <c r="H66" s="1"/>
  <c r="F64"/>
  <c r="F63"/>
  <c r="H63" s="1"/>
  <c r="H61"/>
  <c r="F59"/>
  <c r="F58"/>
  <c r="F55"/>
  <c r="H54"/>
  <c r="F53"/>
  <c r="F52"/>
  <c r="F51"/>
  <c r="F50"/>
  <c r="F49"/>
  <c r="F48"/>
  <c r="F47"/>
  <c r="F45"/>
  <c r="H45" s="1"/>
  <c r="H44"/>
  <c r="F43"/>
  <c r="H43" s="1"/>
  <c r="F42"/>
  <c r="H42" s="1"/>
  <c r="H41"/>
  <c r="F40"/>
  <c r="H40" s="1"/>
  <c r="F39"/>
  <c r="H39" s="1"/>
  <c r="H38"/>
  <c r="F27"/>
  <c r="H27" s="1"/>
  <c r="H36"/>
  <c r="H35"/>
  <c r="F26"/>
  <c r="H26" s="1"/>
  <c r="H34"/>
  <c r="F34"/>
  <c r="I34" s="1"/>
  <c r="E34"/>
  <c r="F33"/>
  <c r="H33" s="1"/>
  <c r="F32"/>
  <c r="H32" s="1"/>
  <c r="F31"/>
  <c r="H31" s="1"/>
  <c r="F30"/>
  <c r="H30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89" l="1"/>
  <c r="I89"/>
  <c r="H59"/>
  <c r="I59"/>
  <c r="H77"/>
  <c r="I77"/>
  <c r="H58"/>
  <c r="I58"/>
  <c r="H64"/>
  <c r="I64"/>
  <c r="H76"/>
  <c r="I76"/>
  <c r="H68"/>
  <c r="I68"/>
  <c r="H70"/>
  <c r="I70"/>
  <c r="H72"/>
  <c r="I72"/>
  <c r="H69"/>
  <c r="I69"/>
  <c r="H71"/>
  <c r="I71"/>
  <c r="H73"/>
  <c r="I73"/>
  <c r="H86"/>
  <c r="H47"/>
  <c r="I47"/>
  <c r="H49"/>
  <c r="I49"/>
  <c r="H51"/>
  <c r="I51"/>
  <c r="H53"/>
  <c r="I53"/>
  <c r="H55"/>
  <c r="I55"/>
  <c r="H48"/>
  <c r="I48"/>
  <c r="H50"/>
  <c r="I50"/>
  <c r="H52"/>
  <c r="I52"/>
  <c r="I42"/>
  <c r="I39"/>
  <c r="I45"/>
  <c r="I40"/>
  <c r="I26"/>
  <c r="I30"/>
  <c r="I33"/>
  <c r="I32"/>
  <c r="I27"/>
  <c r="I31"/>
  <c r="I89" i="18" l="1"/>
  <c r="H89"/>
  <c r="I46"/>
  <c r="I45"/>
  <c r="I118" i="17" l="1"/>
  <c r="I46"/>
  <c r="I45"/>
  <c r="I103" i="18" l="1"/>
  <c r="I102"/>
  <c r="I101"/>
  <c r="I100"/>
  <c r="I99"/>
  <c r="I98"/>
  <c r="I97"/>
  <c r="I95"/>
  <c r="I96"/>
  <c r="I94"/>
  <c r="I93"/>
  <c r="I91"/>
  <c r="I92"/>
  <c r="I90"/>
  <c r="H103"/>
  <c r="H102"/>
  <c r="H101"/>
  <c r="H100"/>
  <c r="H99"/>
  <c r="F99"/>
  <c r="H98"/>
  <c r="H97"/>
  <c r="H96"/>
  <c r="H95"/>
  <c r="H94"/>
  <c r="H93"/>
  <c r="H92"/>
  <c r="H91"/>
  <c r="H90"/>
  <c r="I88"/>
  <c r="H88"/>
  <c r="I66"/>
  <c r="F64"/>
  <c r="I91" i="17"/>
  <c r="H91"/>
  <c r="I90"/>
  <c r="H90"/>
  <c r="I89"/>
  <c r="H89"/>
  <c r="I88"/>
  <c r="H88"/>
  <c r="I66"/>
  <c r="F64"/>
  <c r="H64" s="1"/>
  <c r="F77"/>
  <c r="H77" s="1"/>
  <c r="I104" i="18" l="1"/>
  <c r="I98" i="19" l="1"/>
  <c r="I76" i="18" l="1"/>
  <c r="I77" i="17"/>
  <c r="I38" i="19" l="1"/>
  <c r="I20"/>
  <c r="I17"/>
  <c r="E85" i="18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I64"/>
  <c r="F63"/>
  <c r="H63" s="1"/>
  <c r="F60"/>
  <c r="F59"/>
  <c r="H59" s="1"/>
  <c r="I56"/>
  <c r="F56"/>
  <c r="H56" s="1"/>
  <c r="H55"/>
  <c r="F54"/>
  <c r="H54" s="1"/>
  <c r="F53"/>
  <c r="F52"/>
  <c r="I52" s="1"/>
  <c r="F51"/>
  <c r="H51" s="1"/>
  <c r="F50"/>
  <c r="H50" s="1"/>
  <c r="F49"/>
  <c r="H49" s="1"/>
  <c r="F48"/>
  <c r="H48" s="1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F117" i="17"/>
  <c r="H117" s="1"/>
  <c r="H115"/>
  <c r="F114"/>
  <c r="H114" s="1"/>
  <c r="H113"/>
  <c r="H112"/>
  <c r="H111"/>
  <c r="H110"/>
  <c r="H109"/>
  <c r="H108"/>
  <c r="H107"/>
  <c r="H106"/>
  <c r="H105"/>
  <c r="H104"/>
  <c r="H103"/>
  <c r="H102"/>
  <c r="F101"/>
  <c r="H101" s="1"/>
  <c r="H100"/>
  <c r="F99"/>
  <c r="H99" s="1"/>
  <c r="H98"/>
  <c r="H97"/>
  <c r="G96"/>
  <c r="H96" s="1"/>
  <c r="F95"/>
  <c r="H95" s="1"/>
  <c r="F94"/>
  <c r="H94" s="1"/>
  <c r="F93"/>
  <c r="H93" s="1"/>
  <c r="H92"/>
  <c r="E85"/>
  <c r="F85" s="1"/>
  <c r="F84"/>
  <c r="H84" s="1"/>
  <c r="H82"/>
  <c r="H80"/>
  <c r="H78"/>
  <c r="I74"/>
  <c r="F73"/>
  <c r="H73" s="1"/>
  <c r="F72"/>
  <c r="H72" s="1"/>
  <c r="F71"/>
  <c r="H71" s="1"/>
  <c r="F70"/>
  <c r="H70" s="1"/>
  <c r="F69"/>
  <c r="H69" s="1"/>
  <c r="F68"/>
  <c r="H68" s="1"/>
  <c r="H67"/>
  <c r="H66"/>
  <c r="I64"/>
  <c r="F63"/>
  <c r="H63" s="1"/>
  <c r="F60"/>
  <c r="I60" s="1"/>
  <c r="I12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H46"/>
  <c r="F45"/>
  <c r="F44"/>
  <c r="I44" s="1"/>
  <c r="F43"/>
  <c r="I43" s="1"/>
  <c r="H42"/>
  <c r="F41"/>
  <c r="I41" s="1"/>
  <c r="I40"/>
  <c r="H40"/>
  <c r="F38"/>
  <c r="H38" s="1"/>
  <c r="F28"/>
  <c r="I28" s="1"/>
  <c r="H37"/>
  <c r="H36"/>
  <c r="F27"/>
  <c r="I27" s="1"/>
  <c r="H35"/>
  <c r="F35"/>
  <c r="I35" s="1"/>
  <c r="F34"/>
  <c r="H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H53" i="18" l="1"/>
  <c r="I53"/>
  <c r="I18" i="19"/>
  <c r="I16"/>
  <c r="I21"/>
  <c r="I90"/>
  <c r="H64" i="18"/>
  <c r="H18"/>
  <c r="I18"/>
  <c r="H85"/>
  <c r="I85"/>
  <c r="I16"/>
  <c r="H20"/>
  <c r="I21"/>
  <c r="H27"/>
  <c r="I28"/>
  <c r="H31"/>
  <c r="I32"/>
  <c r="H33"/>
  <c r="I34"/>
  <c r="I41"/>
  <c r="I43"/>
  <c r="H44"/>
  <c r="H52"/>
  <c r="I59"/>
  <c r="H60"/>
  <c r="I68"/>
  <c r="H69"/>
  <c r="I70"/>
  <c r="H71"/>
  <c r="I72"/>
  <c r="H73"/>
  <c r="I84"/>
  <c r="I73" i="17"/>
  <c r="I71"/>
  <c r="I69"/>
  <c r="I68"/>
  <c r="I72"/>
  <c r="I70"/>
  <c r="I31"/>
  <c r="I34"/>
  <c r="I33"/>
  <c r="I32"/>
  <c r="H28"/>
  <c r="H43"/>
  <c r="H16"/>
  <c r="H41"/>
  <c r="H45"/>
  <c r="H52"/>
  <c r="H59"/>
  <c r="I18"/>
  <c r="H18"/>
  <c r="I85"/>
  <c r="H85"/>
  <c r="I20"/>
  <c r="H21"/>
  <c r="H27"/>
  <c r="H44"/>
  <c r="H60"/>
  <c r="I84"/>
  <c r="I106" i="18" l="1"/>
  <c r="I108" i="19"/>
</calcChain>
</file>

<file path=xl/sharedStrings.xml><?xml version="1.0" encoding="utf-8"?>
<sst xmlns="http://schemas.openxmlformats.org/spreadsheetml/2006/main" count="3118" uniqueCount="346">
  <si>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</si>
  <si>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</si>
  <si>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</si>
  <si>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</si>
  <si>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</si>
  <si>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</si>
  <si>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</si>
  <si>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</si>
  <si>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</si>
  <si>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</si>
  <si>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</si>
  <si>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</si>
  <si>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</si>
  <si>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</si>
  <si>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</si>
  <si>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</si>
  <si>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</si>
  <si>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</si>
  <si>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</si>
  <si>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</si>
  <si>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</si>
  <si>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</si>
  <si>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</si>
  <si>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</si>
  <si>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</si>
  <si>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</si>
  <si>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</si>
  <si>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</si>
  <si>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</si>
  <si>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</si>
  <si>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</si>
  <si>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</si>
  <si>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</si>
  <si>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</si>
  <si>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</si>
  <si>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</si>
  <si>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</si>
  <si>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</si>
  <si>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</si>
  <si>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</si>
  <si>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</si>
  <si>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</si>
  <si>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</si>
  <si>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</si>
  <si>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</si>
  <si>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</si>
  <si>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</si>
  <si>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</si>
  <si>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</si>
  <si>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</si>
  <si>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</si>
  <si>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</si>
  <si>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</si>
  <si>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</si>
  <si>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</si>
  <si>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</si>
  <si>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</si>
  <si>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</si>
  <si>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</si>
  <si>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</si>
  <si>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</si>
  <si>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</si>
  <si>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</si>
  <si>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</si>
  <si>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</si>
  <si>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</si>
  <si>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</si>
  <si>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</si>
  <si>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</si>
  <si>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</si>
  <si>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</si>
  <si>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</si>
  <si>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</si>
  <si>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</si>
  <si>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</si>
  <si>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</si>
  <si>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</si>
  <si>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</si>
  <si>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</si>
  <si>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</si>
  <si>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</si>
  <si>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</si>
  <si>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</si>
  <si>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</si>
  <si>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</si>
  <si>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</si>
  <si>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</si>
  <si>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</si>
  <si>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</si>
  <si>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</si>
  <si>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</si>
  <si>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</si>
  <si>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</si>
  <si>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</si>
  <si>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</si>
  <si>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</si>
  <si>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</si>
  <si>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</si>
  <si>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</si>
  <si>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</si>
  <si>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</si>
  <si>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</si>
  <si>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</si>
  <si>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</si>
  <si>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</si>
  <si>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</si>
  <si>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</si>
  <si>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</si>
  <si>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</si>
  <si>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</si>
  <si>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1 раз в 2 месяца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</si>
  <si>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</si>
  <si>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</si>
  <si>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</si>
  <si>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</si>
  <si>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</si>
  <si>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</si>
  <si>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</si>
  <si>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</si>
  <si>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</si>
  <si>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</si>
  <si>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</si>
  <si>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</si>
  <si>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</si>
  <si>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</si>
  <si>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</si>
  <si>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</si>
  <si>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</si>
  <si>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</si>
  <si>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</si>
  <si>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</si>
  <si>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</si>
  <si>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</si>
  <si>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</si>
  <si>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</si>
  <si>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</si>
  <si>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</si>
  <si>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</si>
  <si>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</si>
  <si>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</si>
  <si>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</si>
  <si>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</si>
  <si>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</si>
  <si>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</si>
  <si>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</si>
  <si>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Очистка оголовков дымоходов и вентканалов от наледи и снега (по необходимости) зимой</t>
  </si>
  <si>
    <t>Спуск воды после промывки СО в канализацию</t>
  </si>
  <si>
    <t>Обслуживание прибора тепловой энергии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</si>
  <si>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</si>
  <si>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</si>
  <si>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</si>
  <si>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</si>
  <si>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</si>
  <si>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</si>
  <si>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155 раз в год</t>
  </si>
  <si>
    <t>Дополнительная подборка мусора</t>
  </si>
  <si>
    <t>договор</t>
  </si>
  <si>
    <t>Мелкий ремонт электропроводки</t>
  </si>
  <si>
    <t>Крепление кабеля на тепловычислитель</t>
  </si>
  <si>
    <t>10шт</t>
  </si>
  <si>
    <t>Внеплановый осмотр электросетей, армазуры и электрооборудования на лестничных клетках</t>
  </si>
  <si>
    <t>Замена чугунного тройника Dy-100</t>
  </si>
  <si>
    <t>Ремонт дверных полотен со сменой брусков обвязки горизонтальных на 2 сопряжения верхних (+ 3 листа железа и уголок 30*30 20м)</t>
  </si>
  <si>
    <t>брусок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</si>
  <si>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</si>
  <si>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</si>
  <si>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</si>
  <si>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</si>
  <si>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>Установка хомута диаметром до 50 мм</t>
  </si>
  <si>
    <t>Ремонт металлической двери</t>
  </si>
  <si>
    <t>Смена полиэтиленовых канализационных труб 110×1000 мм</t>
  </si>
  <si>
    <t>Патрубок компенсационный Ду 100</t>
  </si>
  <si>
    <t>Ревизия 110</t>
  </si>
  <si>
    <t>Тройник 100</t>
  </si>
  <si>
    <t>Смена трубопроводов на полипропиленовые трубы PN25 диаметром 20мм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</si>
  <si>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</si>
  <si>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Работы автовышки</t>
  </si>
  <si>
    <t>маш-час</t>
  </si>
  <si>
    <t xml:space="preserve">Уплотнение сгонов с применением льняной пряди или асбестового шнура (без разборки сгонов) </t>
  </si>
  <si>
    <t>Смена стекол в деревянных переплетах при площади стекла до 1,0 м2</t>
  </si>
  <si>
    <t>Переход чугун-пластик 119×110</t>
  </si>
  <si>
    <t>Переход 100×50</t>
  </si>
  <si>
    <t>Крестовина 100×50 (левая)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</si>
  <si>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</si>
  <si>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</si>
  <si>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</si>
  <si>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</si>
  <si>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</si>
  <si>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</si>
  <si>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</si>
  <si>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</si>
  <si>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t>Итого затраты за месяц</t>
  </si>
  <si>
    <t>Смена арматуры - вентилей и клапанов обратных муфтовых диаметром до 32 мм</t>
  </si>
  <si>
    <t>Смена полиэтиленовых канализационных труб 110×2000 мм</t>
  </si>
  <si>
    <t>Переход чугун-пластик Ду 110 с манжетой</t>
  </si>
  <si>
    <t>Манжета 100</t>
  </si>
  <si>
    <t>Муфта 110</t>
  </si>
  <si>
    <t>Внеплановый осмотр вводных электрических щитков</t>
  </si>
  <si>
    <t>Патрубок компенсационный ПП Ду 100</t>
  </si>
  <si>
    <t>за период с 01.01.2018 г. по 31.01.2018 г.</t>
  </si>
  <si>
    <t>Очистка канализационной сети внутренней</t>
  </si>
  <si>
    <t>1м</t>
  </si>
  <si>
    <t>за период с 01.02.2018 г. по 28.02.2018 г.</t>
  </si>
  <si>
    <t xml:space="preserve">Смена колена у трубопроводов диаметром до 20 мм </t>
  </si>
  <si>
    <t>Смена колена у трубопроводов диаметром до 32 мм</t>
  </si>
  <si>
    <t>Ремонт штукатурки внутренних стен по камню и бетону цементно-известковым раствором площадью до 1 м2 толщиной слоя до 20 мм</t>
  </si>
  <si>
    <t>Установка почтовых ящиков</t>
  </si>
  <si>
    <t>Почтовые ящики секционные (4 секции)</t>
  </si>
  <si>
    <t>Почтовые ящики секционные (6 секции)</t>
  </si>
  <si>
    <t>Смена дверных приборов - пружины</t>
  </si>
  <si>
    <t>за период с 01.03.2018 г. по 31.03.2018 г.</t>
  </si>
  <si>
    <t xml:space="preserve">155 раз </t>
  </si>
  <si>
    <t>по мере необходимости</t>
  </si>
  <si>
    <t>Очистка вручную от снега и наледи люков каналиационных и водопроводных колодцев</t>
  </si>
  <si>
    <t>2 раза в месяц</t>
  </si>
  <si>
    <t>Очистка водостоков от наледи</t>
  </si>
  <si>
    <t>Работа автовышки</t>
  </si>
  <si>
    <t>Обслуживание общедомового прибора учета тепловой энергии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</si>
  <si>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</si>
  <si>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</si>
  <si>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</si>
  <si>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</si>
  <si>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 (со стоимостью светильника)</t>
  </si>
  <si>
    <t>Смена выключателей</t>
  </si>
  <si>
    <t>10 шт</t>
  </si>
  <si>
    <t>Смена светильника РКУ</t>
  </si>
  <si>
    <t>III. Плановые осмотры</t>
  </si>
  <si>
    <t>Смена трубопроводов на полипропиленовые трубы PN25 диаметром 25 мм</t>
  </si>
  <si>
    <t>Смена трубопроводов на полипропиленовые трубы PN25 диаметром 20 мм</t>
  </si>
  <si>
    <t>Смена трубопроводов на полипропиленовые трубы PN20 диаметром 25 мм</t>
  </si>
  <si>
    <t>Прогрев XВC</t>
  </si>
  <si>
    <t>Внеплановый осмотр элекгросетей, арматуры и электрооборудования на чердаках и подвалах</t>
  </si>
  <si>
    <t>Внеплановая проверка вентканалов</t>
  </si>
  <si>
    <t>Смена полиэтиленовых канализационных труб Ду-110 1м</t>
  </si>
  <si>
    <t>Заделка подвальных окон фанерой</t>
  </si>
  <si>
    <t>Зачеканка раструбов канализационных труб д=до 100 мм</t>
  </si>
  <si>
    <t>1шт</t>
  </si>
  <si>
    <t>Смена светильников с лампами накаливания</t>
  </si>
  <si>
    <t>Смена отдельных участков наружной проводки</t>
  </si>
  <si>
    <t>м</t>
  </si>
  <si>
    <t>(сто пятьдесят три тысячи  пятьсот девяносто девять рублей 94 копейки)</t>
  </si>
  <si>
    <t>за период с 01.04.2018 г. по 30.04.2018 г.</t>
  </si>
  <si>
    <t>АКТ №4</t>
  </si>
  <si>
    <t>за период с 01.05.2018 г. по 31.05.2018 г.</t>
  </si>
  <si>
    <t>1,2 м2</t>
  </si>
  <si>
    <t>Смена патронов</t>
  </si>
  <si>
    <t>(триста двадцать три рубля восемьсот девяносто пять рублей 30 копеек)</t>
  </si>
  <si>
    <t>АКТ №5</t>
  </si>
  <si>
    <t>2. Всего за период с 01.05.2018 по 31.05.2018 выполнено работ (оказано услуг) на общую сумму: 323 895,30 руб.</t>
  </si>
  <si>
    <t>2. Всего за период с 01.04.2018 по 30.04.2018 выполнено работ (оказано услуг) на общую сумму: 153 599,94 руб.</t>
  </si>
  <si>
    <t>за период с 01.06.2018 г. по 30.06.2018 г.</t>
  </si>
  <si>
    <t>АКТ №6</t>
  </si>
  <si>
    <t>Смена дверных приборов /замки навесные)</t>
  </si>
  <si>
    <t>Укрепление оконных и дверных приборов - пружин, ручек, петель, шпингалетов, проушин</t>
  </si>
  <si>
    <t>2. Всего за период с 01.06.2018 по 30.06.2018 выполнено работ (оказано услуг) на общую сумму: 138998,31 руб.</t>
  </si>
  <si>
    <t>(сто тридцать восемь тысяч девятьсот девяносто восемь рублей 31 копейка)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</si>
  <si>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</si>
  <si>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</si>
  <si>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</si>
  <si>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Разборка покрытий полов из древесноволокнистых плит</t>
  </si>
  <si>
    <t>Устройство (смена) оснований под покрытие пола из древесноволокнистых плит на мастике в один слой площадью, м2 до 20</t>
  </si>
  <si>
    <t>Устройство (смена) покрытий из линолеума на клее Бустилат</t>
  </si>
  <si>
    <t>Устройство (смена) плинтусов деревянных</t>
  </si>
  <si>
    <t>10м</t>
  </si>
  <si>
    <t>АКТ №7</t>
  </si>
  <si>
    <t>(сто двадцать пять тысяч шестьсот восемьдесят три рубля 44 копейки)</t>
  </si>
  <si>
    <t>за период с 01.08.2018 г. по 31.08.2018 г.</t>
  </si>
  <si>
    <t>Ремонт и регулировка доводчика ( со стоимостью доводчика)</t>
  </si>
  <si>
    <t>АКТ №8</t>
  </si>
  <si>
    <t>2. Всего за период с 01.07.2018 по 31.07.2018 выполнено работ (оказано услуг) на общую сумму: 125683,44руб.</t>
  </si>
  <si>
    <t>2. Всего за период с 01.03.2018 по 31.03.2018 выполнено работ (оказано услуг) на общую сумму: 164144,99 руб.</t>
  </si>
  <si>
    <t>(сто шестьдесят четыре тысячи сто сорок четыре рубля 99 копеек)</t>
  </si>
  <si>
    <t>2. Всего за период с 01.01.2018 по 31.01.2018 выполнено работ (оказано услуг) на общую сумму: 104984,01 руб.</t>
  </si>
  <si>
    <t>(сто четыре тысячи девятьсот восемьдесят четыре рубля 1 копейка)</t>
  </si>
  <si>
    <t>2. Всего за период с 01.02.2018 по 28.02.2018 выполнено работ (оказано услуг) на общую сумму: 114809,88 руб.</t>
  </si>
  <si>
    <t>(сто четырнадцать тысяч восемьсот девять рублей 88 копеек)</t>
  </si>
  <si>
    <t>Муфта разъемная 25*3/4 ВР</t>
  </si>
  <si>
    <t>Ниппель 3/4 НР</t>
  </si>
  <si>
    <t>Погрузка  строительного мусора</t>
  </si>
  <si>
    <t>мЗ</t>
  </si>
  <si>
    <t>Осмотр водопроводов, канализации, отопления в квартирах</t>
  </si>
  <si>
    <t>100 кв.</t>
  </si>
  <si>
    <t>Спуск и наполнение воды системы отопления без осмотра системы</t>
  </si>
  <si>
    <t>1000мЗ  здания</t>
  </si>
  <si>
    <t>2. Всего за период с 01.08.2018 по 31.08.2018 выполнено работ (оказано услуг) на общую сумму: 128393,53 руб.</t>
  </si>
  <si>
    <t>(сто двадцать восемь тысяч триста девяносто три рубля 53 копейки)</t>
  </si>
  <si>
    <t>АКТ №9</t>
  </si>
  <si>
    <t>за период с 01.09.2018 г. по 30.09.2018 г.</t>
  </si>
  <si>
    <t>Смена арматуры - вентилей и клапанов обратных муфтовых диаметром до 20 мм</t>
  </si>
  <si>
    <t>Ремонт рулонной кровли</t>
  </si>
  <si>
    <t>изол</t>
  </si>
  <si>
    <t>битум</t>
  </si>
  <si>
    <t>кг</t>
  </si>
  <si>
    <t>пропан</t>
  </si>
  <si>
    <t>бал</t>
  </si>
  <si>
    <t>Оштукатуривание штрабы</t>
  </si>
  <si>
    <t>50 м2</t>
  </si>
  <si>
    <t>Смена ламп ДРЛ</t>
  </si>
  <si>
    <t>Дроссель 1И 250ДРЛ44Н220В</t>
  </si>
  <si>
    <t>АКТ №10</t>
  </si>
  <si>
    <t>за период с 01.10.2018 г. по 31.10.2018 г.</t>
  </si>
  <si>
    <t>Устройство лотков</t>
  </si>
  <si>
    <t>1 лист</t>
  </si>
  <si>
    <t>Герметизация стыков трубопроводов</t>
  </si>
  <si>
    <t>1 место</t>
  </si>
  <si>
    <t>Муфта 25</t>
  </si>
  <si>
    <t>Муфта 32*25</t>
  </si>
  <si>
    <t>Тройник 25*-20</t>
  </si>
  <si>
    <t>Колено25*90</t>
  </si>
  <si>
    <t>Колено20*90</t>
  </si>
  <si>
    <t xml:space="preserve">Муфта разъесная 20*1/2 НР </t>
  </si>
  <si>
    <t>Муфта разъемная 25*3/4 НР</t>
  </si>
  <si>
    <t>Муфта разъемная 32*25 НР</t>
  </si>
  <si>
    <t>Муфта разъемная 32*25 ВР</t>
  </si>
  <si>
    <t>Муфта 25*20</t>
  </si>
  <si>
    <t>Смена трубопроводов на ПП армир. 32*5,4 ( в подвале)</t>
  </si>
  <si>
    <t>Смена трубопроводов на полипропиленовые трубы PN25 диаметром 25 мм ( 17 до 9 кв)</t>
  </si>
  <si>
    <t>12м</t>
  </si>
  <si>
    <t>Отвод 100</t>
  </si>
  <si>
    <t>Переход чугун-пластик 100</t>
  </si>
  <si>
    <t>Герметик</t>
  </si>
  <si>
    <t>2. Всего за период с 01.10.2018 по 31.10.2018 выполнено работ (оказано услуг) на общую сумму: 177728,87 руб.</t>
  </si>
  <si>
    <t>(сто семьдесят семь тысяч семьсот двадцать восемь рублей 87 копеек)</t>
  </si>
  <si>
    <t>АКТ №11</t>
  </si>
  <si>
    <t>за период с 01.11.2018 г. по 30.11.2018 г.</t>
  </si>
  <si>
    <t>Заделка слуховых окон фанерой</t>
  </si>
  <si>
    <t>Смена трубопроводов на полипропиленовые трубы PN25 диаметром 25 мм (из 8 кв в 12 кв)</t>
  </si>
  <si>
    <t>Ниппель 20 НР</t>
  </si>
  <si>
    <t>Всткрытие шахты (ДВП) для работ ВДИС (33 кв)</t>
  </si>
  <si>
    <t>Восстановление шахты после рабт ВДИС</t>
  </si>
  <si>
    <t>Ремонт и регулировка доводчика ( без стоимости доводчика)</t>
  </si>
  <si>
    <t>Водоотлив из подвала электрическими (механическими) насосами (100 м3 воды)</t>
  </si>
  <si>
    <t>10 м3</t>
  </si>
  <si>
    <t>2. Всего за период с 01.11.2018 по 30.11.2018 выполнено работ (оказано услуг) на общую сумму: 115064,92 руб.</t>
  </si>
  <si>
    <t>(сто пятнадцать тысяч шестьдесят четыре рубля 92 копейки)</t>
  </si>
  <si>
    <t>АКТ №12</t>
  </si>
  <si>
    <t>за период с 01.12.2018 г. по 31.12.2018 г.</t>
  </si>
  <si>
    <t>Смена трубопроводов на ПП армир. 32*5,4</t>
  </si>
  <si>
    <t>Смена арматуры - задвижек диаметром 100 мм</t>
  </si>
  <si>
    <t>2. Всего за период с 01.12.2018 по 31.12.2018 выполнено работ (оказано услуг) на общую сумму: 129183,53 руб.</t>
  </si>
  <si>
    <t>(сто двадцать девять тысяч сто восемьдесят три рубля 53 копейки)</t>
  </si>
  <si>
    <t>Косметический ремонт подъездов</t>
  </si>
  <si>
    <t>подъезд</t>
  </si>
  <si>
    <t>5 подъездов</t>
  </si>
  <si>
    <t>2. Всего за период с 01.09.2018 по 30.09.2018 выполнено работ (оказано услуг) на общую сумму: 1323148,37 руб.</t>
  </si>
  <si>
    <t>(один миллион триста двадцать три тысячи сто сорок восемьрублей 37 копеек)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</si>
</sst>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4" fontId="19" fillId="2" borderId="17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4" fontId="14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2" borderId="2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9" fillId="2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1"/>
  <sheetViews>
    <sheetView view="pageBreakPreview" topLeftCell="A86" zoomScale="60" workbookViewId="0">
      <selection activeCell="J123" sqref="J12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99" t="s">
        <v>152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199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43131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  <c r="J15" s="8"/>
      <c r="K15" s="8"/>
      <c r="L15" s="8"/>
      <c r="M15" s="8"/>
    </row>
    <row r="16" spans="1:13" ht="15.7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187.48</v>
      </c>
      <c r="H16" s="72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187.48</v>
      </c>
      <c r="H17" s="72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539.30999999999995</v>
      </c>
      <c r="H18" s="72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181.91</v>
      </c>
      <c r="H19" s="72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8" t="s">
        <v>103</v>
      </c>
      <c r="C20" s="69" t="s">
        <v>111</v>
      </c>
      <c r="D20" s="68" t="s">
        <v>30</v>
      </c>
      <c r="E20" s="70">
        <v>17.5</v>
      </c>
      <c r="F20" s="71">
        <f>SUM(E20*12/100)</f>
        <v>2.1</v>
      </c>
      <c r="G20" s="71">
        <v>232.92</v>
      </c>
      <c r="H20" s="72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8" t="s">
        <v>104</v>
      </c>
      <c r="C21" s="69" t="s">
        <v>111</v>
      </c>
      <c r="D21" s="68" t="s">
        <v>110</v>
      </c>
      <c r="E21" s="70">
        <v>5.94</v>
      </c>
      <c r="F21" s="71">
        <f>SUM(E21*6/100)</f>
        <v>0.35639999999999999</v>
      </c>
      <c r="G21" s="71">
        <v>231.03</v>
      </c>
      <c r="H21" s="72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287.83999999999997</v>
      </c>
      <c r="H22" s="72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8" t="s">
        <v>119</v>
      </c>
      <c r="C23" s="69" t="s">
        <v>53</v>
      </c>
      <c r="D23" s="68" t="s">
        <v>117</v>
      </c>
      <c r="E23" s="73">
        <v>60.4</v>
      </c>
      <c r="F23" s="71">
        <f>SUM(E23/100)</f>
        <v>0.60399999999999998</v>
      </c>
      <c r="G23" s="71">
        <v>47.34</v>
      </c>
      <c r="H23" s="72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8" t="s">
        <v>107</v>
      </c>
      <c r="C24" s="69" t="s">
        <v>53</v>
      </c>
      <c r="D24" s="68" t="s">
        <v>54</v>
      </c>
      <c r="E24" s="18">
        <v>25</v>
      </c>
      <c r="F24" s="74">
        <f>E24/100</f>
        <v>0.25</v>
      </c>
      <c r="G24" s="71">
        <v>416.62</v>
      </c>
      <c r="H24" s="72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8" t="s">
        <v>120</v>
      </c>
      <c r="C25" s="69" t="s">
        <v>53</v>
      </c>
      <c r="D25" s="68" t="s">
        <v>117</v>
      </c>
      <c r="E25" s="73">
        <v>23.75</v>
      </c>
      <c r="F25" s="71">
        <f>E25/100</f>
        <v>0.23749999999999999</v>
      </c>
      <c r="G25" s="71">
        <v>231.03</v>
      </c>
      <c r="H25" s="72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8" t="s">
        <v>108</v>
      </c>
      <c r="C26" s="69" t="s">
        <v>53</v>
      </c>
      <c r="D26" s="68" t="s">
        <v>117</v>
      </c>
      <c r="E26" s="70">
        <v>10.63</v>
      </c>
      <c r="F26" s="71">
        <f>SUM(E26/100)</f>
        <v>0.10630000000000001</v>
      </c>
      <c r="G26" s="71">
        <v>556.74</v>
      </c>
      <c r="H26" s="72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8" t="s">
        <v>65</v>
      </c>
      <c r="C27" s="69" t="s">
        <v>34</v>
      </c>
      <c r="D27" s="68"/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6" t="s">
        <v>23</v>
      </c>
      <c r="C28" s="69" t="s">
        <v>24</v>
      </c>
      <c r="D28" s="68"/>
      <c r="E28" s="70">
        <v>5816.5</v>
      </c>
      <c r="F28" s="71">
        <f>SUM(E28*12)</f>
        <v>69798</v>
      </c>
      <c r="G28" s="71">
        <v>4.72</v>
      </c>
      <c r="H28" s="72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206" t="s">
        <v>89</v>
      </c>
      <c r="B29" s="206"/>
      <c r="C29" s="206"/>
      <c r="D29" s="206"/>
      <c r="E29" s="206"/>
      <c r="F29" s="206"/>
      <c r="G29" s="206"/>
      <c r="H29" s="206"/>
      <c r="I29" s="206"/>
      <c r="J29" s="22"/>
      <c r="K29" s="8"/>
      <c r="L29" s="8"/>
      <c r="M29" s="8"/>
    </row>
    <row r="30" spans="1:13" ht="15.75" hidden="1" customHeight="1">
      <c r="A30" s="29"/>
      <c r="B30" s="89" t="s">
        <v>28</v>
      </c>
      <c r="C30" s="69"/>
      <c r="D30" s="68"/>
      <c r="E30" s="70"/>
      <c r="F30" s="71"/>
      <c r="G30" s="71"/>
      <c r="H30" s="72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8" t="s">
        <v>121</v>
      </c>
      <c r="C31" s="69" t="s">
        <v>122</v>
      </c>
      <c r="D31" s="68" t="s">
        <v>123</v>
      </c>
      <c r="E31" s="71">
        <v>357.22</v>
      </c>
      <c r="F31" s="71">
        <f>SUM(E31*52/1000)</f>
        <v>18.575440000000004</v>
      </c>
      <c r="G31" s="71">
        <v>166.65</v>
      </c>
      <c r="H31" s="72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8" t="s">
        <v>184</v>
      </c>
      <c r="C32" s="69" t="s">
        <v>122</v>
      </c>
      <c r="D32" s="68" t="s">
        <v>124</v>
      </c>
      <c r="E32" s="71">
        <v>475.06</v>
      </c>
      <c r="F32" s="71">
        <f>SUM(E32*78/1000)</f>
        <v>37.054679999999998</v>
      </c>
      <c r="G32" s="71">
        <v>276.48</v>
      </c>
      <c r="H32" s="72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8" t="s">
        <v>27</v>
      </c>
      <c r="C33" s="69" t="s">
        <v>122</v>
      </c>
      <c r="D33" s="68" t="s">
        <v>54</v>
      </c>
      <c r="E33" s="71">
        <v>357.22</v>
      </c>
      <c r="F33" s="71">
        <f>SUM(E33/1000)</f>
        <v>0.35722000000000004</v>
      </c>
      <c r="G33" s="71">
        <v>3228.73</v>
      </c>
      <c r="H33" s="72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8" t="s">
        <v>153</v>
      </c>
      <c r="C34" s="69" t="s">
        <v>40</v>
      </c>
      <c r="D34" s="68" t="s">
        <v>154</v>
      </c>
      <c r="E34" s="71">
        <v>5</v>
      </c>
      <c r="F34" s="71">
        <f>E34*155/100</f>
        <v>7.75</v>
      </c>
      <c r="G34" s="71">
        <v>1391.86</v>
      </c>
      <c r="H34" s="72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8" t="s">
        <v>125</v>
      </c>
      <c r="C35" s="69" t="s">
        <v>31</v>
      </c>
      <c r="D35" s="68" t="s">
        <v>64</v>
      </c>
      <c r="E35" s="75">
        <v>0.33333333333333331</v>
      </c>
      <c r="F35" s="71">
        <f>155/3</f>
        <v>51.666666666666664</v>
      </c>
      <c r="G35" s="71">
        <v>60.6</v>
      </c>
      <c r="H35" s="72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8" t="s">
        <v>66</v>
      </c>
      <c r="C36" s="69" t="s">
        <v>34</v>
      </c>
      <c r="D36" s="68" t="s">
        <v>68</v>
      </c>
      <c r="E36" s="70"/>
      <c r="F36" s="71">
        <v>3</v>
      </c>
      <c r="G36" s="71">
        <v>204.52</v>
      </c>
      <c r="H36" s="72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8" t="s">
        <v>67</v>
      </c>
      <c r="C37" s="69" t="s">
        <v>33</v>
      </c>
      <c r="D37" s="68" t="s">
        <v>68</v>
      </c>
      <c r="E37" s="70"/>
      <c r="F37" s="71">
        <v>2</v>
      </c>
      <c r="G37" s="71">
        <v>1214.74</v>
      </c>
      <c r="H37" s="72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155</v>
      </c>
      <c r="C38" s="64" t="s">
        <v>29</v>
      </c>
      <c r="D38" s="68"/>
      <c r="E38" s="70">
        <v>360.36</v>
      </c>
      <c r="F38" s="71">
        <f>E38*36/1000</f>
        <v>12.97296</v>
      </c>
      <c r="G38" s="71">
        <v>3228.73</v>
      </c>
      <c r="H38" s="72">
        <f t="shared" si="1"/>
        <v>41.886185140800002</v>
      </c>
      <c r="I38" s="13">
        <v>0</v>
      </c>
      <c r="J38" s="23"/>
    </row>
    <row r="39" spans="1:14" ht="15.75" customHeight="1">
      <c r="A39" s="29"/>
      <c r="B39" s="89" t="s">
        <v>5</v>
      </c>
      <c r="C39" s="69"/>
      <c r="D39" s="68"/>
      <c r="E39" s="70"/>
      <c r="F39" s="71"/>
      <c r="G39" s="71"/>
      <c r="H39" s="72" t="s">
        <v>139</v>
      </c>
      <c r="I39" s="13"/>
      <c r="J39" s="23"/>
    </row>
    <row r="40" spans="1:14" ht="15.75" customHeight="1">
      <c r="A40" s="29">
        <v>8</v>
      </c>
      <c r="B40" s="68" t="s">
        <v>26</v>
      </c>
      <c r="C40" s="69" t="s">
        <v>33</v>
      </c>
      <c r="D40" s="68"/>
      <c r="E40" s="70"/>
      <c r="F40" s="71">
        <v>10</v>
      </c>
      <c r="G40" s="71">
        <v>1632.6</v>
      </c>
      <c r="H40" s="72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9</v>
      </c>
      <c r="B41" s="68" t="s">
        <v>69</v>
      </c>
      <c r="C41" s="69" t="s">
        <v>29</v>
      </c>
      <c r="D41" s="68" t="s">
        <v>126</v>
      </c>
      <c r="E41" s="71">
        <v>469.73</v>
      </c>
      <c r="F41" s="71">
        <f>SUM(E41*30/1000)</f>
        <v>14.091900000000001</v>
      </c>
      <c r="G41" s="71">
        <v>2247.8000000000002</v>
      </c>
      <c r="H41" s="72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8" t="s">
        <v>99</v>
      </c>
      <c r="C42" s="69" t="s">
        <v>143</v>
      </c>
      <c r="D42" s="68" t="s">
        <v>68</v>
      </c>
      <c r="E42" s="70"/>
      <c r="F42" s="71">
        <v>120</v>
      </c>
      <c r="G42" s="71">
        <v>213.2</v>
      </c>
      <c r="H42" s="72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10</v>
      </c>
      <c r="B43" s="68" t="s">
        <v>70</v>
      </c>
      <c r="C43" s="69" t="s">
        <v>29</v>
      </c>
      <c r="D43" s="68" t="s">
        <v>127</v>
      </c>
      <c r="E43" s="71">
        <v>475.06</v>
      </c>
      <c r="F43" s="71">
        <f>SUM(E43*155/1000)</f>
        <v>73.634299999999996</v>
      </c>
      <c r="G43" s="71">
        <v>374.95</v>
      </c>
      <c r="H43" s="72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11</v>
      </c>
      <c r="B44" s="68" t="s">
        <v>86</v>
      </c>
      <c r="C44" s="69" t="s">
        <v>122</v>
      </c>
      <c r="D44" s="68" t="s">
        <v>144</v>
      </c>
      <c r="E44" s="71">
        <v>40.6</v>
      </c>
      <c r="F44" s="71">
        <f>SUM(E44*35/1000)</f>
        <v>1.421</v>
      </c>
      <c r="G44" s="71">
        <v>6203.7</v>
      </c>
      <c r="H44" s="72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customHeight="1">
      <c r="A45" s="29">
        <v>12</v>
      </c>
      <c r="B45" s="68" t="s">
        <v>128</v>
      </c>
      <c r="C45" s="69" t="s">
        <v>122</v>
      </c>
      <c r="D45" s="68" t="s">
        <v>71</v>
      </c>
      <c r="E45" s="71">
        <v>167.03</v>
      </c>
      <c r="F45" s="71">
        <f>SUM(E45*45/1000)</f>
        <v>7.5163500000000001</v>
      </c>
      <c r="G45" s="71">
        <v>458.28</v>
      </c>
      <c r="H45" s="72">
        <f t="shared" si="3"/>
        <v>3.4445928779999999</v>
      </c>
      <c r="I45" s="13">
        <f>F45/7.5*G45</f>
        <v>459.27905040000002</v>
      </c>
      <c r="J45" s="23"/>
      <c r="L45" s="19"/>
      <c r="M45" s="20"/>
      <c r="N45" s="21"/>
    </row>
    <row r="46" spans="1:14" ht="15.75" customHeight="1">
      <c r="A46" s="29">
        <v>13</v>
      </c>
      <c r="B46" s="68" t="s">
        <v>72</v>
      </c>
      <c r="C46" s="69" t="s">
        <v>34</v>
      </c>
      <c r="D46" s="68"/>
      <c r="E46" s="70"/>
      <c r="F46" s="71">
        <v>1.2</v>
      </c>
      <c r="G46" s="71">
        <v>853.06</v>
      </c>
      <c r="H46" s="72">
        <f t="shared" si="3"/>
        <v>1.0236719999999999</v>
      </c>
      <c r="I46" s="13">
        <f>F46/7.5*G46</f>
        <v>136.4896</v>
      </c>
      <c r="J46" s="23"/>
      <c r="L46" s="19"/>
      <c r="M46" s="20"/>
      <c r="N46" s="21"/>
    </row>
    <row r="47" spans="1:14" ht="15.75" customHeight="1">
      <c r="A47" s="207" t="s">
        <v>149</v>
      </c>
      <c r="B47" s="208"/>
      <c r="C47" s="208"/>
      <c r="D47" s="208"/>
      <c r="E47" s="208"/>
      <c r="F47" s="208"/>
      <c r="G47" s="208"/>
      <c r="H47" s="208"/>
      <c r="I47" s="209"/>
      <c r="J47" s="23"/>
      <c r="L47" s="19"/>
      <c r="M47" s="20"/>
      <c r="N47" s="21"/>
    </row>
    <row r="48" spans="1:14" ht="15.75" hidden="1" customHeight="1">
      <c r="A48" s="29"/>
      <c r="B48" s="68" t="s">
        <v>129</v>
      </c>
      <c r="C48" s="69" t="s">
        <v>122</v>
      </c>
      <c r="D48" s="68" t="s">
        <v>42</v>
      </c>
      <c r="E48" s="70">
        <v>1603.6</v>
      </c>
      <c r="F48" s="71">
        <f>SUM(E48*2/1000)</f>
        <v>3.2071999999999998</v>
      </c>
      <c r="G48" s="13">
        <v>908.11</v>
      </c>
      <c r="H48" s="72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8" t="s">
        <v>35</v>
      </c>
      <c r="C49" s="69" t="s">
        <v>122</v>
      </c>
      <c r="D49" s="68" t="s">
        <v>42</v>
      </c>
      <c r="E49" s="70">
        <v>65</v>
      </c>
      <c r="F49" s="71">
        <f>SUM(E49*2/1000)</f>
        <v>0.13</v>
      </c>
      <c r="G49" s="13">
        <v>619.46</v>
      </c>
      <c r="H49" s="72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8" t="s">
        <v>36</v>
      </c>
      <c r="C50" s="69" t="s">
        <v>122</v>
      </c>
      <c r="D50" s="68" t="s">
        <v>42</v>
      </c>
      <c r="E50" s="70">
        <v>1825.8</v>
      </c>
      <c r="F50" s="71">
        <f>SUM(E50*2/1000)</f>
        <v>3.6515999999999997</v>
      </c>
      <c r="G50" s="13">
        <v>619.46</v>
      </c>
      <c r="H50" s="72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8" t="s">
        <v>37</v>
      </c>
      <c r="C51" s="69" t="s">
        <v>122</v>
      </c>
      <c r="D51" s="68" t="s">
        <v>42</v>
      </c>
      <c r="E51" s="70">
        <v>3163.96</v>
      </c>
      <c r="F51" s="71">
        <f>SUM(E51*2/1000)</f>
        <v>6.3279199999999998</v>
      </c>
      <c r="G51" s="13">
        <v>648.64</v>
      </c>
      <c r="H51" s="72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14</v>
      </c>
      <c r="B52" s="68" t="s">
        <v>57</v>
      </c>
      <c r="C52" s="69" t="s">
        <v>122</v>
      </c>
      <c r="D52" s="68" t="s">
        <v>185</v>
      </c>
      <c r="E52" s="70">
        <v>1583</v>
      </c>
      <c r="F52" s="71">
        <f>SUM(E52*5/1000)</f>
        <v>7.915</v>
      </c>
      <c r="G52" s="13">
        <v>1297.28</v>
      </c>
      <c r="H52" s="72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8" t="s">
        <v>130</v>
      </c>
      <c r="C53" s="69" t="s">
        <v>122</v>
      </c>
      <c r="D53" s="68" t="s">
        <v>42</v>
      </c>
      <c r="E53" s="70">
        <v>1583</v>
      </c>
      <c r="F53" s="71">
        <f>SUM(E53*2/1000)</f>
        <v>3.1659999999999999</v>
      </c>
      <c r="G53" s="13">
        <v>1297.28</v>
      </c>
      <c r="H53" s="72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8" t="s">
        <v>131</v>
      </c>
      <c r="C54" s="69" t="s">
        <v>38</v>
      </c>
      <c r="D54" s="68" t="s">
        <v>42</v>
      </c>
      <c r="E54" s="70">
        <v>25</v>
      </c>
      <c r="F54" s="71">
        <f>SUM(E54*2/100)</f>
        <v>0.5</v>
      </c>
      <c r="G54" s="13">
        <v>2918.89</v>
      </c>
      <c r="H54" s="72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8" t="s">
        <v>39</v>
      </c>
      <c r="C55" s="69" t="s">
        <v>40</v>
      </c>
      <c r="D55" s="68" t="s">
        <v>42</v>
      </c>
      <c r="E55" s="70">
        <v>1</v>
      </c>
      <c r="F55" s="71">
        <v>0.02</v>
      </c>
      <c r="G55" s="13">
        <v>6042.12</v>
      </c>
      <c r="H55" s="72">
        <f t="shared" si="4"/>
        <v>0.1208424</v>
      </c>
      <c r="I55" s="13">
        <v>0</v>
      </c>
      <c r="J55" s="23"/>
      <c r="L55" s="19"/>
      <c r="M55" s="20"/>
      <c r="N55" s="21"/>
    </row>
    <row r="56" spans="1:22" ht="15.75" customHeight="1">
      <c r="A56" s="29">
        <v>15</v>
      </c>
      <c r="B56" s="68" t="s">
        <v>41</v>
      </c>
      <c r="C56" s="69" t="s">
        <v>31</v>
      </c>
      <c r="D56" s="68" t="s">
        <v>73</v>
      </c>
      <c r="E56" s="70">
        <v>36</v>
      </c>
      <c r="F56" s="71">
        <f>SUM(E56)*3</f>
        <v>108</v>
      </c>
      <c r="G56" s="13">
        <v>70.209999999999994</v>
      </c>
      <c r="H56" s="72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207" t="s">
        <v>150</v>
      </c>
      <c r="B57" s="208"/>
      <c r="C57" s="208"/>
      <c r="D57" s="208"/>
      <c r="E57" s="208"/>
      <c r="F57" s="208"/>
      <c r="G57" s="208"/>
      <c r="H57" s="208"/>
      <c r="I57" s="209"/>
      <c r="J57" s="23"/>
      <c r="L57" s="19"/>
      <c r="M57" s="20"/>
      <c r="N57" s="21"/>
    </row>
    <row r="58" spans="1:22" ht="15.75" customHeight="1">
      <c r="A58" s="29"/>
      <c r="B58" s="89" t="s">
        <v>43</v>
      </c>
      <c r="C58" s="69"/>
      <c r="D58" s="68"/>
      <c r="E58" s="70"/>
      <c r="F58" s="71"/>
      <c r="G58" s="71"/>
      <c r="H58" s="72"/>
      <c r="I58" s="13"/>
      <c r="J58" s="23"/>
      <c r="L58" s="19"/>
      <c r="M58" s="20"/>
      <c r="N58" s="21"/>
    </row>
    <row r="59" spans="1:22" ht="31.5" customHeight="1">
      <c r="A59" s="29">
        <v>16</v>
      </c>
      <c r="B59" s="68" t="s">
        <v>145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1654.04</v>
      </c>
      <c r="H59" s="72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8" t="s">
        <v>133</v>
      </c>
      <c r="C60" s="69" t="s">
        <v>111</v>
      </c>
      <c r="D60" s="68" t="s">
        <v>74</v>
      </c>
      <c r="E60" s="70">
        <v>185.36</v>
      </c>
      <c r="F60" s="71">
        <f>E60*6/100</f>
        <v>11.121600000000001</v>
      </c>
      <c r="G60" s="78">
        <v>1654.04</v>
      </c>
      <c r="H60" s="72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79" t="s">
        <v>105</v>
      </c>
      <c r="C61" s="69" t="s">
        <v>106</v>
      </c>
      <c r="D61" s="79" t="s">
        <v>42</v>
      </c>
      <c r="E61" s="80">
        <v>5</v>
      </c>
      <c r="F61" s="81">
        <v>10</v>
      </c>
      <c r="G61" s="78">
        <v>198.25</v>
      </c>
      <c r="H61" s="82">
        <v>0.99099999999999999</v>
      </c>
      <c r="I61" s="13">
        <v>0</v>
      </c>
      <c r="J61" s="23"/>
      <c r="L61" s="19"/>
    </row>
    <row r="62" spans="1:22" ht="15.75" customHeight="1">
      <c r="A62" s="29"/>
      <c r="B62" s="90" t="s">
        <v>44</v>
      </c>
      <c r="C62" s="83"/>
      <c r="D62" s="79"/>
      <c r="E62" s="80"/>
      <c r="F62" s="81"/>
      <c r="G62" s="84"/>
      <c r="H62" s="82"/>
      <c r="I62" s="13"/>
    </row>
    <row r="63" spans="1:22" ht="15.75" hidden="1" customHeight="1">
      <c r="A63" s="29"/>
      <c r="B63" s="79" t="s">
        <v>45</v>
      </c>
      <c r="C63" s="83" t="s">
        <v>53</v>
      </c>
      <c r="D63" s="79" t="s">
        <v>54</v>
      </c>
      <c r="E63" s="80">
        <v>1752</v>
      </c>
      <c r="F63" s="81">
        <f>E63/100</f>
        <v>17.52</v>
      </c>
      <c r="G63" s="71">
        <v>848.37</v>
      </c>
      <c r="H63" s="82">
        <f>G63*F63/1000</f>
        <v>14.8634424</v>
      </c>
      <c r="I63" s="13">
        <v>0</v>
      </c>
    </row>
    <row r="64" spans="1:22" ht="15.75" customHeight="1">
      <c r="A64" s="29">
        <v>17</v>
      </c>
      <c r="B64" s="100" t="s">
        <v>100</v>
      </c>
      <c r="C64" s="101" t="s">
        <v>25</v>
      </c>
      <c r="D64" s="100" t="s">
        <v>156</v>
      </c>
      <c r="E64" s="102">
        <v>200</v>
      </c>
      <c r="F64" s="103">
        <f>E64*12</f>
        <v>2400</v>
      </c>
      <c r="G64" s="104">
        <v>1.2</v>
      </c>
      <c r="H64" s="99">
        <f>G64*F64/1000</f>
        <v>2.88</v>
      </c>
      <c r="I64" s="13">
        <f>F64/12*G64</f>
        <v>240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0" t="s">
        <v>46</v>
      </c>
      <c r="C65" s="83"/>
      <c r="D65" s="79"/>
      <c r="E65" s="80"/>
      <c r="F65" s="81"/>
      <c r="G65" s="91"/>
      <c r="H65" s="82" t="s">
        <v>139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18</v>
      </c>
      <c r="B66" s="14" t="s">
        <v>47</v>
      </c>
      <c r="C66" s="16" t="s">
        <v>132</v>
      </c>
      <c r="D66" s="14" t="s">
        <v>68</v>
      </c>
      <c r="E66" s="18">
        <v>10</v>
      </c>
      <c r="F66" s="71">
        <v>10</v>
      </c>
      <c r="G66" s="13">
        <v>237.74</v>
      </c>
      <c r="H66" s="65">
        <f t="shared" ref="H66:H80" si="5">SUM(F66*G66/1000)</f>
        <v>2.3774000000000002</v>
      </c>
      <c r="I66" s="13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132</v>
      </c>
      <c r="D67" s="14" t="s">
        <v>68</v>
      </c>
      <c r="E67" s="18">
        <v>5</v>
      </c>
      <c r="F67" s="71">
        <v>5</v>
      </c>
      <c r="G67" s="13">
        <v>81.510000000000005</v>
      </c>
      <c r="H67" s="65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95"/>
      <c r="S67" s="195"/>
      <c r="T67" s="195"/>
      <c r="U67" s="195"/>
    </row>
    <row r="68" spans="1:21" ht="15.75" hidden="1" customHeight="1">
      <c r="A68" s="29"/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226.79</v>
      </c>
      <c r="H68" s="65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176.61</v>
      </c>
      <c r="H69" s="65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2217.7800000000002</v>
      </c>
      <c r="H70" s="65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5" t="s">
        <v>136</v>
      </c>
      <c r="C71" s="16" t="s">
        <v>34</v>
      </c>
      <c r="D71" s="14"/>
      <c r="E71" s="70">
        <v>23.4</v>
      </c>
      <c r="F71" s="13">
        <f>SUM(E71)</f>
        <v>23.4</v>
      </c>
      <c r="G71" s="13">
        <v>42.67</v>
      </c>
      <c r="H71" s="65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5" t="s">
        <v>146</v>
      </c>
      <c r="C72" s="16" t="s">
        <v>34</v>
      </c>
      <c r="D72" s="14"/>
      <c r="E72" s="70">
        <v>23.4</v>
      </c>
      <c r="F72" s="13">
        <f>SUM(E72)</f>
        <v>23.4</v>
      </c>
      <c r="G72" s="13">
        <v>39.81</v>
      </c>
      <c r="H72" s="65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58</v>
      </c>
      <c r="C73" s="16" t="s">
        <v>59</v>
      </c>
      <c r="D73" s="14" t="s">
        <v>54</v>
      </c>
      <c r="E73" s="18">
        <v>5</v>
      </c>
      <c r="F73" s="71">
        <f>SUM(E73)</f>
        <v>5</v>
      </c>
      <c r="G73" s="13">
        <v>53.32</v>
      </c>
      <c r="H73" s="65">
        <f t="shared" si="5"/>
        <v>0.2666</v>
      </c>
      <c r="I73" s="13">
        <f t="shared" si="6"/>
        <v>266.60000000000002</v>
      </c>
    </row>
    <row r="74" spans="1:21" ht="15.75" customHeight="1">
      <c r="A74" s="29">
        <v>19</v>
      </c>
      <c r="B74" s="14" t="s">
        <v>147</v>
      </c>
      <c r="C74" s="16" t="s">
        <v>59</v>
      </c>
      <c r="D74" s="14" t="s">
        <v>30</v>
      </c>
      <c r="E74" s="18">
        <v>1</v>
      </c>
      <c r="F74" s="58">
        <v>12</v>
      </c>
      <c r="G74" s="13">
        <v>711</v>
      </c>
      <c r="H74" s="65">
        <v>8.5310000000000006</v>
      </c>
      <c r="I74" s="13">
        <f>F74/12*G74</f>
        <v>711</v>
      </c>
    </row>
    <row r="75" spans="1:21" ht="15.75" hidden="1" customHeight="1">
      <c r="A75" s="29"/>
      <c r="B75" s="54" t="s">
        <v>75</v>
      </c>
      <c r="C75" s="16"/>
      <c r="D75" s="14"/>
      <c r="E75" s="18"/>
      <c r="F75" s="13"/>
      <c r="G75" s="13"/>
      <c r="H75" s="65" t="s">
        <v>139</v>
      </c>
      <c r="I75" s="13"/>
    </row>
    <row r="76" spans="1:21" ht="15.75" hidden="1" customHeight="1">
      <c r="A76" s="29"/>
      <c r="B76" s="14" t="s">
        <v>76</v>
      </c>
      <c r="C76" s="16" t="s">
        <v>32</v>
      </c>
      <c r="D76" s="14" t="s">
        <v>68</v>
      </c>
      <c r="E76" s="18">
        <v>2</v>
      </c>
      <c r="F76" s="58">
        <v>0.2</v>
      </c>
      <c r="G76" s="13">
        <v>536.23</v>
      </c>
      <c r="H76" s="65">
        <v>0.107</v>
      </c>
      <c r="I76" s="13">
        <v>0</v>
      </c>
    </row>
    <row r="77" spans="1:21" ht="15.75" hidden="1" customHeight="1">
      <c r="A77" s="29">
        <v>21</v>
      </c>
      <c r="B77" s="14" t="s">
        <v>92</v>
      </c>
      <c r="C77" s="16" t="s">
        <v>31</v>
      </c>
      <c r="D77" s="14"/>
      <c r="E77" s="18">
        <v>1</v>
      </c>
      <c r="F77" s="71">
        <f>SUM(E77)</f>
        <v>1</v>
      </c>
      <c r="G77" s="13">
        <v>383.25</v>
      </c>
      <c r="H77" s="65">
        <f t="shared" si="5"/>
        <v>0.38324999999999998</v>
      </c>
      <c r="I77" s="13">
        <f>G77</f>
        <v>383.25</v>
      </c>
    </row>
    <row r="78" spans="1:21" ht="15.75" hidden="1" customHeight="1">
      <c r="A78" s="29"/>
      <c r="B78" s="14" t="s">
        <v>77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5">
        <f>F78*G78/1000</f>
        <v>0.91185000000000005</v>
      </c>
      <c r="I78" s="13">
        <v>0</v>
      </c>
    </row>
    <row r="79" spans="1:21" ht="15.75" hidden="1" customHeight="1">
      <c r="A79" s="29"/>
      <c r="B79" s="86" t="s">
        <v>78</v>
      </c>
      <c r="C79" s="16"/>
      <c r="D79" s="14"/>
      <c r="E79" s="18"/>
      <c r="F79" s="13"/>
      <c r="G79" s="13" t="s">
        <v>139</v>
      </c>
      <c r="H79" s="65" t="s">
        <v>139</v>
      </c>
      <c r="I79" s="13"/>
    </row>
    <row r="80" spans="1:21" ht="15.75" hidden="1" customHeight="1">
      <c r="A80" s="29"/>
      <c r="B80" s="42" t="s">
        <v>140</v>
      </c>
      <c r="C80" s="16" t="s">
        <v>79</v>
      </c>
      <c r="D80" s="14"/>
      <c r="E80" s="18"/>
      <c r="F80" s="13">
        <v>0.6</v>
      </c>
      <c r="G80" s="13">
        <v>2949.85</v>
      </c>
      <c r="H80" s="65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137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8" t="s">
        <v>138</v>
      </c>
      <c r="C82" s="16"/>
      <c r="D82" s="14"/>
      <c r="E82" s="59"/>
      <c r="F82" s="13">
        <v>1</v>
      </c>
      <c r="G82" s="13">
        <v>21062.799999999999</v>
      </c>
      <c r="H82" s="65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96" t="s">
        <v>151</v>
      </c>
      <c r="B83" s="197"/>
      <c r="C83" s="197"/>
      <c r="D83" s="197"/>
      <c r="E83" s="197"/>
      <c r="F83" s="197"/>
      <c r="G83" s="197"/>
      <c r="H83" s="197"/>
      <c r="I83" s="198"/>
    </row>
    <row r="84" spans="1:21" ht="15.75" customHeight="1">
      <c r="A84" s="29">
        <v>20</v>
      </c>
      <c r="B84" s="68" t="s">
        <v>141</v>
      </c>
      <c r="C84" s="16" t="s">
        <v>55</v>
      </c>
      <c r="D84" s="87" t="s">
        <v>56</v>
      </c>
      <c r="E84" s="13">
        <v>5816.5</v>
      </c>
      <c r="F84" s="13">
        <f>SUM(E84*12)</f>
        <v>69798</v>
      </c>
      <c r="G84" s="13">
        <v>2.54</v>
      </c>
      <c r="H84" s="65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21</v>
      </c>
      <c r="B85" s="14" t="s">
        <v>80</v>
      </c>
      <c r="C85" s="16"/>
      <c r="D85" s="87" t="s">
        <v>56</v>
      </c>
      <c r="E85" s="70">
        <f>E84</f>
        <v>5816.5</v>
      </c>
      <c r="F85" s="13">
        <f>E85*12</f>
        <v>69798</v>
      </c>
      <c r="G85" s="13">
        <v>2.0499999999999998</v>
      </c>
      <c r="H85" s="65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83</v>
      </c>
      <c r="C86" s="35"/>
      <c r="D86" s="15"/>
      <c r="E86" s="15"/>
      <c r="F86" s="15"/>
      <c r="G86" s="18"/>
      <c r="H86" s="18"/>
      <c r="I86" s="31">
        <f>I85+I84+I74+I66+I64+I59+I56+I52+I46+I45+I44+I43+I41+I40+I28+I27+I21+I20+I18+I17+I16</f>
        <v>100913.49178723336</v>
      </c>
    </row>
    <row r="87" spans="1:21" ht="15.75" customHeight="1">
      <c r="A87" s="210" t="s">
        <v>61</v>
      </c>
      <c r="B87" s="211"/>
      <c r="C87" s="211"/>
      <c r="D87" s="211"/>
      <c r="E87" s="211"/>
      <c r="F87" s="211"/>
      <c r="G87" s="211"/>
      <c r="H87" s="211"/>
      <c r="I87" s="212"/>
    </row>
    <row r="88" spans="1:21" ht="15.75" customHeight="1">
      <c r="A88" s="29">
        <v>22</v>
      </c>
      <c r="B88" s="46" t="s">
        <v>168</v>
      </c>
      <c r="C88" s="64" t="s">
        <v>87</v>
      </c>
      <c r="D88" s="42"/>
      <c r="E88" s="13"/>
      <c r="F88" s="13">
        <v>3</v>
      </c>
      <c r="G88" s="13">
        <v>203.68</v>
      </c>
      <c r="H88" s="65">
        <f t="shared" ref="H88:H91" si="7">G88*F88/1000</f>
        <v>0.61103999999999992</v>
      </c>
      <c r="I88" s="105">
        <f>G88*2</f>
        <v>407.36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23</v>
      </c>
      <c r="B89" s="46" t="s">
        <v>200</v>
      </c>
      <c r="C89" s="64" t="s">
        <v>201</v>
      </c>
      <c r="D89" s="14"/>
      <c r="E89" s="18"/>
      <c r="F89" s="13">
        <v>25</v>
      </c>
      <c r="G89" s="13">
        <v>134.12</v>
      </c>
      <c r="H89" s="65">
        <f t="shared" si="7"/>
        <v>3.3530000000000002</v>
      </c>
      <c r="I89" s="105">
        <f>G89*(25)</f>
        <v>3353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31.5" customHeight="1">
      <c r="A90" s="29">
        <v>24</v>
      </c>
      <c r="B90" s="46" t="s">
        <v>178</v>
      </c>
      <c r="C90" s="64" t="s">
        <v>109</v>
      </c>
      <c r="D90" s="14"/>
      <c r="E90" s="18"/>
      <c r="F90" s="13">
        <v>2</v>
      </c>
      <c r="G90" s="13">
        <v>56.34</v>
      </c>
      <c r="H90" s="65">
        <f t="shared" si="7"/>
        <v>0.11268</v>
      </c>
      <c r="I90" s="105">
        <f>G90*2</f>
        <v>112.68</v>
      </c>
      <c r="J90" s="5"/>
      <c r="K90" s="5"/>
      <c r="L90" s="5"/>
      <c r="M90" s="5"/>
      <c r="N90" s="5"/>
      <c r="O90" s="5"/>
      <c r="P90" s="5"/>
      <c r="Q90" s="5"/>
      <c r="R90" s="53"/>
      <c r="S90" s="53"/>
      <c r="T90" s="53"/>
      <c r="U90" s="53"/>
    </row>
    <row r="91" spans="1:21" ht="15.75" customHeight="1">
      <c r="A91" s="29">
        <v>25</v>
      </c>
      <c r="B91" s="46" t="s">
        <v>85</v>
      </c>
      <c r="C91" s="64" t="s">
        <v>132</v>
      </c>
      <c r="D91" s="42"/>
      <c r="E91" s="13"/>
      <c r="F91" s="13">
        <v>2</v>
      </c>
      <c r="G91" s="13">
        <v>197.48</v>
      </c>
      <c r="H91" s="65">
        <f t="shared" si="7"/>
        <v>0.39495999999999998</v>
      </c>
      <c r="I91" s="13">
        <f>G91</f>
        <v>197.48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15.75" hidden="1" customHeight="1">
      <c r="A92" s="29"/>
      <c r="B92" s="46" t="s">
        <v>157</v>
      </c>
      <c r="C92" s="50" t="s">
        <v>84</v>
      </c>
      <c r="D92" s="42"/>
      <c r="E92" s="13"/>
      <c r="F92" s="13">
        <v>1</v>
      </c>
      <c r="G92" s="13">
        <v>18</v>
      </c>
      <c r="H92" s="65">
        <f t="shared" ref="H92:H93" si="8">G92*F92/1000</f>
        <v>1.7999999999999999E-2</v>
      </c>
      <c r="I92" s="13">
        <v>0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15.75" hidden="1" customHeight="1">
      <c r="A93" s="29"/>
      <c r="B93" s="63" t="s">
        <v>101</v>
      </c>
      <c r="C93" s="29" t="s">
        <v>116</v>
      </c>
      <c r="D93" s="42"/>
      <c r="E93" s="13"/>
      <c r="F93" s="13">
        <f>0.297/10</f>
        <v>2.9699999999999997E-2</v>
      </c>
      <c r="G93" s="13">
        <v>3113.97</v>
      </c>
      <c r="H93" s="65">
        <f t="shared" si="8"/>
        <v>9.248490899999999E-2</v>
      </c>
      <c r="I93" s="13">
        <v>0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5.75" hidden="1" customHeight="1">
      <c r="A94" s="29"/>
      <c r="B94" s="49" t="s">
        <v>158</v>
      </c>
      <c r="C94" s="50" t="s">
        <v>159</v>
      </c>
      <c r="D94" s="88"/>
      <c r="E94" s="13"/>
      <c r="F94" s="13">
        <f>40/10</f>
        <v>4</v>
      </c>
      <c r="G94" s="13">
        <v>3800</v>
      </c>
      <c r="H94" s="65">
        <f>G94*F94/1000</f>
        <v>15.2</v>
      </c>
      <c r="I94" s="13">
        <v>0</v>
      </c>
      <c r="J94" s="5"/>
      <c r="K94" s="5"/>
      <c r="L94" s="5"/>
      <c r="M94" s="5"/>
      <c r="N94" s="5"/>
      <c r="O94" s="5"/>
      <c r="P94" s="5"/>
      <c r="Q94" s="5"/>
      <c r="R94" s="53"/>
      <c r="S94" s="53"/>
      <c r="T94" s="53"/>
      <c r="U94" s="53"/>
    </row>
    <row r="95" spans="1:21" ht="31.5" hidden="1" customHeight="1">
      <c r="A95" s="29"/>
      <c r="B95" s="46" t="s">
        <v>160</v>
      </c>
      <c r="C95" s="64" t="s">
        <v>38</v>
      </c>
      <c r="D95" s="88"/>
      <c r="E95" s="13"/>
      <c r="F95" s="13">
        <f>4/100</f>
        <v>0.04</v>
      </c>
      <c r="G95" s="13">
        <v>3397.65</v>
      </c>
      <c r="H95" s="65">
        <f>G95*F95/1000</f>
        <v>0.135906</v>
      </c>
      <c r="I95" s="13">
        <v>0</v>
      </c>
      <c r="J95" s="5"/>
      <c r="K95" s="5"/>
      <c r="L95" s="5"/>
      <c r="M95" s="5"/>
      <c r="N95" s="5"/>
      <c r="O95" s="5"/>
      <c r="P95" s="5"/>
      <c r="Q95" s="5"/>
      <c r="R95" s="53"/>
      <c r="S95" s="53"/>
      <c r="T95" s="53"/>
      <c r="U95" s="53"/>
    </row>
    <row r="96" spans="1:21" ht="15.75" hidden="1" customHeight="1">
      <c r="A96" s="29"/>
      <c r="B96" s="46" t="s">
        <v>161</v>
      </c>
      <c r="C96" s="64" t="s">
        <v>96</v>
      </c>
      <c r="D96" s="88"/>
      <c r="E96" s="13"/>
      <c r="F96" s="13">
        <v>1</v>
      </c>
      <c r="G96" s="13">
        <f>735.26+(282.5/2)</f>
        <v>876.51</v>
      </c>
      <c r="H96" s="65">
        <f>G96*F96/1000</f>
        <v>0.87651000000000001</v>
      </c>
      <c r="I96" s="13">
        <v>0</v>
      </c>
      <c r="J96" s="5"/>
      <c r="K96" s="5"/>
      <c r="L96" s="5"/>
      <c r="M96" s="5"/>
      <c r="N96" s="5"/>
      <c r="O96" s="5"/>
      <c r="P96" s="5"/>
      <c r="Q96" s="5"/>
      <c r="R96" s="53"/>
      <c r="S96" s="53"/>
      <c r="T96" s="53"/>
      <c r="U96" s="53"/>
    </row>
    <row r="97" spans="1:21" ht="15.75" hidden="1" customHeight="1">
      <c r="A97" s="29"/>
      <c r="B97" s="49" t="s">
        <v>88</v>
      </c>
      <c r="C97" s="64" t="s">
        <v>132</v>
      </c>
      <c r="D97" s="88"/>
      <c r="E97" s="13"/>
      <c r="F97" s="13">
        <v>5</v>
      </c>
      <c r="G97" s="13">
        <v>179.96</v>
      </c>
      <c r="H97" s="65">
        <f>G97*F97/1000</f>
        <v>0.89980000000000004</v>
      </c>
      <c r="I97" s="13">
        <v>0</v>
      </c>
      <c r="J97" s="5"/>
      <c r="K97" s="5"/>
      <c r="L97" s="5"/>
      <c r="M97" s="5"/>
      <c r="N97" s="5"/>
      <c r="O97" s="5"/>
      <c r="P97" s="5"/>
      <c r="Q97" s="5"/>
      <c r="R97" s="53"/>
      <c r="S97" s="53"/>
      <c r="T97" s="53"/>
      <c r="U97" s="53"/>
    </row>
    <row r="98" spans="1:21" ht="47.25" hidden="1" customHeight="1">
      <c r="A98" s="29"/>
      <c r="B98" s="46" t="s">
        <v>162</v>
      </c>
      <c r="C98" s="50" t="s">
        <v>163</v>
      </c>
      <c r="D98" s="42"/>
      <c r="E98" s="13"/>
      <c r="F98" s="13">
        <v>2</v>
      </c>
      <c r="G98" s="13">
        <v>4408.12</v>
      </c>
      <c r="H98" s="65">
        <f t="shared" ref="H98:H115" si="9">G98*F98/1000</f>
        <v>8.8162400000000005</v>
      </c>
      <c r="I98" s="13">
        <v>0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15.75" hidden="1" customHeight="1">
      <c r="A99" s="29"/>
      <c r="B99" s="46" t="s">
        <v>164</v>
      </c>
      <c r="C99" s="64" t="s">
        <v>165</v>
      </c>
      <c r="D99" s="42"/>
      <c r="E99" s="13"/>
      <c r="F99" s="13">
        <f>1/100</f>
        <v>0.01</v>
      </c>
      <c r="G99" s="13">
        <v>7033.13</v>
      </c>
      <c r="H99" s="65">
        <f t="shared" si="9"/>
        <v>7.0331299999999999E-2</v>
      </c>
      <c r="I99" s="13">
        <v>0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hidden="1" customHeight="1">
      <c r="A100" s="29"/>
      <c r="B100" s="46" t="s">
        <v>166</v>
      </c>
      <c r="C100" s="64" t="s">
        <v>167</v>
      </c>
      <c r="D100" s="42"/>
      <c r="E100" s="13"/>
      <c r="F100" s="13">
        <v>1</v>
      </c>
      <c r="G100" s="13">
        <v>730</v>
      </c>
      <c r="H100" s="65">
        <f t="shared" si="9"/>
        <v>0.73</v>
      </c>
      <c r="I100" s="13">
        <v>0</v>
      </c>
      <c r="J100" s="5"/>
      <c r="K100" s="5"/>
      <c r="L100" s="5"/>
      <c r="M100" s="5"/>
      <c r="N100" s="5"/>
      <c r="O100" s="5"/>
      <c r="P100" s="5"/>
      <c r="Q100" s="5"/>
      <c r="R100" s="53"/>
      <c r="S100" s="53"/>
      <c r="T100" s="53"/>
      <c r="U100" s="53"/>
    </row>
    <row r="101" spans="1:21" ht="15.75" hidden="1" customHeight="1">
      <c r="A101" s="29"/>
      <c r="B101" s="66" t="s">
        <v>94</v>
      </c>
      <c r="C101" s="67" t="s">
        <v>95</v>
      </c>
      <c r="D101" s="42"/>
      <c r="E101" s="13"/>
      <c r="F101" s="13">
        <f>50/3</f>
        <v>16.666666666666668</v>
      </c>
      <c r="G101" s="13">
        <v>1063.47</v>
      </c>
      <c r="H101" s="65">
        <f t="shared" si="9"/>
        <v>17.724499999999999</v>
      </c>
      <c r="I101" s="13">
        <v>0</v>
      </c>
      <c r="J101" s="5"/>
      <c r="K101" s="5"/>
      <c r="L101" s="5"/>
      <c r="M101" s="5"/>
      <c r="N101" s="5"/>
      <c r="O101" s="5"/>
      <c r="P101" s="5"/>
      <c r="Q101" s="5"/>
      <c r="R101" s="53"/>
      <c r="S101" s="53"/>
      <c r="T101" s="53"/>
      <c r="U101" s="53"/>
    </row>
    <row r="102" spans="1:21" ht="15.75" hidden="1" customHeight="1">
      <c r="A102" s="29"/>
      <c r="B102" s="46" t="s">
        <v>85</v>
      </c>
      <c r="C102" s="64" t="s">
        <v>132</v>
      </c>
      <c r="D102" s="42"/>
      <c r="E102" s="13"/>
      <c r="F102" s="13">
        <v>1</v>
      </c>
      <c r="G102" s="13">
        <v>180.15</v>
      </c>
      <c r="H102" s="65">
        <f t="shared" si="9"/>
        <v>0.18015</v>
      </c>
      <c r="I102" s="13">
        <v>0</v>
      </c>
      <c r="J102" s="5"/>
      <c r="K102" s="5"/>
      <c r="L102" s="5"/>
      <c r="M102" s="5"/>
      <c r="N102" s="5"/>
      <c r="O102" s="5"/>
      <c r="P102" s="5"/>
      <c r="Q102" s="5"/>
      <c r="R102" s="53"/>
      <c r="S102" s="53"/>
      <c r="T102" s="53"/>
      <c r="U102" s="53"/>
    </row>
    <row r="103" spans="1:21" ht="15.75" hidden="1" customHeight="1">
      <c r="A103" s="29"/>
      <c r="B103" s="46" t="s">
        <v>168</v>
      </c>
      <c r="C103" s="64" t="s">
        <v>87</v>
      </c>
      <c r="D103" s="42"/>
      <c r="E103" s="13"/>
      <c r="F103" s="13">
        <v>2</v>
      </c>
      <c r="G103" s="13">
        <v>185.81</v>
      </c>
      <c r="H103" s="65">
        <f t="shared" si="9"/>
        <v>0.37162000000000001</v>
      </c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53"/>
      <c r="S103" s="53"/>
      <c r="T103" s="53"/>
      <c r="U103" s="53"/>
    </row>
    <row r="104" spans="1:21" ht="15.75" hidden="1" customHeight="1">
      <c r="A104" s="29"/>
      <c r="B104" s="46" t="s">
        <v>169</v>
      </c>
      <c r="C104" s="50" t="s">
        <v>163</v>
      </c>
      <c r="D104" s="14"/>
      <c r="E104" s="18"/>
      <c r="F104" s="13">
        <v>1</v>
      </c>
      <c r="G104" s="13">
        <v>901.61</v>
      </c>
      <c r="H104" s="65">
        <f t="shared" si="9"/>
        <v>0.90161000000000002</v>
      </c>
      <c r="I104" s="13">
        <v>0</v>
      </c>
      <c r="J104" s="5"/>
      <c r="K104" s="5"/>
      <c r="L104" s="5"/>
      <c r="M104" s="5"/>
      <c r="N104" s="5"/>
      <c r="O104" s="5"/>
      <c r="P104" s="5"/>
      <c r="Q104" s="5"/>
      <c r="R104" s="53"/>
      <c r="S104" s="53"/>
      <c r="T104" s="53"/>
      <c r="U104" s="53"/>
    </row>
    <row r="105" spans="1:21" ht="31.5" hidden="1" customHeight="1">
      <c r="A105" s="29"/>
      <c r="B105" s="46" t="s">
        <v>170</v>
      </c>
      <c r="C105" s="64" t="s">
        <v>84</v>
      </c>
      <c r="D105" s="42"/>
      <c r="E105" s="13"/>
      <c r="F105" s="13">
        <v>2</v>
      </c>
      <c r="G105" s="13">
        <v>771.29</v>
      </c>
      <c r="H105" s="65">
        <f t="shared" si="9"/>
        <v>1.5425799999999998</v>
      </c>
      <c r="I105" s="13">
        <v>0</v>
      </c>
      <c r="J105" s="5"/>
      <c r="K105" s="5"/>
      <c r="L105" s="5"/>
      <c r="M105" s="5"/>
      <c r="N105" s="5"/>
      <c r="O105" s="5"/>
      <c r="P105" s="5"/>
      <c r="Q105" s="5"/>
      <c r="R105" s="53"/>
      <c r="S105" s="53"/>
      <c r="T105" s="53"/>
      <c r="U105" s="53"/>
    </row>
    <row r="106" spans="1:21" ht="15.75" hidden="1" customHeight="1">
      <c r="A106" s="29"/>
      <c r="B106" s="46" t="s">
        <v>171</v>
      </c>
      <c r="C106" s="64" t="s">
        <v>132</v>
      </c>
      <c r="D106" s="42"/>
      <c r="E106" s="13"/>
      <c r="F106" s="13">
        <v>1</v>
      </c>
      <c r="G106" s="13">
        <v>78.89</v>
      </c>
      <c r="H106" s="65">
        <f t="shared" si="9"/>
        <v>7.8890000000000002E-2</v>
      </c>
      <c r="I106" s="13">
        <v>0</v>
      </c>
      <c r="J106" s="5"/>
      <c r="K106" s="5"/>
      <c r="L106" s="5"/>
      <c r="M106" s="5"/>
      <c r="N106" s="5"/>
      <c r="O106" s="5"/>
      <c r="P106" s="5"/>
      <c r="Q106" s="5"/>
      <c r="R106" s="53"/>
      <c r="S106" s="53"/>
      <c r="T106" s="53"/>
      <c r="U106" s="53"/>
    </row>
    <row r="107" spans="1:21" ht="15.75" hidden="1" customHeight="1">
      <c r="A107" s="29"/>
      <c r="B107" s="46" t="s">
        <v>172</v>
      </c>
      <c r="C107" s="64" t="s">
        <v>132</v>
      </c>
      <c r="D107" s="42"/>
      <c r="E107" s="13"/>
      <c r="F107" s="13">
        <v>1</v>
      </c>
      <c r="G107" s="13">
        <v>89.15</v>
      </c>
      <c r="H107" s="65">
        <f t="shared" si="9"/>
        <v>8.9150000000000007E-2</v>
      </c>
      <c r="I107" s="13">
        <v>0</v>
      </c>
      <c r="J107" s="5"/>
      <c r="K107" s="5"/>
      <c r="L107" s="5"/>
      <c r="M107" s="5"/>
      <c r="N107" s="5"/>
      <c r="O107" s="5"/>
      <c r="P107" s="5"/>
      <c r="Q107" s="5"/>
      <c r="R107" s="53"/>
      <c r="S107" s="53"/>
      <c r="T107" s="53"/>
      <c r="U107" s="53"/>
    </row>
    <row r="108" spans="1:21" ht="15.75" hidden="1" customHeight="1">
      <c r="A108" s="29"/>
      <c r="B108" s="46" t="s">
        <v>180</v>
      </c>
      <c r="C108" s="64" t="s">
        <v>132</v>
      </c>
      <c r="D108" s="42"/>
      <c r="E108" s="13"/>
      <c r="F108" s="13">
        <v>2</v>
      </c>
      <c r="G108" s="13">
        <v>70</v>
      </c>
      <c r="H108" s="65">
        <f t="shared" si="9"/>
        <v>0.14000000000000001</v>
      </c>
      <c r="I108" s="13">
        <v>0</v>
      </c>
      <c r="J108" s="5"/>
      <c r="K108" s="5"/>
      <c r="L108" s="5"/>
      <c r="M108" s="5"/>
      <c r="N108" s="5"/>
      <c r="O108" s="5"/>
      <c r="P108" s="5"/>
      <c r="Q108" s="5"/>
      <c r="R108" s="53"/>
      <c r="S108" s="53"/>
      <c r="T108" s="53"/>
      <c r="U108" s="53"/>
    </row>
    <row r="109" spans="1:21" ht="15.75" hidden="1" customHeight="1">
      <c r="A109" s="29"/>
      <c r="B109" s="46" t="s">
        <v>181</v>
      </c>
      <c r="C109" s="64" t="s">
        <v>132</v>
      </c>
      <c r="D109" s="42"/>
      <c r="E109" s="13"/>
      <c r="F109" s="13">
        <v>1</v>
      </c>
      <c r="G109" s="13">
        <v>50</v>
      </c>
      <c r="H109" s="65">
        <f t="shared" si="9"/>
        <v>0.05</v>
      </c>
      <c r="I109" s="13">
        <v>0</v>
      </c>
      <c r="J109" s="5"/>
      <c r="K109" s="5"/>
      <c r="L109" s="5"/>
      <c r="M109" s="5"/>
      <c r="N109" s="5"/>
      <c r="O109" s="5"/>
      <c r="P109" s="5"/>
      <c r="Q109" s="5"/>
      <c r="R109" s="53"/>
      <c r="S109" s="53"/>
      <c r="T109" s="53"/>
      <c r="U109" s="53"/>
    </row>
    <row r="110" spans="1:21" ht="15.75" hidden="1" customHeight="1">
      <c r="A110" s="29"/>
      <c r="B110" s="46" t="s">
        <v>182</v>
      </c>
      <c r="C110" s="64" t="s">
        <v>132</v>
      </c>
      <c r="D110" s="42"/>
      <c r="E110" s="13"/>
      <c r="F110" s="13">
        <v>1</v>
      </c>
      <c r="G110" s="13">
        <v>238</v>
      </c>
      <c r="H110" s="65">
        <f t="shared" si="9"/>
        <v>0.23799999999999999</v>
      </c>
      <c r="I110" s="13">
        <v>0</v>
      </c>
      <c r="J110" s="5"/>
      <c r="K110" s="5"/>
      <c r="L110" s="5"/>
      <c r="M110" s="5"/>
      <c r="N110" s="5"/>
      <c r="O110" s="5"/>
      <c r="P110" s="5"/>
      <c r="Q110" s="5"/>
      <c r="R110" s="53"/>
      <c r="S110" s="53"/>
      <c r="T110" s="53"/>
      <c r="U110" s="53"/>
    </row>
    <row r="111" spans="1:21" ht="15.75" hidden="1" customHeight="1">
      <c r="A111" s="29"/>
      <c r="B111" s="46" t="s">
        <v>173</v>
      </c>
      <c r="C111" s="64" t="s">
        <v>132</v>
      </c>
      <c r="D111" s="42"/>
      <c r="E111" s="13"/>
      <c r="F111" s="13">
        <v>1</v>
      </c>
      <c r="G111" s="13">
        <v>86.15</v>
      </c>
      <c r="H111" s="65">
        <f t="shared" si="9"/>
        <v>8.6150000000000004E-2</v>
      </c>
      <c r="I111" s="13">
        <v>0</v>
      </c>
      <c r="J111" s="5"/>
      <c r="K111" s="5"/>
      <c r="L111" s="5"/>
      <c r="M111" s="5"/>
      <c r="N111" s="5"/>
      <c r="O111" s="5"/>
      <c r="P111" s="5"/>
      <c r="Q111" s="5"/>
      <c r="R111" s="53"/>
      <c r="S111" s="53"/>
      <c r="T111" s="53"/>
      <c r="U111" s="53"/>
    </row>
    <row r="112" spans="1:21" ht="15.75" hidden="1" customHeight="1">
      <c r="A112" s="29"/>
      <c r="B112" s="46" t="s">
        <v>183</v>
      </c>
      <c r="C112" s="64" t="s">
        <v>132</v>
      </c>
      <c r="D112" s="42"/>
      <c r="E112" s="13"/>
      <c r="F112" s="13">
        <v>2</v>
      </c>
      <c r="G112" s="13">
        <v>29282.880000000001</v>
      </c>
      <c r="H112" s="65">
        <f t="shared" si="9"/>
        <v>58.565760000000004</v>
      </c>
      <c r="I112" s="13">
        <v>0</v>
      </c>
      <c r="J112" s="5"/>
      <c r="K112" s="5"/>
      <c r="L112" s="5"/>
      <c r="M112" s="5"/>
      <c r="N112" s="5"/>
      <c r="O112" s="5"/>
      <c r="P112" s="5"/>
      <c r="Q112" s="5"/>
      <c r="R112" s="53"/>
      <c r="S112" s="53"/>
      <c r="T112" s="53"/>
      <c r="U112" s="53"/>
    </row>
    <row r="113" spans="1:21" ht="31.5" hidden="1" customHeight="1">
      <c r="A113" s="29"/>
      <c r="B113" s="46" t="s">
        <v>174</v>
      </c>
      <c r="C113" s="64" t="s">
        <v>84</v>
      </c>
      <c r="D113" s="42"/>
      <c r="E113" s="13"/>
      <c r="F113" s="13">
        <v>6</v>
      </c>
      <c r="G113" s="13">
        <v>1187</v>
      </c>
      <c r="H113" s="65">
        <f t="shared" si="9"/>
        <v>7.1219999999999999</v>
      </c>
      <c r="I113" s="13">
        <v>0</v>
      </c>
      <c r="J113" s="5"/>
      <c r="K113" s="5"/>
      <c r="L113" s="5"/>
      <c r="M113" s="5"/>
      <c r="N113" s="5"/>
      <c r="O113" s="5"/>
      <c r="P113" s="5"/>
      <c r="Q113" s="5"/>
      <c r="R113" s="53"/>
      <c r="S113" s="53"/>
      <c r="T113" s="53"/>
      <c r="U113" s="53"/>
    </row>
    <row r="114" spans="1:21" ht="31.5" hidden="1" customHeight="1">
      <c r="A114" s="29"/>
      <c r="B114" s="46" t="s">
        <v>175</v>
      </c>
      <c r="C114" s="64" t="s">
        <v>102</v>
      </c>
      <c r="D114" s="42"/>
      <c r="E114" s="13"/>
      <c r="F114" s="13">
        <f>70/10</f>
        <v>7</v>
      </c>
      <c r="G114" s="13">
        <v>2055.5300000000002</v>
      </c>
      <c r="H114" s="65">
        <f t="shared" si="9"/>
        <v>14.388710000000001</v>
      </c>
      <c r="I114" s="13">
        <v>0</v>
      </c>
      <c r="J114" s="5"/>
      <c r="K114" s="5"/>
      <c r="L114" s="5"/>
      <c r="M114" s="5"/>
      <c r="N114" s="5"/>
      <c r="O114" s="5"/>
      <c r="P114" s="5"/>
      <c r="Q114" s="5"/>
      <c r="R114" s="53"/>
      <c r="S114" s="53"/>
      <c r="T114" s="53"/>
      <c r="U114" s="53"/>
    </row>
    <row r="115" spans="1:21" ht="15.75" hidden="1" customHeight="1">
      <c r="A115" s="29"/>
      <c r="B115" s="46" t="s">
        <v>176</v>
      </c>
      <c r="C115" s="64" t="s">
        <v>177</v>
      </c>
      <c r="D115" s="42"/>
      <c r="E115" s="13"/>
      <c r="F115" s="13">
        <v>3</v>
      </c>
      <c r="G115" s="13">
        <v>1501</v>
      </c>
      <c r="H115" s="65">
        <f t="shared" si="9"/>
        <v>4.5030000000000001</v>
      </c>
      <c r="I115" s="13">
        <v>0</v>
      </c>
      <c r="J115" s="5"/>
      <c r="K115" s="5"/>
      <c r="L115" s="5"/>
      <c r="M115" s="5"/>
      <c r="N115" s="5"/>
      <c r="O115" s="5"/>
      <c r="P115" s="5"/>
      <c r="Q115" s="5"/>
      <c r="R115" s="53"/>
      <c r="S115" s="53"/>
      <c r="T115" s="53"/>
      <c r="U115" s="53"/>
    </row>
    <row r="116" spans="1:21" ht="32.25" hidden="1" customHeight="1">
      <c r="A116" s="29"/>
      <c r="B116" s="46" t="s">
        <v>178</v>
      </c>
      <c r="C116" s="64" t="s">
        <v>109</v>
      </c>
      <c r="D116" s="42"/>
      <c r="E116" s="13"/>
      <c r="F116" s="13">
        <v>2</v>
      </c>
      <c r="G116" s="13">
        <v>51.39</v>
      </c>
      <c r="H116" s="65">
        <v>0.05</v>
      </c>
      <c r="I116" s="13">
        <v>0</v>
      </c>
      <c r="J116" s="5"/>
      <c r="K116" s="5"/>
      <c r="L116" s="5"/>
      <c r="M116" s="5"/>
      <c r="N116" s="5"/>
      <c r="O116" s="5"/>
      <c r="P116" s="5"/>
      <c r="Q116" s="5"/>
      <c r="R116" s="53"/>
      <c r="S116" s="53"/>
      <c r="T116" s="53"/>
      <c r="U116" s="53"/>
    </row>
    <row r="117" spans="1:21" ht="32.25" hidden="1" customHeight="1">
      <c r="A117" s="29"/>
      <c r="B117" s="46" t="s">
        <v>179</v>
      </c>
      <c r="C117" s="50" t="s">
        <v>102</v>
      </c>
      <c r="D117" s="42"/>
      <c r="E117" s="13"/>
      <c r="F117" s="13">
        <f>0.33/10</f>
        <v>3.3000000000000002E-2</v>
      </c>
      <c r="G117" s="13">
        <v>8916.31</v>
      </c>
      <c r="H117" s="65">
        <f t="shared" ref="H117" si="10">G117*F117/1000</f>
        <v>0.29423822999999999</v>
      </c>
      <c r="I117" s="13">
        <v>0</v>
      </c>
      <c r="J117" s="5"/>
      <c r="K117" s="5"/>
      <c r="L117" s="5"/>
      <c r="M117" s="5"/>
      <c r="N117" s="5"/>
      <c r="O117" s="5"/>
      <c r="P117" s="5"/>
      <c r="Q117" s="5"/>
      <c r="R117" s="53"/>
      <c r="S117" s="53"/>
      <c r="T117" s="53"/>
      <c r="U117" s="53"/>
    </row>
    <row r="118" spans="1:21" ht="15.75" customHeight="1">
      <c r="A118" s="29"/>
      <c r="B118" s="40" t="s">
        <v>52</v>
      </c>
      <c r="C118" s="36"/>
      <c r="D118" s="44"/>
      <c r="E118" s="36">
        <v>1</v>
      </c>
      <c r="F118" s="36"/>
      <c r="G118" s="36"/>
      <c r="H118" s="36"/>
      <c r="I118" s="31">
        <f>SUM(I88:I117)</f>
        <v>4070.52</v>
      </c>
    </row>
    <row r="119" spans="1:21" ht="15.75" customHeight="1">
      <c r="A119" s="29"/>
      <c r="B119" s="42" t="s">
        <v>81</v>
      </c>
      <c r="C119" s="15"/>
      <c r="D119" s="15"/>
      <c r="E119" s="37"/>
      <c r="F119" s="37"/>
      <c r="G119" s="38"/>
      <c r="H119" s="38"/>
      <c r="I119" s="17">
        <v>0</v>
      </c>
    </row>
    <row r="120" spans="1:21" ht="15.75" customHeight="1">
      <c r="A120" s="45"/>
      <c r="B120" s="41" t="s">
        <v>191</v>
      </c>
      <c r="C120" s="32"/>
      <c r="D120" s="32"/>
      <c r="E120" s="32"/>
      <c r="F120" s="32"/>
      <c r="G120" s="32"/>
      <c r="H120" s="32"/>
      <c r="I120" s="39">
        <f>I86+I118</f>
        <v>104984.01178723336</v>
      </c>
    </row>
    <row r="121" spans="1:21" ht="15.75" customHeight="1">
      <c r="A121" s="213" t="s">
        <v>272</v>
      </c>
      <c r="B121" s="213"/>
      <c r="C121" s="213"/>
      <c r="D121" s="213"/>
      <c r="E121" s="213"/>
      <c r="F121" s="213"/>
      <c r="G121" s="213"/>
      <c r="H121" s="213"/>
      <c r="I121" s="213"/>
    </row>
    <row r="122" spans="1:21" ht="15.75" customHeight="1">
      <c r="A122" s="57"/>
      <c r="B122" s="214" t="s">
        <v>273</v>
      </c>
      <c r="C122" s="214"/>
      <c r="D122" s="214"/>
      <c r="E122" s="214"/>
      <c r="F122" s="214"/>
      <c r="G122" s="214"/>
      <c r="H122" s="62"/>
      <c r="I122" s="3"/>
    </row>
    <row r="123" spans="1:21" ht="15.75" customHeight="1">
      <c r="A123" s="53"/>
      <c r="B123" s="215" t="s">
        <v>6</v>
      </c>
      <c r="C123" s="215"/>
      <c r="D123" s="215"/>
      <c r="E123" s="215"/>
      <c r="F123" s="215"/>
      <c r="G123" s="215"/>
      <c r="H123" s="24"/>
      <c r="I123" s="5"/>
    </row>
    <row r="124" spans="1:21" ht="15.75" customHeight="1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21" ht="15.75" customHeight="1">
      <c r="A125" s="216" t="s">
        <v>7</v>
      </c>
      <c r="B125" s="216"/>
      <c r="C125" s="216"/>
      <c r="D125" s="216"/>
      <c r="E125" s="216"/>
      <c r="F125" s="216"/>
      <c r="G125" s="216"/>
      <c r="H125" s="216"/>
      <c r="I125" s="216"/>
    </row>
    <row r="126" spans="1:21" ht="15.75" customHeight="1">
      <c r="A126" s="216" t="s">
        <v>8</v>
      </c>
      <c r="B126" s="216"/>
      <c r="C126" s="216"/>
      <c r="D126" s="216"/>
      <c r="E126" s="216"/>
      <c r="F126" s="216"/>
      <c r="G126" s="216"/>
      <c r="H126" s="216"/>
      <c r="I126" s="216"/>
    </row>
    <row r="127" spans="1:21" ht="15.75" customHeight="1">
      <c r="A127" s="205" t="s">
        <v>62</v>
      </c>
      <c r="B127" s="205"/>
      <c r="C127" s="205"/>
      <c r="D127" s="205"/>
      <c r="E127" s="205"/>
      <c r="F127" s="205"/>
      <c r="G127" s="205"/>
      <c r="H127" s="205"/>
      <c r="I127" s="205"/>
    </row>
    <row r="128" spans="1:21" ht="15.75" customHeight="1">
      <c r="A128" s="11"/>
    </row>
    <row r="129" spans="1:9" ht="15.75" customHeight="1">
      <c r="A129" s="218" t="s">
        <v>9</v>
      </c>
      <c r="B129" s="218"/>
      <c r="C129" s="218"/>
      <c r="D129" s="218"/>
      <c r="E129" s="218"/>
      <c r="F129" s="218"/>
      <c r="G129" s="218"/>
      <c r="H129" s="218"/>
      <c r="I129" s="218"/>
    </row>
    <row r="130" spans="1:9" ht="15.75" customHeight="1">
      <c r="A130" s="4"/>
    </row>
    <row r="131" spans="1:9" ht="15.75" customHeight="1">
      <c r="B131" s="56" t="s">
        <v>10</v>
      </c>
      <c r="C131" s="219" t="s">
        <v>93</v>
      </c>
      <c r="D131" s="219"/>
      <c r="E131" s="219"/>
      <c r="F131" s="60"/>
      <c r="I131" s="52"/>
    </row>
    <row r="132" spans="1:9" ht="15.75" customHeight="1">
      <c r="A132" s="53"/>
      <c r="C132" s="215" t="s">
        <v>11</v>
      </c>
      <c r="D132" s="215"/>
      <c r="E132" s="215"/>
      <c r="F132" s="24"/>
      <c r="I132" s="51" t="s">
        <v>12</v>
      </c>
    </row>
    <row r="133" spans="1:9" ht="15.75" customHeight="1">
      <c r="A133" s="25"/>
      <c r="C133" s="12"/>
      <c r="D133" s="12"/>
      <c r="G133" s="12"/>
      <c r="H133" s="12"/>
    </row>
    <row r="134" spans="1:9" ht="15.75" customHeight="1">
      <c r="B134" s="56" t="s">
        <v>13</v>
      </c>
      <c r="C134" s="220"/>
      <c r="D134" s="220"/>
      <c r="E134" s="220"/>
      <c r="F134" s="61"/>
      <c r="I134" s="52"/>
    </row>
    <row r="135" spans="1:9" ht="15.75" customHeight="1">
      <c r="A135" s="53"/>
      <c r="C135" s="195" t="s">
        <v>11</v>
      </c>
      <c r="D135" s="195"/>
      <c r="E135" s="195"/>
      <c r="F135" s="53"/>
      <c r="I135" s="51" t="s">
        <v>12</v>
      </c>
    </row>
    <row r="136" spans="1:9" ht="15.75" customHeight="1">
      <c r="A136" s="4" t="s">
        <v>14</v>
      </c>
    </row>
    <row r="137" spans="1:9" ht="15.75" customHeight="1">
      <c r="A137" s="221" t="s">
        <v>15</v>
      </c>
      <c r="B137" s="221"/>
      <c r="C137" s="221"/>
      <c r="D137" s="221"/>
      <c r="E137" s="221"/>
      <c r="F137" s="221"/>
      <c r="G137" s="221"/>
      <c r="H137" s="221"/>
      <c r="I137" s="221"/>
    </row>
    <row r="138" spans="1:9" ht="45" customHeight="1">
      <c r="A138" s="217" t="s">
        <v>16</v>
      </c>
      <c r="B138" s="217"/>
      <c r="C138" s="217"/>
      <c r="D138" s="217"/>
      <c r="E138" s="217"/>
      <c r="F138" s="217"/>
      <c r="G138" s="217"/>
      <c r="H138" s="217"/>
      <c r="I138" s="217"/>
    </row>
    <row r="139" spans="1:9" ht="30" customHeight="1">
      <c r="A139" s="217" t="s">
        <v>17</v>
      </c>
      <c r="B139" s="217"/>
      <c r="C139" s="217"/>
      <c r="D139" s="217"/>
      <c r="E139" s="217"/>
      <c r="F139" s="217"/>
      <c r="G139" s="217"/>
      <c r="H139" s="217"/>
      <c r="I139" s="217"/>
    </row>
    <row r="140" spans="1:9" ht="30" customHeight="1">
      <c r="A140" s="217" t="s">
        <v>21</v>
      </c>
      <c r="B140" s="217"/>
      <c r="C140" s="217"/>
      <c r="D140" s="217"/>
      <c r="E140" s="217"/>
      <c r="F140" s="217"/>
      <c r="G140" s="217"/>
      <c r="H140" s="217"/>
      <c r="I140" s="217"/>
    </row>
    <row r="141" spans="1:9" ht="15" customHeight="1">
      <c r="A141" s="217" t="s">
        <v>20</v>
      </c>
      <c r="B141" s="217"/>
      <c r="C141" s="217"/>
      <c r="D141" s="217"/>
      <c r="E141" s="217"/>
      <c r="F141" s="217"/>
      <c r="G141" s="217"/>
      <c r="H141" s="217"/>
      <c r="I141" s="217"/>
    </row>
  </sheetData>
  <autoFilter ref="I12:I62"/>
  <mergeCells count="29">
    <mergeCell ref="A138:I138"/>
    <mergeCell ref="A139:I139"/>
    <mergeCell ref="A140:I140"/>
    <mergeCell ref="A141:I141"/>
    <mergeCell ref="A129:I129"/>
    <mergeCell ref="C131:E131"/>
    <mergeCell ref="C132:E132"/>
    <mergeCell ref="C134:E134"/>
    <mergeCell ref="C135:E135"/>
    <mergeCell ref="A137:I137"/>
    <mergeCell ref="A127:I127"/>
    <mergeCell ref="A15:I15"/>
    <mergeCell ref="A29:I29"/>
    <mergeCell ref="A47:I47"/>
    <mergeCell ref="A57:I57"/>
    <mergeCell ref="A87:I87"/>
    <mergeCell ref="A121:I121"/>
    <mergeCell ref="B122:G122"/>
    <mergeCell ref="B123:G123"/>
    <mergeCell ref="A125:I125"/>
    <mergeCell ref="A126:I126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36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44"/>
  <sheetViews>
    <sheetView view="pageBreakPreview" topLeftCell="A55" zoomScale="60" workbookViewId="0">
      <selection activeCell="D94" sqref="D94:I94"/>
    </sheetView>
  </sheetViews>
  <sheetFormatPr defaultRowHeight="15"/>
  <cols>
    <col min="1" max="1" width="11.42578125" customWidth="1"/>
    <col min="2" max="2" width="54.7109375" customWidth="1"/>
    <col min="3" max="3" width="18.140625" customWidth="1"/>
    <col min="4" max="4" width="18" customWidth="1"/>
    <col min="5" max="6" width="0" hidden="1" customWidth="1"/>
    <col min="7" max="7" width="15.85546875" customWidth="1"/>
    <col min="8" max="8" width="0" hidden="1" customWidth="1"/>
    <col min="9" max="9" width="13.570312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299</v>
      </c>
      <c r="B3" s="199"/>
      <c r="C3" s="199"/>
      <c r="D3" s="199"/>
      <c r="E3" s="199"/>
      <c r="F3" s="199"/>
      <c r="G3" s="199"/>
      <c r="H3" s="199"/>
      <c r="I3" s="199"/>
    </row>
    <row r="4" spans="1:9" ht="30.7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300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73"/>
      <c r="C6" s="173"/>
      <c r="D6" s="173"/>
      <c r="E6" s="173"/>
      <c r="F6" s="173"/>
      <c r="G6" s="173"/>
      <c r="H6" s="173"/>
      <c r="I6" s="148">
        <v>43404</v>
      </c>
    </row>
    <row r="7" spans="1:9" ht="15.75">
      <c r="B7" s="175"/>
      <c r="C7" s="175"/>
      <c r="D7" s="175"/>
      <c r="E7" s="3"/>
      <c r="F7" s="3"/>
      <c r="G7" s="3"/>
      <c r="H7" s="3"/>
    </row>
    <row r="8" spans="1:9" ht="79.5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72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3.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idden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8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8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18" customHeight="1">
      <c r="A30" s="29">
        <v>6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31.5" customHeight="1">
      <c r="A31" s="29">
        <v>7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17.25" customHeight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7.25" customHeight="1">
      <c r="A34" s="29">
        <v>9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idden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idden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idden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idden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45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12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13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14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15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idden="1">
      <c r="A51" s="29">
        <v>16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33.75" customHeight="1">
      <c r="A52" s="29">
        <v>10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29.25" customHeight="1">
      <c r="A53" s="29">
        <v>11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t="16.5" customHeight="1">
      <c r="A54" s="29">
        <v>12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t="18" customHeight="1">
      <c r="A55" s="29">
        <v>13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150</v>
      </c>
      <c r="B56" s="208"/>
      <c r="C56" s="208"/>
      <c r="D56" s="208"/>
      <c r="E56" s="208"/>
      <c r="F56" s="208"/>
      <c r="G56" s="208"/>
      <c r="H56" s="208"/>
      <c r="I56" s="209"/>
    </row>
    <row r="57" spans="1:9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30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t="17.25" customHeight="1">
      <c r="A61" s="29">
        <v>14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f>G61*1</f>
        <v>1645</v>
      </c>
    </row>
    <row r="62" spans="1:9" ht="18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8.75" customHeight="1">
      <c r="A64" s="29">
        <v>15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4.2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t="15.75" customHeight="1">
      <c r="A66" s="29">
        <v>16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idden="1">
      <c r="A73" s="29">
        <v>20</v>
      </c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17.25" customHeight="1">
      <c r="A74" s="29">
        <v>17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7.25" customHeight="1">
      <c r="A75" s="29"/>
      <c r="B75" s="174" t="s">
        <v>218</v>
      </c>
      <c r="C75" s="16"/>
      <c r="D75" s="14"/>
      <c r="E75" s="18"/>
      <c r="F75" s="58"/>
      <c r="G75" s="13"/>
      <c r="H75" s="65"/>
      <c r="I75" s="13"/>
    </row>
    <row r="76" spans="1:9" ht="28.5" customHeight="1">
      <c r="A76" s="29">
        <v>18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0.75" customHeight="1">
      <c r="A77" s="29">
        <v>19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t="15.75" hidden="1" customHeight="1">
      <c r="A78" s="118"/>
      <c r="B78" s="174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idden="1">
      <c r="A86" s="118"/>
      <c r="B86" s="174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151</v>
      </c>
      <c r="B88" s="197"/>
      <c r="C88" s="197"/>
      <c r="D88" s="197"/>
      <c r="E88" s="197"/>
      <c r="F88" s="197"/>
      <c r="G88" s="197"/>
      <c r="H88" s="197"/>
      <c r="I88" s="198"/>
    </row>
    <row r="89" spans="1:9" ht="15" customHeight="1">
      <c r="A89" s="118">
        <v>20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28.5" customHeight="1">
      <c r="A90" s="29">
        <v>21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76"/>
      <c r="B91" s="34" t="s">
        <v>83</v>
      </c>
      <c r="C91" s="35"/>
      <c r="D91" s="15"/>
      <c r="E91" s="15"/>
      <c r="F91" s="15"/>
      <c r="G91" s="18"/>
      <c r="H91" s="18"/>
      <c r="I91" s="31">
        <f>I90+I89+I77+I76+I66+I64+I61+I55+I54+I53+I52+I34+I33+I31+I30+I27+I26+I18+I17+I16+I74</f>
        <v>151377.97991995557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22</v>
      </c>
      <c r="B93" s="48" t="s">
        <v>301</v>
      </c>
      <c r="C93" s="93" t="s">
        <v>302</v>
      </c>
      <c r="D93" s="42"/>
      <c r="E93" s="33"/>
      <c r="F93" s="33">
        <v>10</v>
      </c>
      <c r="G93" s="33">
        <v>745.13</v>
      </c>
      <c r="H93" s="92">
        <f t="shared" ref="H93:H94" si="12">G93*F93/1000</f>
        <v>7.4512999999999998</v>
      </c>
      <c r="I93" s="47">
        <f>G93*1</f>
        <v>745.13</v>
      </c>
    </row>
    <row r="94" spans="1:9" ht="15.75" customHeight="1">
      <c r="A94" s="29">
        <v>23</v>
      </c>
      <c r="B94" s="48" t="s">
        <v>280</v>
      </c>
      <c r="C94" s="93" t="s">
        <v>281</v>
      </c>
      <c r="D94" s="94"/>
      <c r="E94" s="33"/>
      <c r="F94" s="33">
        <v>2</v>
      </c>
      <c r="G94" s="33">
        <v>24829.08</v>
      </c>
      <c r="H94" s="92">
        <f t="shared" si="12"/>
        <v>49.658160000000002</v>
      </c>
      <c r="I94" s="47">
        <f>G94*0.01</f>
        <v>248.29080000000002</v>
      </c>
    </row>
    <row r="95" spans="1:9">
      <c r="A95" s="29">
        <v>24</v>
      </c>
      <c r="B95" s="48" t="s">
        <v>303</v>
      </c>
      <c r="C95" s="110" t="s">
        <v>304</v>
      </c>
      <c r="D95" s="94"/>
      <c r="E95" s="33"/>
      <c r="F95" s="33"/>
      <c r="G95" s="33">
        <v>320.33</v>
      </c>
      <c r="H95" s="92"/>
      <c r="I95" s="47">
        <f>G95*2</f>
        <v>640.66</v>
      </c>
    </row>
    <row r="96" spans="1:9" ht="30">
      <c r="A96" s="29">
        <v>25</v>
      </c>
      <c r="B96" s="48" t="s">
        <v>288</v>
      </c>
      <c r="C96" s="93" t="s">
        <v>96</v>
      </c>
      <c r="D96" s="94"/>
      <c r="E96" s="33"/>
      <c r="F96" s="33"/>
      <c r="G96" s="179">
        <v>613.44000000000005</v>
      </c>
      <c r="H96" s="92"/>
      <c r="I96" s="47">
        <f>G96*1</f>
        <v>613.44000000000005</v>
      </c>
    </row>
    <row r="97" spans="1:9" ht="30">
      <c r="A97" s="29">
        <v>26</v>
      </c>
      <c r="B97" s="46" t="s">
        <v>316</v>
      </c>
      <c r="C97" s="64" t="s">
        <v>84</v>
      </c>
      <c r="D97" s="106" t="s">
        <v>317</v>
      </c>
      <c r="E97" s="33"/>
      <c r="F97" s="33"/>
      <c r="G97" s="33">
        <v>1272</v>
      </c>
      <c r="H97" s="92"/>
      <c r="I97" s="47">
        <f>G97*12</f>
        <v>15264</v>
      </c>
    </row>
    <row r="98" spans="1:9">
      <c r="A98" s="29">
        <v>27</v>
      </c>
      <c r="B98" s="46" t="s">
        <v>305</v>
      </c>
      <c r="C98" s="64" t="s">
        <v>132</v>
      </c>
      <c r="D98" s="106"/>
      <c r="E98" s="33"/>
      <c r="F98" s="33"/>
      <c r="G98" s="33">
        <v>5.42</v>
      </c>
      <c r="H98" s="92"/>
      <c r="I98" s="47">
        <f>G98*3</f>
        <v>16.259999999999998</v>
      </c>
    </row>
    <row r="99" spans="1:9">
      <c r="A99" s="29">
        <v>28</v>
      </c>
      <c r="B99" s="46" t="s">
        <v>306</v>
      </c>
      <c r="C99" s="64" t="s">
        <v>132</v>
      </c>
      <c r="D99" s="94"/>
      <c r="E99" s="33"/>
      <c r="F99" s="33"/>
      <c r="G99" s="33">
        <v>8.44</v>
      </c>
      <c r="H99" s="92"/>
      <c r="I99" s="47">
        <f>G99*4</f>
        <v>33.76</v>
      </c>
    </row>
    <row r="100" spans="1:9">
      <c r="A100" s="29">
        <v>29</v>
      </c>
      <c r="B100" s="46" t="s">
        <v>307</v>
      </c>
      <c r="C100" s="64" t="s">
        <v>132</v>
      </c>
      <c r="D100" s="94"/>
      <c r="E100" s="33"/>
      <c r="F100" s="33"/>
      <c r="G100" s="33">
        <v>12.8</v>
      </c>
      <c r="H100" s="92"/>
      <c r="I100" s="47">
        <f>G100*3</f>
        <v>38.400000000000006</v>
      </c>
    </row>
    <row r="101" spans="1:9">
      <c r="A101" s="29">
        <v>30</v>
      </c>
      <c r="B101" s="46" t="s">
        <v>308</v>
      </c>
      <c r="C101" s="64" t="s">
        <v>132</v>
      </c>
      <c r="D101" s="94"/>
      <c r="E101" s="33"/>
      <c r="F101" s="33"/>
      <c r="G101" s="33">
        <v>8.44</v>
      </c>
      <c r="H101" s="92"/>
      <c r="I101" s="47">
        <f>G101*6</f>
        <v>50.64</v>
      </c>
    </row>
    <row r="102" spans="1:9">
      <c r="A102" s="29">
        <v>31</v>
      </c>
      <c r="B102" s="46" t="s">
        <v>309</v>
      </c>
      <c r="C102" s="64" t="s">
        <v>132</v>
      </c>
      <c r="D102" s="94"/>
      <c r="E102" s="33"/>
      <c r="F102" s="33"/>
      <c r="G102" s="33">
        <v>5.42</v>
      </c>
      <c r="H102" s="92"/>
      <c r="I102" s="47">
        <f>G102*6</f>
        <v>32.519999999999996</v>
      </c>
    </row>
    <row r="103" spans="1:9">
      <c r="A103" s="29">
        <v>32</v>
      </c>
      <c r="B103" s="46" t="s">
        <v>310</v>
      </c>
      <c r="C103" s="64" t="s">
        <v>132</v>
      </c>
      <c r="D103" s="94"/>
      <c r="E103" s="33"/>
      <c r="F103" s="33"/>
      <c r="G103" s="33">
        <v>95.25</v>
      </c>
      <c r="H103" s="92"/>
      <c r="I103" s="47">
        <f>G103*3</f>
        <v>285.75</v>
      </c>
    </row>
    <row r="104" spans="1:9">
      <c r="A104" s="29">
        <v>33</v>
      </c>
      <c r="B104" s="46" t="s">
        <v>310</v>
      </c>
      <c r="C104" s="64" t="s">
        <v>132</v>
      </c>
      <c r="D104" s="94"/>
      <c r="E104" s="33"/>
      <c r="F104" s="33"/>
      <c r="G104" s="33">
        <v>89.92</v>
      </c>
      <c r="H104" s="92"/>
      <c r="I104" s="47">
        <f>G104*1</f>
        <v>89.92</v>
      </c>
    </row>
    <row r="105" spans="1:9">
      <c r="A105" s="29">
        <v>34</v>
      </c>
      <c r="B105" s="46" t="s">
        <v>311</v>
      </c>
      <c r="C105" s="64" t="s">
        <v>132</v>
      </c>
      <c r="D105" s="94"/>
      <c r="E105" s="33"/>
      <c r="F105" s="33"/>
      <c r="G105" s="33">
        <v>169.24</v>
      </c>
      <c r="H105" s="92"/>
      <c r="I105" s="47">
        <f>G105*2</f>
        <v>338.48</v>
      </c>
    </row>
    <row r="106" spans="1:9">
      <c r="A106" s="29">
        <v>35</v>
      </c>
      <c r="B106" s="46" t="s">
        <v>276</v>
      </c>
      <c r="C106" s="64" t="s">
        <v>132</v>
      </c>
      <c r="D106" s="94"/>
      <c r="E106" s="33"/>
      <c r="F106" s="33"/>
      <c r="G106" s="33">
        <v>151.31</v>
      </c>
      <c r="H106" s="92"/>
      <c r="I106" s="47">
        <f>G106*1</f>
        <v>151.31</v>
      </c>
    </row>
    <row r="107" spans="1:9">
      <c r="A107" s="29">
        <v>36</v>
      </c>
      <c r="B107" s="46" t="s">
        <v>312</v>
      </c>
      <c r="C107" s="64" t="s">
        <v>132</v>
      </c>
      <c r="D107" s="94"/>
      <c r="E107" s="33"/>
      <c r="F107" s="33"/>
      <c r="G107" s="33">
        <v>225.51</v>
      </c>
      <c r="H107" s="92"/>
      <c r="I107" s="47">
        <f>G107*1</f>
        <v>225.51</v>
      </c>
    </row>
    <row r="108" spans="1:9">
      <c r="A108" s="29">
        <v>37</v>
      </c>
      <c r="B108" s="46" t="s">
        <v>313</v>
      </c>
      <c r="C108" s="64" t="s">
        <v>132</v>
      </c>
      <c r="D108" s="94"/>
      <c r="E108" s="33"/>
      <c r="F108" s="33"/>
      <c r="G108" s="33">
        <v>196.01</v>
      </c>
      <c r="H108" s="92"/>
      <c r="I108" s="47">
        <f>G108*4</f>
        <v>784.04</v>
      </c>
    </row>
    <row r="109" spans="1:9">
      <c r="A109" s="29">
        <v>38</v>
      </c>
      <c r="B109" s="46" t="s">
        <v>314</v>
      </c>
      <c r="C109" s="64" t="s">
        <v>132</v>
      </c>
      <c r="D109" s="94"/>
      <c r="E109" s="33"/>
      <c r="F109" s="33"/>
      <c r="G109" s="33">
        <v>5.43</v>
      </c>
      <c r="H109" s="92"/>
      <c r="I109" s="47">
        <f>G109*2</f>
        <v>10.86</v>
      </c>
    </row>
    <row r="110" spans="1:9">
      <c r="A110" s="29">
        <v>39</v>
      </c>
      <c r="B110" s="48" t="s">
        <v>315</v>
      </c>
      <c r="C110" s="93" t="s">
        <v>84</v>
      </c>
      <c r="D110" s="94"/>
      <c r="E110" s="33"/>
      <c r="F110" s="33"/>
      <c r="G110" s="33">
        <v>922.49</v>
      </c>
      <c r="H110" s="92"/>
      <c r="I110" s="47">
        <f>G110*0.5</f>
        <v>461.245</v>
      </c>
    </row>
    <row r="111" spans="1:9" ht="30">
      <c r="A111" s="29">
        <v>40</v>
      </c>
      <c r="B111" s="46" t="s">
        <v>228</v>
      </c>
      <c r="C111" s="64" t="s">
        <v>84</v>
      </c>
      <c r="D111" s="94"/>
      <c r="E111" s="33"/>
      <c r="F111" s="33"/>
      <c r="G111" s="33">
        <v>1272</v>
      </c>
      <c r="H111" s="92"/>
      <c r="I111" s="47">
        <f>G111*2</f>
        <v>2544</v>
      </c>
    </row>
    <row r="112" spans="1:9" ht="17.25" customHeight="1">
      <c r="A112" s="29">
        <v>41</v>
      </c>
      <c r="B112" s="46" t="s">
        <v>193</v>
      </c>
      <c r="C112" s="64" t="s">
        <v>96</v>
      </c>
      <c r="D112" s="94"/>
      <c r="E112" s="33"/>
      <c r="F112" s="33"/>
      <c r="G112" s="33">
        <v>1078.9000000000001</v>
      </c>
      <c r="H112" s="92"/>
      <c r="I112" s="47">
        <f>G112*2</f>
        <v>2157.8000000000002</v>
      </c>
    </row>
    <row r="113" spans="1:9">
      <c r="A113" s="29">
        <v>42</v>
      </c>
      <c r="B113" s="46" t="s">
        <v>318</v>
      </c>
      <c r="C113" s="64" t="s">
        <v>132</v>
      </c>
      <c r="D113" s="94"/>
      <c r="E113" s="33"/>
      <c r="F113" s="33"/>
      <c r="G113" s="33">
        <v>48.69</v>
      </c>
      <c r="H113" s="92"/>
      <c r="I113" s="47">
        <f>G113*2</f>
        <v>97.38</v>
      </c>
    </row>
    <row r="114" spans="1:9">
      <c r="A114" s="29">
        <v>43</v>
      </c>
      <c r="B114" s="46" t="s">
        <v>195</v>
      </c>
      <c r="C114" s="64" t="s">
        <v>132</v>
      </c>
      <c r="D114" s="94"/>
      <c r="E114" s="33"/>
      <c r="F114" s="33"/>
      <c r="G114" s="33">
        <v>28.36</v>
      </c>
      <c r="H114" s="92"/>
      <c r="I114" s="47">
        <f>G114*2</f>
        <v>56.72</v>
      </c>
    </row>
    <row r="115" spans="1:9">
      <c r="A115" s="29">
        <v>44</v>
      </c>
      <c r="B115" s="46" t="s">
        <v>319</v>
      </c>
      <c r="C115" s="64" t="s">
        <v>132</v>
      </c>
      <c r="D115" s="94"/>
      <c r="E115" s="33"/>
      <c r="F115" s="33"/>
      <c r="G115" s="33">
        <v>109.73</v>
      </c>
      <c r="H115" s="92"/>
      <c r="I115" s="47">
        <f>G115*2</f>
        <v>219.46</v>
      </c>
    </row>
    <row r="116" spans="1:9">
      <c r="A116" s="29">
        <v>45</v>
      </c>
      <c r="B116" s="46" t="s">
        <v>320</v>
      </c>
      <c r="C116" s="64" t="s">
        <v>132</v>
      </c>
      <c r="D116" s="94"/>
      <c r="E116" s="33"/>
      <c r="F116" s="33"/>
      <c r="G116" s="33">
        <v>160</v>
      </c>
      <c r="H116" s="92"/>
      <c r="I116" s="47">
        <f>G116*1</f>
        <v>160</v>
      </c>
    </row>
    <row r="117" spans="1:9">
      <c r="A117" s="29">
        <v>46</v>
      </c>
      <c r="B117" s="46" t="s">
        <v>85</v>
      </c>
      <c r="C117" s="64" t="s">
        <v>132</v>
      </c>
      <c r="D117" s="94"/>
      <c r="E117" s="33"/>
      <c r="F117" s="33"/>
      <c r="G117" s="33">
        <v>197.48</v>
      </c>
      <c r="H117" s="92"/>
      <c r="I117" s="47">
        <f>G117*2</f>
        <v>394.96</v>
      </c>
    </row>
    <row r="118" spans="1:9">
      <c r="A118" s="29">
        <v>47</v>
      </c>
      <c r="B118" s="48" t="s">
        <v>297</v>
      </c>
      <c r="C118" s="93" t="s">
        <v>132</v>
      </c>
      <c r="D118" s="94"/>
      <c r="E118" s="33"/>
      <c r="F118" s="33"/>
      <c r="G118" s="33">
        <v>489.02</v>
      </c>
      <c r="H118" s="92"/>
      <c r="I118" s="47">
        <f>G118*1</f>
        <v>489.02</v>
      </c>
    </row>
    <row r="119" spans="1:9" ht="30">
      <c r="A119" s="29">
        <v>48</v>
      </c>
      <c r="B119" s="46" t="s">
        <v>160</v>
      </c>
      <c r="C119" s="64" t="s">
        <v>38</v>
      </c>
      <c r="D119" s="94"/>
      <c r="E119" s="33"/>
      <c r="F119" s="33"/>
      <c r="G119" s="33">
        <v>3724.37</v>
      </c>
      <c r="H119" s="92"/>
      <c r="I119" s="47">
        <f>G119*0.02</f>
        <v>74.487399999999994</v>
      </c>
    </row>
    <row r="120" spans="1:9">
      <c r="A120" s="29">
        <v>49</v>
      </c>
      <c r="B120" s="48" t="s">
        <v>278</v>
      </c>
      <c r="C120" s="93" t="s">
        <v>279</v>
      </c>
      <c r="D120" s="94"/>
      <c r="E120" s="33"/>
      <c r="F120" s="33"/>
      <c r="G120" s="149">
        <v>253.69</v>
      </c>
      <c r="H120" s="92"/>
      <c r="I120" s="47">
        <f>G120*0.5</f>
        <v>126.845</v>
      </c>
    </row>
    <row r="121" spans="1:9" ht="18" customHeight="1">
      <c r="A121" s="29"/>
      <c r="B121" s="40" t="s">
        <v>52</v>
      </c>
      <c r="C121" s="36"/>
      <c r="D121" s="44"/>
      <c r="E121" s="36">
        <v>1</v>
      </c>
      <c r="F121" s="36"/>
      <c r="G121" s="36"/>
      <c r="H121" s="36"/>
      <c r="I121" s="31">
        <f>SUM(I93:I120)</f>
        <v>26350.888199999998</v>
      </c>
    </row>
    <row r="122" spans="1:9">
      <c r="A122" s="29"/>
      <c r="B122" s="42" t="s">
        <v>81</v>
      </c>
      <c r="C122" s="15"/>
      <c r="D122" s="15"/>
      <c r="E122" s="37"/>
      <c r="F122" s="37"/>
      <c r="G122" s="38"/>
      <c r="H122" s="38"/>
      <c r="I122" s="17">
        <v>0</v>
      </c>
    </row>
    <row r="123" spans="1:9">
      <c r="A123" s="45"/>
      <c r="B123" s="41" t="s">
        <v>191</v>
      </c>
      <c r="C123" s="32"/>
      <c r="D123" s="32"/>
      <c r="E123" s="32"/>
      <c r="F123" s="32"/>
      <c r="G123" s="32"/>
      <c r="H123" s="32"/>
      <c r="I123" s="39">
        <f>I121+I91</f>
        <v>177728.86811995556</v>
      </c>
    </row>
    <row r="124" spans="1:9" ht="15.75">
      <c r="A124" s="213" t="s">
        <v>321</v>
      </c>
      <c r="B124" s="213"/>
      <c r="C124" s="213"/>
      <c r="D124" s="213"/>
      <c r="E124" s="213"/>
      <c r="F124" s="213"/>
      <c r="G124" s="213"/>
      <c r="H124" s="213"/>
      <c r="I124" s="213"/>
    </row>
    <row r="125" spans="1:9" ht="15.75">
      <c r="A125" s="57"/>
      <c r="B125" s="214" t="s">
        <v>322</v>
      </c>
      <c r="C125" s="214"/>
      <c r="D125" s="214"/>
      <c r="E125" s="214"/>
      <c r="F125" s="214"/>
      <c r="G125" s="214"/>
      <c r="H125" s="62"/>
      <c r="I125" s="3"/>
    </row>
    <row r="126" spans="1:9">
      <c r="A126" s="172"/>
      <c r="B126" s="215" t="s">
        <v>6</v>
      </c>
      <c r="C126" s="215"/>
      <c r="D126" s="215"/>
      <c r="E126" s="215"/>
      <c r="F126" s="215"/>
      <c r="G126" s="215"/>
      <c r="H126" s="24"/>
      <c r="I126" s="5"/>
    </row>
    <row r="127" spans="1:9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5.75">
      <c r="A128" s="216" t="s">
        <v>7</v>
      </c>
      <c r="B128" s="216"/>
      <c r="C128" s="216"/>
      <c r="D128" s="216"/>
      <c r="E128" s="216"/>
      <c r="F128" s="216"/>
      <c r="G128" s="216"/>
      <c r="H128" s="216"/>
      <c r="I128" s="216"/>
    </row>
    <row r="129" spans="1:9" ht="15.75">
      <c r="A129" s="216" t="s">
        <v>8</v>
      </c>
      <c r="B129" s="216"/>
      <c r="C129" s="216"/>
      <c r="D129" s="216"/>
      <c r="E129" s="216"/>
      <c r="F129" s="216"/>
      <c r="G129" s="216"/>
      <c r="H129" s="216"/>
      <c r="I129" s="216"/>
    </row>
    <row r="130" spans="1:9" ht="15.75">
      <c r="A130" s="205" t="s">
        <v>62</v>
      </c>
      <c r="B130" s="205"/>
      <c r="C130" s="205"/>
      <c r="D130" s="205"/>
      <c r="E130" s="205"/>
      <c r="F130" s="205"/>
      <c r="G130" s="205"/>
      <c r="H130" s="205"/>
      <c r="I130" s="205"/>
    </row>
    <row r="131" spans="1:9" ht="15.75">
      <c r="A131" s="11"/>
    </row>
    <row r="132" spans="1:9" ht="15.75">
      <c r="A132" s="218" t="s">
        <v>9</v>
      </c>
      <c r="B132" s="218"/>
      <c r="C132" s="218"/>
      <c r="D132" s="218"/>
      <c r="E132" s="218"/>
      <c r="F132" s="218"/>
      <c r="G132" s="218"/>
      <c r="H132" s="218"/>
      <c r="I132" s="218"/>
    </row>
    <row r="133" spans="1:9" ht="15.75">
      <c r="A133" s="4"/>
    </row>
    <row r="134" spans="1:9" ht="15.75">
      <c r="B134" s="175" t="s">
        <v>10</v>
      </c>
      <c r="C134" s="219" t="s">
        <v>93</v>
      </c>
      <c r="D134" s="219"/>
      <c r="E134" s="219"/>
      <c r="F134" s="60"/>
      <c r="I134" s="178"/>
    </row>
    <row r="135" spans="1:9">
      <c r="A135" s="172"/>
      <c r="C135" s="215" t="s">
        <v>11</v>
      </c>
      <c r="D135" s="215"/>
      <c r="E135" s="215"/>
      <c r="F135" s="24"/>
      <c r="I135" s="177" t="s">
        <v>12</v>
      </c>
    </row>
    <row r="136" spans="1:9" ht="15.75">
      <c r="A136" s="25"/>
      <c r="C136" s="12"/>
      <c r="D136" s="12"/>
      <c r="G136" s="12"/>
      <c r="H136" s="12"/>
    </row>
    <row r="137" spans="1:9" ht="15.75">
      <c r="B137" s="175" t="s">
        <v>13</v>
      </c>
      <c r="C137" s="220"/>
      <c r="D137" s="220"/>
      <c r="E137" s="220"/>
      <c r="F137" s="61"/>
      <c r="I137" s="178"/>
    </row>
    <row r="138" spans="1:9">
      <c r="A138" s="172"/>
      <c r="C138" s="195" t="s">
        <v>11</v>
      </c>
      <c r="D138" s="195"/>
      <c r="E138" s="195"/>
      <c r="F138" s="172"/>
      <c r="I138" s="177" t="s">
        <v>12</v>
      </c>
    </row>
    <row r="139" spans="1:9" ht="15.75">
      <c r="A139" s="4" t="s">
        <v>14</v>
      </c>
    </row>
    <row r="140" spans="1:9">
      <c r="A140" s="221" t="s">
        <v>15</v>
      </c>
      <c r="B140" s="221"/>
      <c r="C140" s="221"/>
      <c r="D140" s="221"/>
      <c r="E140" s="221"/>
      <c r="F140" s="221"/>
      <c r="G140" s="221"/>
      <c r="H140" s="221"/>
      <c r="I140" s="221"/>
    </row>
    <row r="141" spans="1:9" ht="47.25" customHeight="1">
      <c r="A141" s="217" t="s">
        <v>16</v>
      </c>
      <c r="B141" s="217"/>
      <c r="C141" s="217"/>
      <c r="D141" s="217"/>
      <c r="E141" s="217"/>
      <c r="F141" s="217"/>
      <c r="G141" s="217"/>
      <c r="H141" s="217"/>
      <c r="I141" s="217"/>
    </row>
    <row r="142" spans="1:9" ht="33" customHeight="1">
      <c r="A142" s="217" t="s">
        <v>17</v>
      </c>
      <c r="B142" s="217"/>
      <c r="C142" s="217"/>
      <c r="D142" s="217"/>
      <c r="E142" s="217"/>
      <c r="F142" s="217"/>
      <c r="G142" s="217"/>
      <c r="H142" s="217"/>
      <c r="I142" s="217"/>
    </row>
    <row r="143" spans="1:9" ht="34.5" customHeight="1">
      <c r="A143" s="217" t="s">
        <v>21</v>
      </c>
      <c r="B143" s="217"/>
      <c r="C143" s="217"/>
      <c r="D143" s="217"/>
      <c r="E143" s="217"/>
      <c r="F143" s="217"/>
      <c r="G143" s="217"/>
      <c r="H143" s="217"/>
      <c r="I143" s="217"/>
    </row>
    <row r="144" spans="1:9" ht="15.75">
      <c r="A144" s="217" t="s">
        <v>20</v>
      </c>
      <c r="B144" s="217"/>
      <c r="C144" s="217"/>
      <c r="D144" s="217"/>
      <c r="E144" s="217"/>
      <c r="F144" s="217"/>
      <c r="G144" s="217"/>
      <c r="H144" s="217"/>
      <c r="I144" s="217"/>
    </row>
  </sheetData>
  <mergeCells count="28">
    <mergeCell ref="A14:I14"/>
    <mergeCell ref="A3:I3"/>
    <mergeCell ref="A4:I4"/>
    <mergeCell ref="A5:I5"/>
    <mergeCell ref="A8:I8"/>
    <mergeCell ref="A10:I10"/>
    <mergeCell ref="A130:I130"/>
    <mergeCell ref="A15:I15"/>
    <mergeCell ref="A28:I28"/>
    <mergeCell ref="A46:I46"/>
    <mergeCell ref="A56:I56"/>
    <mergeCell ref="A88:I88"/>
    <mergeCell ref="A92:I92"/>
    <mergeCell ref="A124:I124"/>
    <mergeCell ref="B125:G125"/>
    <mergeCell ref="B126:G126"/>
    <mergeCell ref="A128:I128"/>
    <mergeCell ref="A129:I129"/>
    <mergeCell ref="A141:I141"/>
    <mergeCell ref="A142:I142"/>
    <mergeCell ref="A143:I143"/>
    <mergeCell ref="A144:I144"/>
    <mergeCell ref="A132:I132"/>
    <mergeCell ref="C134:E134"/>
    <mergeCell ref="C135:E135"/>
    <mergeCell ref="C137:E137"/>
    <mergeCell ref="C138:E138"/>
    <mergeCell ref="A140:I14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3"/>
  <sheetViews>
    <sheetView view="pageBreakPreview" zoomScale="60" workbookViewId="0">
      <selection sqref="A1:I134"/>
    </sheetView>
  </sheetViews>
  <sheetFormatPr defaultRowHeight="15"/>
  <cols>
    <col min="1" max="1" width="12.7109375" customWidth="1"/>
    <col min="2" max="2" width="49.5703125" customWidth="1"/>
    <col min="3" max="3" width="18" customWidth="1"/>
    <col min="4" max="4" width="18.5703125" customWidth="1"/>
    <col min="5" max="5" width="13" hidden="1" customWidth="1"/>
    <col min="6" max="6" width="12.5703125" hidden="1" customWidth="1"/>
    <col min="7" max="7" width="16.28515625" customWidth="1"/>
    <col min="8" max="8" width="0" hidden="1" customWidth="1"/>
    <col min="9" max="9" width="16.570312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323</v>
      </c>
      <c r="B3" s="199"/>
      <c r="C3" s="199"/>
      <c r="D3" s="199"/>
      <c r="E3" s="199"/>
      <c r="F3" s="199"/>
      <c r="G3" s="199"/>
      <c r="H3" s="199"/>
      <c r="I3" s="199"/>
    </row>
    <row r="4" spans="1:9" ht="37.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324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85"/>
      <c r="C6" s="185"/>
      <c r="D6" s="185"/>
      <c r="E6" s="185"/>
      <c r="F6" s="185"/>
      <c r="G6" s="185"/>
      <c r="H6" s="185"/>
      <c r="I6" s="148">
        <v>43434</v>
      </c>
    </row>
    <row r="7" spans="1:9" ht="15.75">
      <c r="B7" s="183"/>
      <c r="C7" s="183"/>
      <c r="D7" s="183"/>
      <c r="E7" s="3"/>
      <c r="F7" s="3"/>
      <c r="G7" s="3"/>
      <c r="H7" s="3"/>
    </row>
    <row r="8" spans="1:9" ht="95.25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74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7.2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6.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t="20.25" hidden="1" customHeight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t="23.25" hidden="1" customHeight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t="19.5" hidden="1" customHeight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t="17.25" hidden="1" customHeight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t="18" hidden="1" customHeight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16.5" hidden="1" customHeight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t="15.75" hidden="1" customHeight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6.5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 hidden="1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idden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idden="1">
      <c r="A30" s="29">
        <v>6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19.5" hidden="1" customHeight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9.5" hidden="1" customHeight="1">
      <c r="A34" s="29">
        <v>9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t="22.5" hidden="1" customHeight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t="15" customHeight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t="17.25" customHeight="1">
      <c r="A38" s="29">
        <v>5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t="15.75" customHeight="1">
      <c r="A39" s="29">
        <v>6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.75" customHeight="1">
      <c r="A40" s="29">
        <v>7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customHeight="1">
      <c r="A42" s="29">
        <v>8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t="15" customHeight="1">
      <c r="A43" s="29">
        <v>9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(F43/7.5)*G43</f>
        <v>586.01473320000002</v>
      </c>
    </row>
    <row r="44" spans="1:9" ht="18" customHeight="1">
      <c r="A44" s="29">
        <v>10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(F44/7.5)*G44</f>
        <v>128</v>
      </c>
    </row>
    <row r="45" spans="1:9" ht="36.75" customHeight="1">
      <c r="A45" s="29">
        <v>11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 hidden="1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12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13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14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15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idden="1">
      <c r="A51" s="29">
        <v>16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10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11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12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13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t="18.75" customHeight="1">
      <c r="A59" s="29">
        <v>12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14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f>G61*1</f>
        <v>1645</v>
      </c>
    </row>
    <row r="62" spans="1:9" ht="18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4.25" customHeight="1">
      <c r="A64" s="29">
        <v>13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3.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t="15.75" customHeight="1">
      <c r="A66" s="29">
        <v>14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G66*2</f>
        <v>606.70000000000005</v>
      </c>
    </row>
    <row r="67" spans="1:9" ht="14.25" hidden="1" customHeight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t="15" hidden="1" customHeight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t="17.25" hidden="1" customHeight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t="17.25" hidden="1" customHeight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t="18.75" hidden="1" customHeight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t="21.75" hidden="1" customHeight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t="30" hidden="1" customHeight="1">
      <c r="A73" s="29">
        <v>20</v>
      </c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3" customHeight="1">
      <c r="A74" s="29">
        <v>15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4.25" customHeight="1">
      <c r="A75" s="29"/>
      <c r="B75" s="186" t="s">
        <v>218</v>
      </c>
      <c r="C75" s="16"/>
      <c r="D75" s="14"/>
      <c r="E75" s="18"/>
      <c r="F75" s="58"/>
      <c r="G75" s="13"/>
      <c r="H75" s="65"/>
      <c r="I75" s="13"/>
    </row>
    <row r="76" spans="1:9" ht="35.25" customHeight="1">
      <c r="A76" s="29">
        <v>16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0" customHeight="1">
      <c r="A77" s="29">
        <v>17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t="15" hidden="1" customHeight="1">
      <c r="A78" s="118"/>
      <c r="B78" s="186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37.5" hidden="1" customHeight="1">
      <c r="A86" s="118"/>
      <c r="B86" s="186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 ht="15.75" customHeight="1">
      <c r="A89" s="118">
        <v>18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0.75" customHeight="1">
      <c r="A90" s="29">
        <v>19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84"/>
      <c r="B91" s="34" t="s">
        <v>83</v>
      </c>
      <c r="C91" s="35"/>
      <c r="D91" s="15"/>
      <c r="E91" s="15"/>
      <c r="F91" s="15"/>
      <c r="G91" s="18"/>
      <c r="H91" s="18"/>
      <c r="I91" s="31">
        <f>I90+I89+I77+I76+I74+I66+I64+I59+I45+I44+I43+I42+I40+I39+I38+I26+I18+I17+I16</f>
        <v>105374.83185936665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20</v>
      </c>
      <c r="B93" s="94" t="s">
        <v>325</v>
      </c>
      <c r="C93" s="106" t="s">
        <v>116</v>
      </c>
      <c r="D93" s="42"/>
      <c r="E93" s="33"/>
      <c r="F93" s="33">
        <v>10</v>
      </c>
      <c r="G93" s="33">
        <v>3413.41</v>
      </c>
      <c r="H93" s="92">
        <f t="shared" ref="H93:H94" si="12">G93*F93/1000</f>
        <v>34.134099999999997</v>
      </c>
      <c r="I93" s="47">
        <f>G93*0.06</f>
        <v>204.80459999999999</v>
      </c>
    </row>
    <row r="94" spans="1:9">
      <c r="A94" s="29">
        <v>21</v>
      </c>
      <c r="B94" s="48" t="s">
        <v>168</v>
      </c>
      <c r="C94" s="93" t="s">
        <v>87</v>
      </c>
      <c r="D94" s="94"/>
      <c r="E94" s="33"/>
      <c r="F94" s="33">
        <v>2</v>
      </c>
      <c r="G94" s="33">
        <v>203.68</v>
      </c>
      <c r="H94" s="92">
        <f t="shared" si="12"/>
        <v>0.40736</v>
      </c>
      <c r="I94" s="47">
        <f>G94*3</f>
        <v>611.04</v>
      </c>
    </row>
    <row r="95" spans="1:9" ht="30">
      <c r="A95" s="29">
        <v>22</v>
      </c>
      <c r="B95" s="48" t="s">
        <v>280</v>
      </c>
      <c r="C95" s="93" t="s">
        <v>281</v>
      </c>
      <c r="D95" s="94"/>
      <c r="E95" s="33"/>
      <c r="F95" s="33"/>
      <c r="G95" s="33">
        <v>24829.08</v>
      </c>
      <c r="H95" s="92"/>
      <c r="I95" s="47">
        <f>G95*0.02</f>
        <v>496.58160000000004</v>
      </c>
    </row>
    <row r="96" spans="1:9" ht="30">
      <c r="A96" s="29">
        <v>23</v>
      </c>
      <c r="B96" s="48" t="s">
        <v>288</v>
      </c>
      <c r="C96" s="93" t="s">
        <v>96</v>
      </c>
      <c r="D96" s="94"/>
      <c r="E96" s="33"/>
      <c r="F96" s="33"/>
      <c r="G96" s="179">
        <v>613.44000000000005</v>
      </c>
      <c r="H96" s="92"/>
      <c r="I96" s="47">
        <f>G96*1</f>
        <v>613.44000000000005</v>
      </c>
    </row>
    <row r="97" spans="1:9" ht="30">
      <c r="A97" s="29">
        <v>24</v>
      </c>
      <c r="B97" s="46" t="s">
        <v>326</v>
      </c>
      <c r="C97" s="64" t="s">
        <v>84</v>
      </c>
      <c r="D97" s="106" t="s">
        <v>95</v>
      </c>
      <c r="E97" s="33"/>
      <c r="F97" s="33"/>
      <c r="G97" s="33">
        <v>1272</v>
      </c>
      <c r="H97" s="92"/>
      <c r="I97" s="47">
        <f>G97*3</f>
        <v>3816</v>
      </c>
    </row>
    <row r="98" spans="1:9">
      <c r="A98" s="29">
        <v>25</v>
      </c>
      <c r="B98" s="46" t="s">
        <v>307</v>
      </c>
      <c r="C98" s="64" t="s">
        <v>132</v>
      </c>
      <c r="D98" s="106"/>
      <c r="E98" s="33"/>
      <c r="F98" s="33"/>
      <c r="G98" s="33">
        <v>12.8</v>
      </c>
      <c r="H98" s="92"/>
      <c r="I98" s="47">
        <f>G98*1</f>
        <v>12.8</v>
      </c>
    </row>
    <row r="99" spans="1:9">
      <c r="A99" s="29">
        <v>26</v>
      </c>
      <c r="B99" s="46" t="s">
        <v>308</v>
      </c>
      <c r="C99" s="64" t="s">
        <v>132</v>
      </c>
      <c r="D99" s="94"/>
      <c r="E99" s="33"/>
      <c r="F99" s="33"/>
      <c r="G99" s="33">
        <v>8.44</v>
      </c>
      <c r="H99" s="92"/>
      <c r="I99" s="47">
        <f>G99*3</f>
        <v>25.32</v>
      </c>
    </row>
    <row r="100" spans="1:9">
      <c r="A100" s="29">
        <v>27</v>
      </c>
      <c r="B100" s="46" t="s">
        <v>310</v>
      </c>
      <c r="C100" s="64" t="s">
        <v>132</v>
      </c>
      <c r="D100" s="94"/>
      <c r="E100" s="33"/>
      <c r="F100" s="33"/>
      <c r="G100" s="33">
        <v>95.25</v>
      </c>
      <c r="H100" s="92"/>
      <c r="I100" s="47">
        <f>G100*1</f>
        <v>95.25</v>
      </c>
    </row>
    <row r="101" spans="1:9">
      <c r="A101" s="29">
        <v>28</v>
      </c>
      <c r="B101" s="46" t="s">
        <v>311</v>
      </c>
      <c r="C101" s="64" t="s">
        <v>132</v>
      </c>
      <c r="D101" s="94"/>
      <c r="E101" s="33"/>
      <c r="F101" s="33"/>
      <c r="G101" s="33">
        <v>169.24</v>
      </c>
      <c r="H101" s="92"/>
      <c r="I101" s="47">
        <f>G101*1</f>
        <v>169.24</v>
      </c>
    </row>
    <row r="102" spans="1:9">
      <c r="A102" s="29">
        <v>29</v>
      </c>
      <c r="B102" s="46" t="s">
        <v>276</v>
      </c>
      <c r="C102" s="64" t="s">
        <v>132</v>
      </c>
      <c r="D102" s="94"/>
      <c r="E102" s="33"/>
      <c r="F102" s="33"/>
      <c r="G102" s="33">
        <v>151.31</v>
      </c>
      <c r="H102" s="92"/>
      <c r="I102" s="47">
        <f>G102*1</f>
        <v>151.31</v>
      </c>
    </row>
    <row r="103" spans="1:9">
      <c r="A103" s="29">
        <v>30</v>
      </c>
      <c r="B103" s="46" t="s">
        <v>327</v>
      </c>
      <c r="C103" s="64" t="s">
        <v>132</v>
      </c>
      <c r="D103" s="94"/>
      <c r="E103" s="33"/>
      <c r="F103" s="33"/>
      <c r="G103" s="33">
        <v>45</v>
      </c>
      <c r="H103" s="92"/>
      <c r="I103" s="47">
        <f>G103*1</f>
        <v>45</v>
      </c>
    </row>
    <row r="104" spans="1:9">
      <c r="A104" s="29">
        <v>31</v>
      </c>
      <c r="B104" s="48" t="s">
        <v>328</v>
      </c>
      <c r="C104" s="93" t="s">
        <v>55</v>
      </c>
      <c r="D104" s="94"/>
      <c r="E104" s="33"/>
      <c r="F104" s="33"/>
      <c r="G104" s="33">
        <v>37.54</v>
      </c>
      <c r="H104" s="92"/>
      <c r="I104" s="47">
        <f>G104*1.35</f>
        <v>50.679000000000002</v>
      </c>
    </row>
    <row r="105" spans="1:9">
      <c r="A105" s="29">
        <v>32</v>
      </c>
      <c r="B105" s="48" t="s">
        <v>329</v>
      </c>
      <c r="C105" s="93" t="s">
        <v>55</v>
      </c>
      <c r="D105" s="94"/>
      <c r="E105" s="33"/>
      <c r="F105" s="33"/>
      <c r="G105" s="33">
        <v>314.33999999999997</v>
      </c>
      <c r="H105" s="92"/>
      <c r="I105" s="47">
        <f>G105*1.35</f>
        <v>424.35899999999998</v>
      </c>
    </row>
    <row r="106" spans="1:9" ht="30">
      <c r="A106" s="29">
        <v>33</v>
      </c>
      <c r="B106" s="46" t="s">
        <v>160</v>
      </c>
      <c r="C106" s="64" t="s">
        <v>38</v>
      </c>
      <c r="D106" s="94"/>
      <c r="E106" s="33"/>
      <c r="F106" s="33"/>
      <c r="G106" s="33">
        <v>3724.37</v>
      </c>
      <c r="H106" s="92"/>
      <c r="I106" s="47">
        <f>G106*0.01</f>
        <v>37.243699999999997</v>
      </c>
    </row>
    <row r="107" spans="1:9">
      <c r="A107" s="29">
        <v>34</v>
      </c>
      <c r="B107" s="48" t="s">
        <v>200</v>
      </c>
      <c r="C107" s="93" t="s">
        <v>201</v>
      </c>
      <c r="D107" s="94"/>
      <c r="E107" s="33"/>
      <c r="F107" s="33"/>
      <c r="G107" s="149">
        <v>134.12</v>
      </c>
      <c r="H107" s="92"/>
      <c r="I107" s="47">
        <f>G107*10</f>
        <v>1341.2</v>
      </c>
    </row>
    <row r="108" spans="1:9" ht="30">
      <c r="A108" s="29">
        <v>35</v>
      </c>
      <c r="B108" s="48" t="s">
        <v>330</v>
      </c>
      <c r="C108" s="93" t="s">
        <v>132</v>
      </c>
      <c r="D108" s="94"/>
      <c r="E108" s="33"/>
      <c r="F108" s="33"/>
      <c r="G108" s="33">
        <v>419.84</v>
      </c>
      <c r="H108" s="92"/>
      <c r="I108" s="47">
        <f>G108*1</f>
        <v>419.84</v>
      </c>
    </row>
    <row r="109" spans="1:9" ht="30">
      <c r="A109" s="29">
        <v>36</v>
      </c>
      <c r="B109" s="194" t="s">
        <v>331</v>
      </c>
      <c r="C109" s="35" t="s">
        <v>332</v>
      </c>
      <c r="D109" s="94"/>
      <c r="E109" s="33"/>
      <c r="F109" s="33"/>
      <c r="G109" s="149">
        <v>326.66000000000003</v>
      </c>
      <c r="H109" s="92"/>
      <c r="I109" s="47">
        <f>G109*3.6</f>
        <v>1175.9760000000001</v>
      </c>
    </row>
    <row r="110" spans="1:9" ht="19.5" customHeight="1">
      <c r="A110" s="29"/>
      <c r="B110" s="40" t="s">
        <v>52</v>
      </c>
      <c r="C110" s="36"/>
      <c r="D110" s="44"/>
      <c r="E110" s="36">
        <v>1</v>
      </c>
      <c r="F110" s="36"/>
      <c r="G110" s="36"/>
      <c r="H110" s="36"/>
      <c r="I110" s="31">
        <f>SUM(I93:I109)</f>
        <v>9690.0839000000014</v>
      </c>
    </row>
    <row r="111" spans="1:9">
      <c r="A111" s="29"/>
      <c r="B111" s="42" t="s">
        <v>81</v>
      </c>
      <c r="C111" s="15"/>
      <c r="D111" s="15"/>
      <c r="E111" s="37"/>
      <c r="F111" s="37"/>
      <c r="G111" s="38"/>
      <c r="H111" s="38"/>
      <c r="I111" s="17">
        <v>0</v>
      </c>
    </row>
    <row r="112" spans="1:9">
      <c r="A112" s="45"/>
      <c r="B112" s="41" t="s">
        <v>191</v>
      </c>
      <c r="C112" s="32"/>
      <c r="D112" s="32"/>
      <c r="E112" s="32"/>
      <c r="F112" s="32"/>
      <c r="G112" s="32"/>
      <c r="H112" s="32"/>
      <c r="I112" s="39">
        <f>I110+I91</f>
        <v>115064.91575936665</v>
      </c>
    </row>
    <row r="113" spans="1:9" ht="15.75">
      <c r="A113" s="213" t="s">
        <v>333</v>
      </c>
      <c r="B113" s="213"/>
      <c r="C113" s="213"/>
      <c r="D113" s="213"/>
      <c r="E113" s="213"/>
      <c r="F113" s="213"/>
      <c r="G113" s="213"/>
      <c r="H113" s="213"/>
      <c r="I113" s="213"/>
    </row>
    <row r="114" spans="1:9" ht="15.75">
      <c r="A114" s="57"/>
      <c r="B114" s="214" t="s">
        <v>334</v>
      </c>
      <c r="C114" s="214"/>
      <c r="D114" s="214"/>
      <c r="E114" s="214"/>
      <c r="F114" s="214"/>
      <c r="G114" s="214"/>
      <c r="H114" s="62"/>
      <c r="I114" s="3"/>
    </row>
    <row r="115" spans="1:9">
      <c r="A115" s="182"/>
      <c r="B115" s="215" t="s">
        <v>6</v>
      </c>
      <c r="C115" s="215"/>
      <c r="D115" s="215"/>
      <c r="E115" s="215"/>
      <c r="F115" s="215"/>
      <c r="G115" s="215"/>
      <c r="H115" s="24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>
      <c r="A117" s="216" t="s">
        <v>7</v>
      </c>
      <c r="B117" s="216"/>
      <c r="C117" s="216"/>
      <c r="D117" s="216"/>
      <c r="E117" s="216"/>
      <c r="F117" s="216"/>
      <c r="G117" s="216"/>
      <c r="H117" s="216"/>
      <c r="I117" s="216"/>
    </row>
    <row r="118" spans="1:9" ht="15.75">
      <c r="A118" s="216" t="s">
        <v>8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15.75">
      <c r="A119" s="205" t="s">
        <v>62</v>
      </c>
      <c r="B119" s="205"/>
      <c r="C119" s="205"/>
      <c r="D119" s="205"/>
      <c r="E119" s="205"/>
      <c r="F119" s="205"/>
      <c r="G119" s="205"/>
      <c r="H119" s="205"/>
      <c r="I119" s="205"/>
    </row>
    <row r="120" spans="1:9" ht="15.75">
      <c r="A120" s="11"/>
    </row>
    <row r="121" spans="1:9" ht="15.75">
      <c r="A121" s="218" t="s">
        <v>9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15.75">
      <c r="A122" s="4"/>
    </row>
    <row r="123" spans="1:9" ht="15.75">
      <c r="B123" s="183" t="s">
        <v>10</v>
      </c>
      <c r="C123" s="219" t="s">
        <v>93</v>
      </c>
      <c r="D123" s="219"/>
      <c r="E123" s="219"/>
      <c r="F123" s="60"/>
      <c r="I123" s="181"/>
    </row>
    <row r="124" spans="1:9">
      <c r="A124" s="182"/>
      <c r="C124" s="215" t="s">
        <v>11</v>
      </c>
      <c r="D124" s="215"/>
      <c r="E124" s="215"/>
      <c r="F124" s="24"/>
      <c r="I124" s="180" t="s">
        <v>12</v>
      </c>
    </row>
    <row r="125" spans="1:9" ht="15.75">
      <c r="A125" s="25"/>
      <c r="C125" s="12"/>
      <c r="D125" s="12"/>
      <c r="G125" s="12"/>
      <c r="H125" s="12"/>
    </row>
    <row r="126" spans="1:9" ht="15.75">
      <c r="B126" s="183" t="s">
        <v>13</v>
      </c>
      <c r="C126" s="220"/>
      <c r="D126" s="220"/>
      <c r="E126" s="220"/>
      <c r="F126" s="61"/>
      <c r="I126" s="181"/>
    </row>
    <row r="127" spans="1:9">
      <c r="A127" s="182"/>
      <c r="C127" s="195" t="s">
        <v>11</v>
      </c>
      <c r="D127" s="195"/>
      <c r="E127" s="195"/>
      <c r="F127" s="182"/>
      <c r="I127" s="180" t="s">
        <v>12</v>
      </c>
    </row>
    <row r="128" spans="1:9" ht="15.75">
      <c r="A128" s="4" t="s">
        <v>14</v>
      </c>
    </row>
    <row r="129" spans="1:9">
      <c r="A129" s="221" t="s">
        <v>15</v>
      </c>
      <c r="B129" s="221"/>
      <c r="C129" s="221"/>
      <c r="D129" s="221"/>
      <c r="E129" s="221"/>
      <c r="F129" s="221"/>
      <c r="G129" s="221"/>
      <c r="H129" s="221"/>
      <c r="I129" s="221"/>
    </row>
    <row r="130" spans="1:9" ht="48.75" customHeight="1">
      <c r="A130" s="217" t="s">
        <v>16</v>
      </c>
      <c r="B130" s="217"/>
      <c r="C130" s="217"/>
      <c r="D130" s="217"/>
      <c r="E130" s="217"/>
      <c r="F130" s="217"/>
      <c r="G130" s="217"/>
      <c r="H130" s="217"/>
      <c r="I130" s="217"/>
    </row>
    <row r="131" spans="1:9" ht="34.5" customHeight="1">
      <c r="A131" s="217" t="s">
        <v>17</v>
      </c>
      <c r="B131" s="217"/>
      <c r="C131" s="217"/>
      <c r="D131" s="217"/>
      <c r="E131" s="217"/>
      <c r="F131" s="217"/>
      <c r="G131" s="217"/>
      <c r="H131" s="217"/>
      <c r="I131" s="217"/>
    </row>
    <row r="132" spans="1:9" ht="35.25" customHeight="1">
      <c r="A132" s="217" t="s">
        <v>21</v>
      </c>
      <c r="B132" s="217"/>
      <c r="C132" s="217"/>
      <c r="D132" s="217"/>
      <c r="E132" s="217"/>
      <c r="F132" s="217"/>
      <c r="G132" s="217"/>
      <c r="H132" s="217"/>
      <c r="I132" s="217"/>
    </row>
    <row r="133" spans="1:9" ht="15.75">
      <c r="A133" s="217" t="s">
        <v>20</v>
      </c>
      <c r="B133" s="217"/>
      <c r="C133" s="217"/>
      <c r="D133" s="217"/>
      <c r="E133" s="217"/>
      <c r="F133" s="217"/>
      <c r="G133" s="217"/>
      <c r="H133" s="217"/>
      <c r="I133" s="217"/>
    </row>
  </sheetData>
  <mergeCells count="28">
    <mergeCell ref="A130:I130"/>
    <mergeCell ref="A131:I131"/>
    <mergeCell ref="A132:I132"/>
    <mergeCell ref="A133:I133"/>
    <mergeCell ref="A121:I121"/>
    <mergeCell ref="C123:E123"/>
    <mergeCell ref="C124:E124"/>
    <mergeCell ref="C126:E126"/>
    <mergeCell ref="C127:E127"/>
    <mergeCell ref="A129:I129"/>
    <mergeCell ref="A119:I119"/>
    <mergeCell ref="A15:I15"/>
    <mergeCell ref="A28:I28"/>
    <mergeCell ref="A46:I46"/>
    <mergeCell ref="A56:I56"/>
    <mergeCell ref="A88:I88"/>
    <mergeCell ref="A92:I92"/>
    <mergeCell ref="A113:I113"/>
    <mergeCell ref="B114:G114"/>
    <mergeCell ref="B115:G115"/>
    <mergeCell ref="A117:I117"/>
    <mergeCell ref="A118:I118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8"/>
  <sheetViews>
    <sheetView tabSelected="1" view="pageBreakPreview" topLeftCell="A94" zoomScale="60" workbookViewId="0">
      <selection activeCell="L126" sqref="L126"/>
    </sheetView>
  </sheetViews>
  <sheetFormatPr defaultRowHeight="15"/>
  <cols>
    <col min="1" max="1" width="11.7109375" customWidth="1"/>
    <col min="2" max="2" width="49.85546875" customWidth="1"/>
    <col min="3" max="3" width="18.5703125" customWidth="1"/>
    <col min="4" max="4" width="17.85546875" customWidth="1"/>
    <col min="5" max="6" width="0" hidden="1" customWidth="1"/>
    <col min="7" max="7" width="16.42578125" customWidth="1"/>
    <col min="8" max="8" width="0" hidden="1" customWidth="1"/>
    <col min="9" max="9" width="11.8554687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335</v>
      </c>
      <c r="B3" s="199"/>
      <c r="C3" s="199"/>
      <c r="D3" s="199"/>
      <c r="E3" s="199"/>
      <c r="F3" s="199"/>
      <c r="G3" s="199"/>
      <c r="H3" s="199"/>
      <c r="I3" s="199"/>
    </row>
    <row r="4" spans="1:9" ht="34.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336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92"/>
      <c r="C6" s="192"/>
      <c r="D6" s="192"/>
      <c r="E6" s="192"/>
      <c r="F6" s="192"/>
      <c r="G6" s="192"/>
      <c r="H6" s="192"/>
      <c r="I6" s="148">
        <v>43465</v>
      </c>
    </row>
    <row r="7" spans="1:9" ht="15.75">
      <c r="B7" s="190"/>
      <c r="C7" s="190"/>
      <c r="D7" s="190"/>
      <c r="E7" s="3"/>
      <c r="F7" s="3"/>
      <c r="G7" s="3"/>
      <c r="H7" s="3"/>
    </row>
    <row r="8" spans="1:9" ht="96.75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9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9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9.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5.7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idden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7.25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 hidden="1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7.25" hidden="1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idden="1">
      <c r="A30" s="29">
        <v>6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idden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idden="1">
      <c r="A34" s="29">
        <v>9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t="20.25" customHeight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t="18" customHeight="1">
      <c r="A38" s="29">
        <v>5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t="14.25" customHeight="1">
      <c r="A39" s="29">
        <v>6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15.75" customHeight="1">
      <c r="A40" s="29">
        <v>7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48.75" customHeight="1">
      <c r="A42" s="29">
        <v>8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t="16.5" customHeight="1">
      <c r="A43" s="29">
        <v>9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t="16.5" customHeight="1">
      <c r="A44" s="29">
        <v>10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6" customHeight="1">
      <c r="A45" s="29">
        <v>11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12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13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14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15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t="18.75" customHeight="1">
      <c r="A51" s="29">
        <v>12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10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11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12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13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150</v>
      </c>
      <c r="B56" s="208"/>
      <c r="C56" s="208"/>
      <c r="D56" s="208"/>
      <c r="E56" s="208"/>
      <c r="F56" s="208"/>
      <c r="G56" s="208"/>
      <c r="H56" s="208"/>
      <c r="I56" s="209"/>
    </row>
    <row r="57" spans="1:9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t="16.5" customHeight="1">
      <c r="A59" s="29">
        <v>13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14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f>G61*1</f>
        <v>1645</v>
      </c>
    </row>
    <row r="62" spans="1:9" ht="1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7.25" customHeight="1">
      <c r="A64" s="29">
        <v>14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7.2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t="16.5" customHeight="1">
      <c r="A66" s="29">
        <v>15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G66*6</f>
        <v>1820.1000000000001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idden="1">
      <c r="A73" s="29">
        <v>20</v>
      </c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29.25" customHeight="1">
      <c r="A74" s="29">
        <v>16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5" customHeight="1">
      <c r="A75" s="29"/>
      <c r="B75" s="193" t="s">
        <v>218</v>
      </c>
      <c r="C75" s="16"/>
      <c r="D75" s="14"/>
      <c r="E75" s="18"/>
      <c r="F75" s="58"/>
      <c r="G75" s="13"/>
      <c r="H75" s="65"/>
      <c r="I75" s="13"/>
    </row>
    <row r="76" spans="1:9" ht="35.25" customHeight="1">
      <c r="A76" s="29">
        <v>17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3" customHeight="1">
      <c r="A77" s="29">
        <v>18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93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33.75" hidden="1" customHeight="1">
      <c r="A86" s="118"/>
      <c r="B86" s="193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t="17.25" hidden="1" customHeight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151</v>
      </c>
      <c r="B88" s="197"/>
      <c r="C88" s="197"/>
      <c r="D88" s="197"/>
      <c r="E88" s="197"/>
      <c r="F88" s="197"/>
      <c r="G88" s="197"/>
      <c r="H88" s="197"/>
      <c r="I88" s="198"/>
    </row>
    <row r="89" spans="1:9" ht="16.5" customHeight="1">
      <c r="A89" s="118">
        <v>19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1.5" customHeight="1">
      <c r="A90" s="29">
        <v>20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91"/>
      <c r="B91" s="34" t="s">
        <v>83</v>
      </c>
      <c r="C91" s="35"/>
      <c r="D91" s="15"/>
      <c r="E91" s="15"/>
      <c r="F91" s="15"/>
      <c r="G91" s="18"/>
      <c r="H91" s="18"/>
      <c r="I91" s="31">
        <f>I90+I89+I77+I76+I74+I66+I64+I59+I51+I45+I44+I43+I42+I40+I39+I38+I26+I18+I17+I16</f>
        <v>116573.11718096666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21</v>
      </c>
      <c r="B93" s="48" t="s">
        <v>168</v>
      </c>
      <c r="C93" s="93" t="s">
        <v>87</v>
      </c>
      <c r="D93" s="42"/>
      <c r="E93" s="33"/>
      <c r="F93" s="33">
        <v>10</v>
      </c>
      <c r="G93" s="33">
        <v>203.68</v>
      </c>
      <c r="H93" s="92">
        <f t="shared" ref="H93:H94" si="12">G93*F93/1000</f>
        <v>2.0368000000000004</v>
      </c>
      <c r="I93" s="47">
        <f>G93*4</f>
        <v>814.72</v>
      </c>
    </row>
    <row r="94" spans="1:9" ht="30">
      <c r="A94" s="29">
        <v>22</v>
      </c>
      <c r="B94" s="48" t="s">
        <v>280</v>
      </c>
      <c r="C94" s="93" t="s">
        <v>281</v>
      </c>
      <c r="D94" s="94"/>
      <c r="E94" s="33"/>
      <c r="F94" s="33">
        <v>2</v>
      </c>
      <c r="G94" s="33">
        <v>24829.08</v>
      </c>
      <c r="H94" s="92">
        <f t="shared" si="12"/>
        <v>49.658160000000002</v>
      </c>
      <c r="I94" s="47">
        <f>G94*0.02</f>
        <v>496.58160000000004</v>
      </c>
    </row>
    <row r="95" spans="1:9" ht="30">
      <c r="A95" s="29">
        <v>23</v>
      </c>
      <c r="B95" s="48" t="s">
        <v>288</v>
      </c>
      <c r="C95" s="93" t="s">
        <v>96</v>
      </c>
      <c r="D95" s="94"/>
      <c r="E95" s="33"/>
      <c r="F95" s="33"/>
      <c r="G95" s="179">
        <v>613.44000000000005</v>
      </c>
      <c r="H95" s="92"/>
      <c r="I95" s="47">
        <f>G95*5</f>
        <v>3067.2000000000003</v>
      </c>
    </row>
    <row r="96" spans="1:9" ht="30">
      <c r="A96" s="29">
        <v>24</v>
      </c>
      <c r="B96" s="46" t="s">
        <v>227</v>
      </c>
      <c r="C96" s="64" t="s">
        <v>84</v>
      </c>
      <c r="D96" s="94"/>
      <c r="E96" s="33"/>
      <c r="F96" s="33"/>
      <c r="G96" s="33">
        <v>1272</v>
      </c>
      <c r="H96" s="92"/>
      <c r="I96" s="47">
        <f>G96*0.5</f>
        <v>636</v>
      </c>
    </row>
    <row r="97" spans="1:9">
      <c r="A97" s="29">
        <v>25</v>
      </c>
      <c r="B97" s="46" t="s">
        <v>308</v>
      </c>
      <c r="C97" s="64" t="s">
        <v>132</v>
      </c>
      <c r="D97" s="106"/>
      <c r="E97" s="33"/>
      <c r="F97" s="33"/>
      <c r="G97" s="33">
        <v>8.44</v>
      </c>
      <c r="H97" s="92"/>
      <c r="I97" s="47">
        <f>G97*2</f>
        <v>16.88</v>
      </c>
    </row>
    <row r="98" spans="1:9">
      <c r="A98" s="29">
        <v>26</v>
      </c>
      <c r="B98" s="46" t="s">
        <v>311</v>
      </c>
      <c r="C98" s="64" t="s">
        <v>132</v>
      </c>
      <c r="D98" s="106"/>
      <c r="E98" s="33"/>
      <c r="F98" s="33"/>
      <c r="G98" s="33">
        <v>169.24</v>
      </c>
      <c r="H98" s="92"/>
      <c r="I98" s="47">
        <f>G98*2</f>
        <v>338.48</v>
      </c>
    </row>
    <row r="99" spans="1:9">
      <c r="A99" s="29">
        <v>27</v>
      </c>
      <c r="B99" s="46" t="s">
        <v>313</v>
      </c>
      <c r="C99" s="64" t="s">
        <v>132</v>
      </c>
      <c r="D99" s="94"/>
      <c r="E99" s="33"/>
      <c r="F99" s="33"/>
      <c r="G99" s="33">
        <v>196.01</v>
      </c>
      <c r="H99" s="92"/>
      <c r="I99" s="47">
        <f>G99*2</f>
        <v>392.02</v>
      </c>
    </row>
    <row r="100" spans="1:9">
      <c r="A100" s="29">
        <v>28</v>
      </c>
      <c r="B100" s="46" t="s">
        <v>314</v>
      </c>
      <c r="C100" s="64" t="s">
        <v>132</v>
      </c>
      <c r="D100" s="94"/>
      <c r="E100" s="33"/>
      <c r="F100" s="33"/>
      <c r="G100" s="33">
        <v>5.43</v>
      </c>
      <c r="H100" s="92"/>
      <c r="I100" s="47">
        <f>G100*2</f>
        <v>10.86</v>
      </c>
    </row>
    <row r="101" spans="1:9">
      <c r="A101" s="29">
        <v>29</v>
      </c>
      <c r="B101" s="48" t="s">
        <v>337</v>
      </c>
      <c r="C101" s="93" t="s">
        <v>84</v>
      </c>
      <c r="D101" s="94"/>
      <c r="E101" s="33"/>
      <c r="F101" s="33"/>
      <c r="G101" s="33">
        <v>922.49</v>
      </c>
      <c r="H101" s="92"/>
      <c r="I101" s="47">
        <f>G101*0.5</f>
        <v>461.245</v>
      </c>
    </row>
    <row r="102" spans="1:9" ht="30">
      <c r="A102" s="29">
        <v>30</v>
      </c>
      <c r="B102" s="46" t="s">
        <v>160</v>
      </c>
      <c r="C102" s="64" t="s">
        <v>38</v>
      </c>
      <c r="D102" s="94"/>
      <c r="E102" s="33"/>
      <c r="F102" s="33"/>
      <c r="G102" s="33">
        <v>3724.37</v>
      </c>
      <c r="H102" s="92"/>
      <c r="I102" s="47">
        <f>G102*0.01</f>
        <v>37.243699999999997</v>
      </c>
    </row>
    <row r="103" spans="1:9">
      <c r="A103" s="29">
        <v>31</v>
      </c>
      <c r="B103" s="48" t="s">
        <v>200</v>
      </c>
      <c r="C103" s="93" t="s">
        <v>201</v>
      </c>
      <c r="D103" s="94"/>
      <c r="E103" s="33"/>
      <c r="F103" s="33"/>
      <c r="G103" s="149">
        <v>134.12</v>
      </c>
      <c r="H103" s="92"/>
      <c r="I103" s="47">
        <f>G103*5</f>
        <v>670.6</v>
      </c>
    </row>
    <row r="104" spans="1:9">
      <c r="A104" s="29">
        <v>32</v>
      </c>
      <c r="B104" s="48" t="s">
        <v>338</v>
      </c>
      <c r="C104" s="93" t="s">
        <v>96</v>
      </c>
      <c r="D104" s="94"/>
      <c r="E104" s="33"/>
      <c r="F104" s="33"/>
      <c r="G104" s="149">
        <v>5668.58</v>
      </c>
      <c r="H104" s="92"/>
      <c r="I104" s="47">
        <f>G104*1</f>
        <v>5668.58</v>
      </c>
    </row>
    <row r="105" spans="1:9" ht="17.25" customHeight="1">
      <c r="A105" s="29"/>
      <c r="B105" s="40" t="s">
        <v>52</v>
      </c>
      <c r="C105" s="36"/>
      <c r="D105" s="44"/>
      <c r="E105" s="36">
        <v>1</v>
      </c>
      <c r="F105" s="36"/>
      <c r="G105" s="36"/>
      <c r="H105" s="36"/>
      <c r="I105" s="31">
        <f>SUM(I93:I104)</f>
        <v>12610.4103</v>
      </c>
    </row>
    <row r="106" spans="1:9">
      <c r="A106" s="29"/>
      <c r="B106" s="42" t="s">
        <v>81</v>
      </c>
      <c r="C106" s="15"/>
      <c r="D106" s="15"/>
      <c r="E106" s="37"/>
      <c r="F106" s="37"/>
      <c r="G106" s="38"/>
      <c r="H106" s="38"/>
      <c r="I106" s="17">
        <v>0</v>
      </c>
    </row>
    <row r="107" spans="1:9">
      <c r="A107" s="45"/>
      <c r="B107" s="41" t="s">
        <v>191</v>
      </c>
      <c r="C107" s="32"/>
      <c r="D107" s="32"/>
      <c r="E107" s="32"/>
      <c r="F107" s="32"/>
      <c r="G107" s="32"/>
      <c r="H107" s="32"/>
      <c r="I107" s="39">
        <f>I105+I91</f>
        <v>129183.52748096666</v>
      </c>
    </row>
    <row r="108" spans="1:9" ht="15.75">
      <c r="A108" s="213" t="s">
        <v>339</v>
      </c>
      <c r="B108" s="213"/>
      <c r="C108" s="213"/>
      <c r="D108" s="213"/>
      <c r="E108" s="213"/>
      <c r="F108" s="213"/>
      <c r="G108" s="213"/>
      <c r="H108" s="213"/>
      <c r="I108" s="213"/>
    </row>
    <row r="109" spans="1:9" ht="15.75">
      <c r="A109" s="57"/>
      <c r="B109" s="214" t="s">
        <v>340</v>
      </c>
      <c r="C109" s="214"/>
      <c r="D109" s="214"/>
      <c r="E109" s="214"/>
      <c r="F109" s="214"/>
      <c r="G109" s="214"/>
      <c r="H109" s="62"/>
      <c r="I109" s="3"/>
    </row>
    <row r="110" spans="1:9">
      <c r="A110" s="189"/>
      <c r="B110" s="215" t="s">
        <v>6</v>
      </c>
      <c r="C110" s="215"/>
      <c r="D110" s="215"/>
      <c r="E110" s="215"/>
      <c r="F110" s="215"/>
      <c r="G110" s="215"/>
      <c r="H110" s="24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16" t="s">
        <v>7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15.75">
      <c r="A113" s="216" t="s">
        <v>8</v>
      </c>
      <c r="B113" s="216"/>
      <c r="C113" s="216"/>
      <c r="D113" s="216"/>
      <c r="E113" s="216"/>
      <c r="F113" s="216"/>
      <c r="G113" s="216"/>
      <c r="H113" s="216"/>
      <c r="I113" s="216"/>
    </row>
    <row r="114" spans="1:9" ht="15.75">
      <c r="A114" s="205" t="s">
        <v>62</v>
      </c>
      <c r="B114" s="205"/>
      <c r="C114" s="205"/>
      <c r="D114" s="205"/>
      <c r="E114" s="205"/>
      <c r="F114" s="205"/>
      <c r="G114" s="205"/>
      <c r="H114" s="205"/>
      <c r="I114" s="205"/>
    </row>
    <row r="115" spans="1:9" ht="15.75">
      <c r="A115" s="11"/>
    </row>
    <row r="116" spans="1:9" ht="15.75">
      <c r="A116" s="218" t="s">
        <v>9</v>
      </c>
      <c r="B116" s="218"/>
      <c r="C116" s="218"/>
      <c r="D116" s="218"/>
      <c r="E116" s="218"/>
      <c r="F116" s="218"/>
      <c r="G116" s="218"/>
      <c r="H116" s="218"/>
      <c r="I116" s="218"/>
    </row>
    <row r="117" spans="1:9" ht="15.75">
      <c r="A117" s="4"/>
    </row>
    <row r="118" spans="1:9" ht="15.75">
      <c r="B118" s="190" t="s">
        <v>10</v>
      </c>
      <c r="C118" s="219" t="s">
        <v>93</v>
      </c>
      <c r="D118" s="219"/>
      <c r="E118" s="219"/>
      <c r="F118" s="60"/>
      <c r="I118" s="188"/>
    </row>
    <row r="119" spans="1:9">
      <c r="A119" s="189"/>
      <c r="C119" s="215" t="s">
        <v>11</v>
      </c>
      <c r="D119" s="215"/>
      <c r="E119" s="215"/>
      <c r="F119" s="24"/>
      <c r="I119" s="187" t="s">
        <v>12</v>
      </c>
    </row>
    <row r="120" spans="1:9" ht="15.75">
      <c r="A120" s="25"/>
      <c r="C120" s="12"/>
      <c r="D120" s="12"/>
      <c r="G120" s="12"/>
      <c r="H120" s="12"/>
    </row>
    <row r="121" spans="1:9" ht="15.75">
      <c r="B121" s="190" t="s">
        <v>13</v>
      </c>
      <c r="C121" s="220"/>
      <c r="D121" s="220"/>
      <c r="E121" s="220"/>
      <c r="F121" s="61"/>
      <c r="I121" s="188"/>
    </row>
    <row r="122" spans="1:9">
      <c r="A122" s="189"/>
      <c r="C122" s="195" t="s">
        <v>11</v>
      </c>
      <c r="D122" s="195"/>
      <c r="E122" s="195"/>
      <c r="F122" s="189"/>
      <c r="I122" s="187" t="s">
        <v>12</v>
      </c>
    </row>
    <row r="123" spans="1:9" ht="15.75">
      <c r="A123" s="4" t="s">
        <v>14</v>
      </c>
    </row>
    <row r="124" spans="1:9">
      <c r="A124" s="221" t="s">
        <v>15</v>
      </c>
      <c r="B124" s="221"/>
      <c r="C124" s="221"/>
      <c r="D124" s="221"/>
      <c r="E124" s="221"/>
      <c r="F124" s="221"/>
      <c r="G124" s="221"/>
      <c r="H124" s="221"/>
      <c r="I124" s="221"/>
    </row>
    <row r="125" spans="1:9" ht="42.75" customHeight="1">
      <c r="A125" s="217" t="s">
        <v>16</v>
      </c>
      <c r="B125" s="217"/>
      <c r="C125" s="217"/>
      <c r="D125" s="217"/>
      <c r="E125" s="217"/>
      <c r="F125" s="217"/>
      <c r="G125" s="217"/>
      <c r="H125" s="217"/>
      <c r="I125" s="217"/>
    </row>
    <row r="126" spans="1:9" ht="36.75" customHeight="1">
      <c r="A126" s="217" t="s">
        <v>17</v>
      </c>
      <c r="B126" s="217"/>
      <c r="C126" s="217"/>
      <c r="D126" s="217"/>
      <c r="E126" s="217"/>
      <c r="F126" s="217"/>
      <c r="G126" s="217"/>
      <c r="H126" s="217"/>
      <c r="I126" s="217"/>
    </row>
    <row r="127" spans="1:9" ht="32.25" customHeight="1">
      <c r="A127" s="217" t="s">
        <v>21</v>
      </c>
      <c r="B127" s="217"/>
      <c r="C127" s="217"/>
      <c r="D127" s="217"/>
      <c r="E127" s="217"/>
      <c r="F127" s="217"/>
      <c r="G127" s="217"/>
      <c r="H127" s="217"/>
      <c r="I127" s="217"/>
    </row>
    <row r="128" spans="1:9" ht="15.75">
      <c r="A128" s="217" t="s">
        <v>20</v>
      </c>
      <c r="B128" s="217"/>
      <c r="C128" s="217"/>
      <c r="D128" s="217"/>
      <c r="E128" s="217"/>
      <c r="F128" s="217"/>
      <c r="G128" s="217"/>
      <c r="H128" s="217"/>
      <c r="I128" s="217"/>
    </row>
  </sheetData>
  <mergeCells count="28"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  <mergeCell ref="A114:I114"/>
    <mergeCell ref="A15:I15"/>
    <mergeCell ref="A28:I28"/>
    <mergeCell ref="A46:I46"/>
    <mergeCell ref="A56:I56"/>
    <mergeCell ref="A88:I88"/>
    <mergeCell ref="A92:I92"/>
    <mergeCell ref="A108:I108"/>
    <mergeCell ref="B109:G109"/>
    <mergeCell ref="B110:G110"/>
    <mergeCell ref="A112:I112"/>
    <mergeCell ref="A113:I113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7"/>
  <sheetViews>
    <sheetView topLeftCell="A92" workbookViewId="0">
      <selection activeCell="B108" sqref="B108:G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99" t="s">
        <v>186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202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43159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  <c r="J15" s="8"/>
      <c r="K15" s="8"/>
      <c r="L15" s="8"/>
      <c r="M15" s="8"/>
    </row>
    <row r="16" spans="1:13" ht="15.7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187.48</v>
      </c>
      <c r="H16" s="72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187.48</v>
      </c>
      <c r="H17" s="72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539.30999999999995</v>
      </c>
      <c r="H18" s="72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181.91</v>
      </c>
      <c r="H19" s="72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8" t="s">
        <v>103</v>
      </c>
      <c r="C20" s="69" t="s">
        <v>111</v>
      </c>
      <c r="D20" s="68" t="s">
        <v>30</v>
      </c>
      <c r="E20" s="70">
        <v>17.5</v>
      </c>
      <c r="F20" s="71">
        <f>SUM(E20*12/100)</f>
        <v>2.1</v>
      </c>
      <c r="G20" s="71">
        <v>232.92</v>
      </c>
      <c r="H20" s="72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8" t="s">
        <v>104</v>
      </c>
      <c r="C21" s="69" t="s">
        <v>111</v>
      </c>
      <c r="D21" s="68" t="s">
        <v>110</v>
      </c>
      <c r="E21" s="70">
        <v>5.94</v>
      </c>
      <c r="F21" s="71">
        <f>SUM(E21*6/100)</f>
        <v>0.35639999999999999</v>
      </c>
      <c r="G21" s="71">
        <v>231.03</v>
      </c>
      <c r="H21" s="72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287.83999999999997</v>
      </c>
      <c r="H22" s="72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8" t="s">
        <v>119</v>
      </c>
      <c r="C23" s="69" t="s">
        <v>53</v>
      </c>
      <c r="D23" s="68" t="s">
        <v>117</v>
      </c>
      <c r="E23" s="73">
        <v>60.4</v>
      </c>
      <c r="F23" s="71">
        <f>SUM(E23/100)</f>
        <v>0.60399999999999998</v>
      </c>
      <c r="G23" s="71">
        <v>47.34</v>
      </c>
      <c r="H23" s="72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8" t="s">
        <v>107</v>
      </c>
      <c r="C24" s="69" t="s">
        <v>53</v>
      </c>
      <c r="D24" s="68" t="s">
        <v>54</v>
      </c>
      <c r="E24" s="18">
        <v>25</v>
      </c>
      <c r="F24" s="74">
        <f>E24/100</f>
        <v>0.25</v>
      </c>
      <c r="G24" s="71">
        <v>416.62</v>
      </c>
      <c r="H24" s="72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8" t="s">
        <v>120</v>
      </c>
      <c r="C25" s="69" t="s">
        <v>53</v>
      </c>
      <c r="D25" s="68" t="s">
        <v>117</v>
      </c>
      <c r="E25" s="73">
        <v>23.75</v>
      </c>
      <c r="F25" s="71">
        <f>E25/100</f>
        <v>0.23749999999999999</v>
      </c>
      <c r="G25" s="71">
        <v>231.03</v>
      </c>
      <c r="H25" s="72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8" t="s">
        <v>108</v>
      </c>
      <c r="C26" s="69" t="s">
        <v>53</v>
      </c>
      <c r="D26" s="68" t="s">
        <v>117</v>
      </c>
      <c r="E26" s="70">
        <v>10.63</v>
      </c>
      <c r="F26" s="71">
        <f>SUM(E26/100)</f>
        <v>0.10630000000000001</v>
      </c>
      <c r="G26" s="71">
        <v>556.74</v>
      </c>
      <c r="H26" s="72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8" t="s">
        <v>65</v>
      </c>
      <c r="C27" s="69" t="s">
        <v>34</v>
      </c>
      <c r="D27" s="68"/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6" t="s">
        <v>23</v>
      </c>
      <c r="C28" s="69" t="s">
        <v>24</v>
      </c>
      <c r="D28" s="68"/>
      <c r="E28" s="70">
        <v>5816.5</v>
      </c>
      <c r="F28" s="71">
        <f>SUM(E28*12)</f>
        <v>69798</v>
      </c>
      <c r="G28" s="71">
        <v>4.72</v>
      </c>
      <c r="H28" s="72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206" t="s">
        <v>89</v>
      </c>
      <c r="B29" s="206"/>
      <c r="C29" s="206"/>
      <c r="D29" s="206"/>
      <c r="E29" s="206"/>
      <c r="F29" s="206"/>
      <c r="G29" s="206"/>
      <c r="H29" s="206"/>
      <c r="I29" s="206"/>
      <c r="J29" s="22"/>
      <c r="K29" s="8"/>
      <c r="L29" s="8"/>
      <c r="M29" s="8"/>
    </row>
    <row r="30" spans="1:13" ht="15.75" hidden="1" customHeight="1">
      <c r="A30" s="29"/>
      <c r="B30" s="89" t="s">
        <v>28</v>
      </c>
      <c r="C30" s="69"/>
      <c r="D30" s="68"/>
      <c r="E30" s="70"/>
      <c r="F30" s="71"/>
      <c r="G30" s="71"/>
      <c r="H30" s="72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8" t="s">
        <v>121</v>
      </c>
      <c r="C31" s="69" t="s">
        <v>122</v>
      </c>
      <c r="D31" s="68" t="s">
        <v>123</v>
      </c>
      <c r="E31" s="71">
        <v>357.22</v>
      </c>
      <c r="F31" s="71">
        <f>SUM(E31*52/1000)</f>
        <v>18.575440000000004</v>
      </c>
      <c r="G31" s="71">
        <v>166.65</v>
      </c>
      <c r="H31" s="72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8" t="s">
        <v>184</v>
      </c>
      <c r="C32" s="69" t="s">
        <v>122</v>
      </c>
      <c r="D32" s="68" t="s">
        <v>124</v>
      </c>
      <c r="E32" s="71">
        <v>475.06</v>
      </c>
      <c r="F32" s="71">
        <f>SUM(E32*78/1000)</f>
        <v>37.054679999999998</v>
      </c>
      <c r="G32" s="71">
        <v>276.48</v>
      </c>
      <c r="H32" s="72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8" t="s">
        <v>27</v>
      </c>
      <c r="C33" s="69" t="s">
        <v>122</v>
      </c>
      <c r="D33" s="68" t="s">
        <v>54</v>
      </c>
      <c r="E33" s="71">
        <v>357.22</v>
      </c>
      <c r="F33" s="71">
        <f>SUM(E33/1000)</f>
        <v>0.35722000000000004</v>
      </c>
      <c r="G33" s="71">
        <v>3228.73</v>
      </c>
      <c r="H33" s="72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8" t="s">
        <v>153</v>
      </c>
      <c r="C34" s="69" t="s">
        <v>40</v>
      </c>
      <c r="D34" s="68" t="s">
        <v>154</v>
      </c>
      <c r="E34" s="71">
        <v>5</v>
      </c>
      <c r="F34" s="71">
        <f>E34*155/100</f>
        <v>7.75</v>
      </c>
      <c r="G34" s="71">
        <v>1391.86</v>
      </c>
      <c r="H34" s="72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8" t="s">
        <v>125</v>
      </c>
      <c r="C35" s="69" t="s">
        <v>31</v>
      </c>
      <c r="D35" s="68" t="s">
        <v>64</v>
      </c>
      <c r="E35" s="75">
        <v>0.33333333333333331</v>
      </c>
      <c r="F35" s="71">
        <f>155/3</f>
        <v>51.666666666666664</v>
      </c>
      <c r="G35" s="71">
        <v>60.6</v>
      </c>
      <c r="H35" s="72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8" t="s">
        <v>66</v>
      </c>
      <c r="C36" s="69" t="s">
        <v>34</v>
      </c>
      <c r="D36" s="68" t="s">
        <v>68</v>
      </c>
      <c r="E36" s="70"/>
      <c r="F36" s="71">
        <v>3</v>
      </c>
      <c r="G36" s="71">
        <v>204.52</v>
      </c>
      <c r="H36" s="72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8" t="s">
        <v>67</v>
      </c>
      <c r="C37" s="69" t="s">
        <v>33</v>
      </c>
      <c r="D37" s="68" t="s">
        <v>68</v>
      </c>
      <c r="E37" s="70"/>
      <c r="F37" s="71">
        <v>2</v>
      </c>
      <c r="G37" s="71">
        <v>1214.74</v>
      </c>
      <c r="H37" s="72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155</v>
      </c>
      <c r="C38" s="64" t="s">
        <v>29</v>
      </c>
      <c r="D38" s="68"/>
      <c r="E38" s="70">
        <v>360.36</v>
      </c>
      <c r="F38" s="71">
        <f>E38*36/1000</f>
        <v>12.97296</v>
      </c>
      <c r="G38" s="71">
        <v>3228.73</v>
      </c>
      <c r="H38" s="72">
        <f t="shared" si="1"/>
        <v>41.886185140800002</v>
      </c>
      <c r="I38" s="13">
        <v>0</v>
      </c>
      <c r="J38" s="23"/>
    </row>
    <row r="39" spans="1:14" ht="15.75" customHeight="1">
      <c r="A39" s="29"/>
      <c r="B39" s="89" t="s">
        <v>5</v>
      </c>
      <c r="C39" s="69"/>
      <c r="D39" s="68"/>
      <c r="E39" s="70"/>
      <c r="F39" s="71"/>
      <c r="G39" s="71"/>
      <c r="H39" s="72" t="s">
        <v>139</v>
      </c>
      <c r="I39" s="13"/>
      <c r="J39" s="23"/>
    </row>
    <row r="40" spans="1:14" ht="15.75" customHeight="1">
      <c r="A40" s="29">
        <v>7</v>
      </c>
      <c r="B40" s="68" t="s">
        <v>26</v>
      </c>
      <c r="C40" s="69" t="s">
        <v>33</v>
      </c>
      <c r="D40" s="68"/>
      <c r="E40" s="70"/>
      <c r="F40" s="71">
        <v>10</v>
      </c>
      <c r="G40" s="71">
        <v>1632.6</v>
      </c>
      <c r="H40" s="72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8</v>
      </c>
      <c r="B41" s="68" t="s">
        <v>69</v>
      </c>
      <c r="C41" s="69" t="s">
        <v>29</v>
      </c>
      <c r="D41" s="68" t="s">
        <v>126</v>
      </c>
      <c r="E41" s="71">
        <v>469.73</v>
      </c>
      <c r="F41" s="71">
        <f>SUM(E41*30/1000)</f>
        <v>14.091900000000001</v>
      </c>
      <c r="G41" s="71">
        <v>2247.8000000000002</v>
      </c>
      <c r="H41" s="72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8" t="s">
        <v>99</v>
      </c>
      <c r="C42" s="69" t="s">
        <v>143</v>
      </c>
      <c r="D42" s="68" t="s">
        <v>68</v>
      </c>
      <c r="E42" s="70"/>
      <c r="F42" s="71">
        <v>120</v>
      </c>
      <c r="G42" s="71">
        <v>213.2</v>
      </c>
      <c r="H42" s="72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9</v>
      </c>
      <c r="B43" s="68" t="s">
        <v>70</v>
      </c>
      <c r="C43" s="69" t="s">
        <v>29</v>
      </c>
      <c r="D43" s="68" t="s">
        <v>127</v>
      </c>
      <c r="E43" s="71">
        <v>475.06</v>
      </c>
      <c r="F43" s="71">
        <f>SUM(E43*155/1000)</f>
        <v>73.634299999999996</v>
      </c>
      <c r="G43" s="71">
        <v>374.95</v>
      </c>
      <c r="H43" s="72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10</v>
      </c>
      <c r="B44" s="68" t="s">
        <v>86</v>
      </c>
      <c r="C44" s="69" t="s">
        <v>122</v>
      </c>
      <c r="D44" s="68" t="s">
        <v>144</v>
      </c>
      <c r="E44" s="71">
        <v>40.6</v>
      </c>
      <c r="F44" s="71">
        <f>SUM(E44*35/1000)</f>
        <v>1.421</v>
      </c>
      <c r="G44" s="71">
        <v>6203.7</v>
      </c>
      <c r="H44" s="72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customHeight="1">
      <c r="A45" s="29">
        <v>11</v>
      </c>
      <c r="B45" s="68" t="s">
        <v>128</v>
      </c>
      <c r="C45" s="69" t="s">
        <v>122</v>
      </c>
      <c r="D45" s="68" t="s">
        <v>71</v>
      </c>
      <c r="E45" s="71">
        <v>167.03</v>
      </c>
      <c r="F45" s="71">
        <f>SUM(E45*45/1000)</f>
        <v>7.5163500000000001</v>
      </c>
      <c r="G45" s="71">
        <v>458.28</v>
      </c>
      <c r="H45" s="72">
        <f t="shared" si="3"/>
        <v>3.4445928779999999</v>
      </c>
      <c r="I45" s="13">
        <f>F45/7.5*G45</f>
        <v>459.27905040000002</v>
      </c>
      <c r="J45" s="23"/>
      <c r="L45" s="19"/>
      <c r="M45" s="20"/>
      <c r="N45" s="21"/>
    </row>
    <row r="46" spans="1:14" ht="15.75" customHeight="1">
      <c r="A46" s="29">
        <v>12</v>
      </c>
      <c r="B46" s="68" t="s">
        <v>72</v>
      </c>
      <c r="C46" s="69" t="s">
        <v>34</v>
      </c>
      <c r="D46" s="68"/>
      <c r="E46" s="70"/>
      <c r="F46" s="71">
        <v>1.2</v>
      </c>
      <c r="G46" s="71">
        <v>853.06</v>
      </c>
      <c r="H46" s="72">
        <f t="shared" si="3"/>
        <v>1.0236719999999999</v>
      </c>
      <c r="I46" s="13">
        <f>F46/7.5*G46</f>
        <v>136.4896</v>
      </c>
      <c r="J46" s="23"/>
      <c r="L46" s="19"/>
      <c r="M46" s="20"/>
      <c r="N46" s="21"/>
    </row>
    <row r="47" spans="1:14" ht="15.75" customHeight="1">
      <c r="A47" s="207" t="s">
        <v>149</v>
      </c>
      <c r="B47" s="208"/>
      <c r="C47" s="208"/>
      <c r="D47" s="208"/>
      <c r="E47" s="208"/>
      <c r="F47" s="208"/>
      <c r="G47" s="208"/>
      <c r="H47" s="208"/>
      <c r="I47" s="209"/>
      <c r="J47" s="23"/>
      <c r="L47" s="19"/>
      <c r="M47" s="20"/>
      <c r="N47" s="21"/>
    </row>
    <row r="48" spans="1:14" ht="15.75" hidden="1" customHeight="1">
      <c r="A48" s="29"/>
      <c r="B48" s="68" t="s">
        <v>129</v>
      </c>
      <c r="C48" s="69" t="s">
        <v>122</v>
      </c>
      <c r="D48" s="68" t="s">
        <v>42</v>
      </c>
      <c r="E48" s="70">
        <v>1603.6</v>
      </c>
      <c r="F48" s="71">
        <f>SUM(E48*2/1000)</f>
        <v>3.2071999999999998</v>
      </c>
      <c r="G48" s="13">
        <v>908.11</v>
      </c>
      <c r="H48" s="72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8" t="s">
        <v>35</v>
      </c>
      <c r="C49" s="69" t="s">
        <v>122</v>
      </c>
      <c r="D49" s="68" t="s">
        <v>42</v>
      </c>
      <c r="E49" s="70">
        <v>65</v>
      </c>
      <c r="F49" s="71">
        <f>SUM(E49*2/1000)</f>
        <v>0.13</v>
      </c>
      <c r="G49" s="13">
        <v>619.46</v>
      </c>
      <c r="H49" s="72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8" t="s">
        <v>36</v>
      </c>
      <c r="C50" s="69" t="s">
        <v>122</v>
      </c>
      <c r="D50" s="68" t="s">
        <v>42</v>
      </c>
      <c r="E50" s="70">
        <v>1825.8</v>
      </c>
      <c r="F50" s="71">
        <f>SUM(E50*2/1000)</f>
        <v>3.6515999999999997</v>
      </c>
      <c r="G50" s="13">
        <v>619.46</v>
      </c>
      <c r="H50" s="72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8" t="s">
        <v>37</v>
      </c>
      <c r="C51" s="69" t="s">
        <v>122</v>
      </c>
      <c r="D51" s="68" t="s">
        <v>42</v>
      </c>
      <c r="E51" s="70">
        <v>3163.96</v>
      </c>
      <c r="F51" s="71">
        <f>SUM(E51*2/1000)</f>
        <v>6.3279199999999998</v>
      </c>
      <c r="G51" s="13">
        <v>648.64</v>
      </c>
      <c r="H51" s="72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13</v>
      </c>
      <c r="B52" s="68" t="s">
        <v>57</v>
      </c>
      <c r="C52" s="69" t="s">
        <v>122</v>
      </c>
      <c r="D52" s="68" t="s">
        <v>185</v>
      </c>
      <c r="E52" s="70">
        <v>1583</v>
      </c>
      <c r="F52" s="71">
        <f>SUM(E52*5/1000)</f>
        <v>7.915</v>
      </c>
      <c r="G52" s="13">
        <v>1297.28</v>
      </c>
      <c r="H52" s="72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>
        <v>14</v>
      </c>
      <c r="B53" s="68" t="s">
        <v>130</v>
      </c>
      <c r="C53" s="69" t="s">
        <v>122</v>
      </c>
      <c r="D53" s="68" t="s">
        <v>42</v>
      </c>
      <c r="E53" s="70">
        <v>1583</v>
      </c>
      <c r="F53" s="71">
        <f>SUM(E53*2/1000)</f>
        <v>3.1659999999999999</v>
      </c>
      <c r="G53" s="13">
        <v>1297.28</v>
      </c>
      <c r="H53" s="72">
        <f t="shared" si="4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/>
      <c r="B54" s="68" t="s">
        <v>131</v>
      </c>
      <c r="C54" s="69" t="s">
        <v>38</v>
      </c>
      <c r="D54" s="68" t="s">
        <v>42</v>
      </c>
      <c r="E54" s="70">
        <v>25</v>
      </c>
      <c r="F54" s="71">
        <f>SUM(E54*2/100)</f>
        <v>0.5</v>
      </c>
      <c r="G54" s="13">
        <v>2918.89</v>
      </c>
      <c r="H54" s="72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8" t="s">
        <v>39</v>
      </c>
      <c r="C55" s="69" t="s">
        <v>40</v>
      </c>
      <c r="D55" s="68" t="s">
        <v>42</v>
      </c>
      <c r="E55" s="70">
        <v>1</v>
      </c>
      <c r="F55" s="71">
        <v>0.02</v>
      </c>
      <c r="G55" s="13">
        <v>6042.12</v>
      </c>
      <c r="H55" s="72">
        <f t="shared" si="4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8" t="s">
        <v>41</v>
      </c>
      <c r="C56" s="69" t="s">
        <v>31</v>
      </c>
      <c r="D56" s="68" t="s">
        <v>73</v>
      </c>
      <c r="E56" s="70">
        <v>36</v>
      </c>
      <c r="F56" s="71">
        <f>SUM(E56)*3</f>
        <v>108</v>
      </c>
      <c r="G56" s="13">
        <v>70.209999999999994</v>
      </c>
      <c r="H56" s="72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207" t="s">
        <v>150</v>
      </c>
      <c r="B57" s="208"/>
      <c r="C57" s="208"/>
      <c r="D57" s="208"/>
      <c r="E57" s="208"/>
      <c r="F57" s="208"/>
      <c r="G57" s="208"/>
      <c r="H57" s="208"/>
      <c r="I57" s="209"/>
      <c r="J57" s="23"/>
      <c r="L57" s="19"/>
      <c r="M57" s="20"/>
      <c r="N57" s="21"/>
    </row>
    <row r="58" spans="1:22" ht="15.75" customHeight="1">
      <c r="A58" s="29"/>
      <c r="B58" s="89" t="s">
        <v>43</v>
      </c>
      <c r="C58" s="69"/>
      <c r="D58" s="68"/>
      <c r="E58" s="70"/>
      <c r="F58" s="71"/>
      <c r="G58" s="71"/>
      <c r="H58" s="72"/>
      <c r="I58" s="13"/>
      <c r="J58" s="23"/>
      <c r="L58" s="19"/>
      <c r="M58" s="20"/>
      <c r="N58" s="21"/>
    </row>
    <row r="59" spans="1:22" ht="31.5" customHeight="1">
      <c r="A59" s="29">
        <v>14</v>
      </c>
      <c r="B59" s="68" t="s">
        <v>145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1654.04</v>
      </c>
      <c r="H59" s="72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15</v>
      </c>
      <c r="B60" s="68" t="s">
        <v>133</v>
      </c>
      <c r="C60" s="69" t="s">
        <v>111</v>
      </c>
      <c r="D60" s="68" t="s">
        <v>74</v>
      </c>
      <c r="E60" s="70">
        <v>185.36</v>
      </c>
      <c r="F60" s="71">
        <f>E60*6/100</f>
        <v>11.121600000000001</v>
      </c>
      <c r="G60" s="78">
        <v>1654.04</v>
      </c>
      <c r="H60" s="72">
        <f>F60*G60/1000</f>
        <v>18.395571264000001</v>
      </c>
      <c r="I60" s="13">
        <f>G60*0.248</f>
        <v>410.20191999999997</v>
      </c>
      <c r="J60" s="23"/>
      <c r="L60" s="19"/>
    </row>
    <row r="61" spans="1:22" ht="15.75" hidden="1" customHeight="1">
      <c r="A61" s="29"/>
      <c r="B61" s="79" t="s">
        <v>105</v>
      </c>
      <c r="C61" s="69" t="s">
        <v>106</v>
      </c>
      <c r="D61" s="79" t="s">
        <v>42</v>
      </c>
      <c r="E61" s="80">
        <v>5</v>
      </c>
      <c r="F61" s="81">
        <v>10</v>
      </c>
      <c r="G61" s="78">
        <v>198.25</v>
      </c>
      <c r="H61" s="82">
        <v>0.99099999999999999</v>
      </c>
      <c r="I61" s="13">
        <v>0</v>
      </c>
      <c r="J61" s="23"/>
      <c r="L61" s="19"/>
    </row>
    <row r="62" spans="1:22" ht="15.75" customHeight="1">
      <c r="A62" s="29"/>
      <c r="B62" s="90" t="s">
        <v>44</v>
      </c>
      <c r="C62" s="83"/>
      <c r="D62" s="79"/>
      <c r="E62" s="80"/>
      <c r="F62" s="81"/>
      <c r="G62" s="84"/>
      <c r="H62" s="82"/>
      <c r="I62" s="13"/>
    </row>
    <row r="63" spans="1:22" ht="15.75" hidden="1" customHeight="1">
      <c r="A63" s="29"/>
      <c r="B63" s="79" t="s">
        <v>45</v>
      </c>
      <c r="C63" s="83" t="s">
        <v>53</v>
      </c>
      <c r="D63" s="79" t="s">
        <v>54</v>
      </c>
      <c r="E63" s="80">
        <v>1752</v>
      </c>
      <c r="F63" s="81">
        <f>E63/100</f>
        <v>17.52</v>
      </c>
      <c r="G63" s="71">
        <v>848.37</v>
      </c>
      <c r="H63" s="82">
        <f>G63*F63/1000</f>
        <v>14.8634424</v>
      </c>
      <c r="I63" s="13">
        <v>0</v>
      </c>
    </row>
    <row r="64" spans="1:22" ht="15.75" customHeight="1">
      <c r="A64" s="29">
        <v>16</v>
      </c>
      <c r="B64" s="100" t="s">
        <v>100</v>
      </c>
      <c r="C64" s="101" t="s">
        <v>25</v>
      </c>
      <c r="D64" s="100" t="s">
        <v>156</v>
      </c>
      <c r="E64" s="102">
        <v>200</v>
      </c>
      <c r="F64" s="103">
        <f>E64*12</f>
        <v>2400</v>
      </c>
      <c r="G64" s="104">
        <v>1.2</v>
      </c>
      <c r="H64" s="82">
        <f>G64*F64/1000</f>
        <v>2.88</v>
      </c>
      <c r="I64" s="13">
        <f>F64/12*G64</f>
        <v>240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0" t="s">
        <v>46</v>
      </c>
      <c r="C65" s="83"/>
      <c r="D65" s="79"/>
      <c r="E65" s="80"/>
      <c r="F65" s="81"/>
      <c r="G65" s="91"/>
      <c r="H65" s="82" t="s">
        <v>139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17</v>
      </c>
      <c r="B66" s="14" t="s">
        <v>47</v>
      </c>
      <c r="C66" s="16" t="s">
        <v>132</v>
      </c>
      <c r="D66" s="14" t="s">
        <v>68</v>
      </c>
      <c r="E66" s="18">
        <v>10</v>
      </c>
      <c r="F66" s="71">
        <v>10</v>
      </c>
      <c r="G66" s="13">
        <v>237.74</v>
      </c>
      <c r="H66" s="65">
        <f t="shared" ref="H66:H80" si="5">SUM(F66*G66/1000)</f>
        <v>2.3774000000000002</v>
      </c>
      <c r="I66" s="13">
        <f>G66*2</f>
        <v>475.48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132</v>
      </c>
      <c r="D67" s="14" t="s">
        <v>68</v>
      </c>
      <c r="E67" s="18">
        <v>5</v>
      </c>
      <c r="F67" s="71">
        <v>5</v>
      </c>
      <c r="G67" s="13">
        <v>81.510000000000005</v>
      </c>
      <c r="H67" s="65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95"/>
      <c r="S67" s="195"/>
      <c r="T67" s="195"/>
      <c r="U67" s="195"/>
    </row>
    <row r="68" spans="1:21" ht="15.75" hidden="1" customHeight="1">
      <c r="A68" s="29"/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226.79</v>
      </c>
      <c r="H68" s="65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176.61</v>
      </c>
      <c r="H69" s="65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2217.7800000000002</v>
      </c>
      <c r="H70" s="65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5" t="s">
        <v>136</v>
      </c>
      <c r="C71" s="16" t="s">
        <v>34</v>
      </c>
      <c r="D71" s="14"/>
      <c r="E71" s="70">
        <v>23.4</v>
      </c>
      <c r="F71" s="13">
        <f>SUM(E71)</f>
        <v>23.4</v>
      </c>
      <c r="G71" s="13">
        <v>42.67</v>
      </c>
      <c r="H71" s="65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5" t="s">
        <v>146</v>
      </c>
      <c r="C72" s="16" t="s">
        <v>34</v>
      </c>
      <c r="D72" s="14"/>
      <c r="E72" s="70">
        <v>23.4</v>
      </c>
      <c r="F72" s="13">
        <f>SUM(E72)</f>
        <v>23.4</v>
      </c>
      <c r="G72" s="13">
        <v>39.81</v>
      </c>
      <c r="H72" s="65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58</v>
      </c>
      <c r="C73" s="16" t="s">
        <v>59</v>
      </c>
      <c r="D73" s="14" t="s">
        <v>54</v>
      </c>
      <c r="E73" s="18">
        <v>5</v>
      </c>
      <c r="F73" s="71">
        <f>SUM(E73)</f>
        <v>5</v>
      </c>
      <c r="G73" s="13">
        <v>53.32</v>
      </c>
      <c r="H73" s="65">
        <f t="shared" si="5"/>
        <v>0.2666</v>
      </c>
      <c r="I73" s="13">
        <f t="shared" si="6"/>
        <v>266.60000000000002</v>
      </c>
    </row>
    <row r="74" spans="1:21" ht="15.75" customHeight="1">
      <c r="A74" s="29">
        <v>18</v>
      </c>
      <c r="B74" s="14" t="s">
        <v>147</v>
      </c>
      <c r="C74" s="16" t="s">
        <v>59</v>
      </c>
      <c r="D74" s="14" t="s">
        <v>30</v>
      </c>
      <c r="E74" s="18">
        <v>1</v>
      </c>
      <c r="F74" s="58">
        <v>12</v>
      </c>
      <c r="G74" s="13">
        <v>711</v>
      </c>
      <c r="H74" s="65">
        <v>8.5310000000000006</v>
      </c>
      <c r="I74" s="13">
        <f>F74/12*G74</f>
        <v>711</v>
      </c>
    </row>
    <row r="75" spans="1:21" ht="15.75" hidden="1" customHeight="1">
      <c r="A75" s="29"/>
      <c r="B75" s="54" t="s">
        <v>75</v>
      </c>
      <c r="C75" s="16"/>
      <c r="D75" s="14"/>
      <c r="E75" s="18"/>
      <c r="F75" s="13"/>
      <c r="G75" s="13"/>
      <c r="H75" s="65" t="s">
        <v>139</v>
      </c>
      <c r="I75" s="13"/>
    </row>
    <row r="76" spans="1:21" ht="15.75" hidden="1" customHeight="1">
      <c r="A76" s="29">
        <v>19</v>
      </c>
      <c r="B76" s="14" t="s">
        <v>76</v>
      </c>
      <c r="C76" s="16" t="s">
        <v>32</v>
      </c>
      <c r="D76" s="14" t="s">
        <v>68</v>
      </c>
      <c r="E76" s="18">
        <v>2</v>
      </c>
      <c r="F76" s="58">
        <v>0.2</v>
      </c>
      <c r="G76" s="13">
        <v>536.23</v>
      </c>
      <c r="H76" s="65">
        <v>0.107</v>
      </c>
      <c r="I76" s="13">
        <f>G76*5</f>
        <v>2681.15</v>
      </c>
    </row>
    <row r="77" spans="1:21" ht="15.75" hidden="1" customHeight="1">
      <c r="A77" s="29"/>
      <c r="B77" s="14" t="s">
        <v>92</v>
      </c>
      <c r="C77" s="16" t="s">
        <v>31</v>
      </c>
      <c r="D77" s="14"/>
      <c r="E77" s="18">
        <v>1</v>
      </c>
      <c r="F77" s="71">
        <f>SUM(E77)</f>
        <v>1</v>
      </c>
      <c r="G77" s="13">
        <v>383.25</v>
      </c>
      <c r="H77" s="65">
        <f t="shared" si="5"/>
        <v>0.38324999999999998</v>
      </c>
      <c r="I77" s="13">
        <v>0</v>
      </c>
    </row>
    <row r="78" spans="1:21" ht="15.75" hidden="1" customHeight="1">
      <c r="A78" s="29"/>
      <c r="B78" s="14" t="s">
        <v>77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5">
        <f>F78*G78/1000</f>
        <v>0.91185000000000005</v>
      </c>
      <c r="I78" s="13">
        <v>0</v>
      </c>
    </row>
    <row r="79" spans="1:21" ht="15.75" hidden="1" customHeight="1">
      <c r="A79" s="29"/>
      <c r="B79" s="86" t="s">
        <v>78</v>
      </c>
      <c r="C79" s="16"/>
      <c r="D79" s="14"/>
      <c r="E79" s="18"/>
      <c r="F79" s="13"/>
      <c r="G79" s="13" t="s">
        <v>139</v>
      </c>
      <c r="H79" s="65" t="s">
        <v>139</v>
      </c>
      <c r="I79" s="13"/>
    </row>
    <row r="80" spans="1:21" ht="15.75" hidden="1" customHeight="1">
      <c r="A80" s="29"/>
      <c r="B80" s="42" t="s">
        <v>140</v>
      </c>
      <c r="C80" s="16" t="s">
        <v>79</v>
      </c>
      <c r="D80" s="14"/>
      <c r="E80" s="18"/>
      <c r="F80" s="13">
        <v>0.6</v>
      </c>
      <c r="G80" s="13">
        <v>2949.85</v>
      </c>
      <c r="H80" s="65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137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8" t="s">
        <v>138</v>
      </c>
      <c r="C82" s="16"/>
      <c r="D82" s="14"/>
      <c r="E82" s="59"/>
      <c r="F82" s="13">
        <v>1</v>
      </c>
      <c r="G82" s="13">
        <v>21062.799999999999</v>
      </c>
      <c r="H82" s="65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96" t="s">
        <v>151</v>
      </c>
      <c r="B83" s="197"/>
      <c r="C83" s="197"/>
      <c r="D83" s="197"/>
      <c r="E83" s="197"/>
      <c r="F83" s="197"/>
      <c r="G83" s="197"/>
      <c r="H83" s="197"/>
      <c r="I83" s="198"/>
    </row>
    <row r="84" spans="1:21" ht="15.75" customHeight="1">
      <c r="A84" s="29">
        <v>19</v>
      </c>
      <c r="B84" s="68" t="s">
        <v>141</v>
      </c>
      <c r="C84" s="16" t="s">
        <v>55</v>
      </c>
      <c r="D84" s="87" t="s">
        <v>56</v>
      </c>
      <c r="E84" s="13">
        <v>5816.5</v>
      </c>
      <c r="F84" s="13">
        <f>SUM(E84*12)</f>
        <v>69798</v>
      </c>
      <c r="G84" s="13">
        <v>2.54</v>
      </c>
      <c r="H84" s="65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20</v>
      </c>
      <c r="B85" s="14" t="s">
        <v>80</v>
      </c>
      <c r="C85" s="16"/>
      <c r="D85" s="87" t="s">
        <v>56</v>
      </c>
      <c r="E85" s="70">
        <f>E84</f>
        <v>5816.5</v>
      </c>
      <c r="F85" s="13">
        <f>E85*12</f>
        <v>69798</v>
      </c>
      <c r="G85" s="13">
        <v>2.0499999999999998</v>
      </c>
      <c r="H85" s="65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83</v>
      </c>
      <c r="C86" s="35"/>
      <c r="D86" s="15"/>
      <c r="E86" s="15"/>
      <c r="F86" s="15"/>
      <c r="G86" s="18"/>
      <c r="H86" s="18"/>
      <c r="I86" s="31">
        <f>I85+I84+I74+I66+I64+I60+I59+I52+I45++I46+I44+I43+I41+I40+I28+I27+I20+I18+I17+I16</f>
        <v>98544.670525233319</v>
      </c>
    </row>
    <row r="87" spans="1:21" ht="15.75" customHeight="1">
      <c r="A87" s="210" t="s">
        <v>61</v>
      </c>
      <c r="B87" s="211"/>
      <c r="C87" s="211"/>
      <c r="D87" s="211"/>
      <c r="E87" s="211"/>
      <c r="F87" s="211"/>
      <c r="G87" s="211"/>
      <c r="H87" s="211"/>
      <c r="I87" s="212"/>
    </row>
    <row r="88" spans="1:21" ht="15.75" customHeight="1">
      <c r="A88" s="29">
        <v>21</v>
      </c>
      <c r="B88" s="46" t="s">
        <v>168</v>
      </c>
      <c r="C88" s="64" t="s">
        <v>87</v>
      </c>
      <c r="D88" s="42"/>
      <c r="E88" s="13"/>
      <c r="F88" s="13">
        <v>3</v>
      </c>
      <c r="G88" s="13">
        <v>203.68</v>
      </c>
      <c r="H88" s="65">
        <f t="shared" ref="H88:H98" si="7">G88*F88/1000</f>
        <v>0.61103999999999992</v>
      </c>
      <c r="I88" s="105">
        <f>G88</f>
        <v>203.68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22</v>
      </c>
      <c r="B89" s="48" t="s">
        <v>200</v>
      </c>
      <c r="C89" s="93" t="s">
        <v>201</v>
      </c>
      <c r="D89" s="95"/>
      <c r="E89" s="17"/>
      <c r="F89" s="33">
        <v>45</v>
      </c>
      <c r="G89" s="33">
        <v>134.12</v>
      </c>
      <c r="H89" s="92">
        <f t="shared" si="7"/>
        <v>6.035400000000001</v>
      </c>
      <c r="I89" s="105">
        <f>G89*(10+10)</f>
        <v>2682.4</v>
      </c>
      <c r="J89" s="5"/>
      <c r="K89" s="5"/>
      <c r="L89" s="5"/>
      <c r="M89" s="5"/>
      <c r="N89" s="5"/>
      <c r="O89" s="5"/>
      <c r="P89" s="5"/>
      <c r="Q89" s="5"/>
      <c r="R89" s="97"/>
      <c r="S89" s="97"/>
      <c r="T89" s="97"/>
      <c r="U89" s="97"/>
    </row>
    <row r="90" spans="1:21" ht="15.75" customHeight="1">
      <c r="A90" s="29">
        <v>23</v>
      </c>
      <c r="B90" s="48" t="s">
        <v>85</v>
      </c>
      <c r="C90" s="93" t="s">
        <v>132</v>
      </c>
      <c r="D90" s="94"/>
      <c r="E90" s="33"/>
      <c r="F90" s="33">
        <v>2</v>
      </c>
      <c r="G90" s="33">
        <v>197.48</v>
      </c>
      <c r="H90" s="92">
        <f t="shared" si="7"/>
        <v>0.39495999999999998</v>
      </c>
      <c r="I90" s="13">
        <f>G90</f>
        <v>197.48</v>
      </c>
      <c r="J90" s="5"/>
      <c r="K90" s="5"/>
      <c r="L90" s="5"/>
      <c r="M90" s="5"/>
      <c r="N90" s="5"/>
      <c r="O90" s="5"/>
      <c r="P90" s="5"/>
      <c r="Q90" s="5"/>
      <c r="R90" s="96"/>
      <c r="S90" s="96"/>
      <c r="T90" s="96"/>
      <c r="U90" s="96"/>
    </row>
    <row r="91" spans="1:21" ht="15.75" customHeight="1">
      <c r="A91" s="29">
        <v>24</v>
      </c>
      <c r="B91" s="46" t="s">
        <v>203</v>
      </c>
      <c r="C91" s="64" t="s">
        <v>96</v>
      </c>
      <c r="D91" s="94"/>
      <c r="E91" s="33"/>
      <c r="F91" s="33">
        <v>1</v>
      </c>
      <c r="G91" s="33">
        <v>214.8</v>
      </c>
      <c r="H91" s="92">
        <f t="shared" si="7"/>
        <v>0.21480000000000002</v>
      </c>
      <c r="I91" s="13">
        <f t="shared" ref="I91:I92" si="8">G91</f>
        <v>214.8</v>
      </c>
      <c r="J91" s="5"/>
      <c r="K91" s="5"/>
      <c r="L91" s="5"/>
      <c r="M91" s="5"/>
      <c r="N91" s="5"/>
      <c r="O91" s="5"/>
      <c r="P91" s="5"/>
      <c r="Q91" s="5"/>
      <c r="R91" s="96"/>
      <c r="S91" s="96"/>
      <c r="T91" s="96"/>
      <c r="U91" s="96"/>
    </row>
    <row r="92" spans="1:21" ht="15.75" customHeight="1">
      <c r="A92" s="29">
        <v>25</v>
      </c>
      <c r="B92" s="46" t="s">
        <v>204</v>
      </c>
      <c r="C92" s="64" t="s">
        <v>96</v>
      </c>
      <c r="D92" s="94"/>
      <c r="E92" s="33"/>
      <c r="F92" s="33">
        <v>1</v>
      </c>
      <c r="G92" s="33">
        <v>318.63</v>
      </c>
      <c r="H92" s="92">
        <f t="shared" si="7"/>
        <v>0.31862999999999997</v>
      </c>
      <c r="I92" s="13">
        <f t="shared" si="8"/>
        <v>318.63</v>
      </c>
      <c r="J92" s="5"/>
      <c r="K92" s="5"/>
      <c r="L92" s="5"/>
      <c r="M92" s="5"/>
      <c r="N92" s="5"/>
      <c r="O92" s="5"/>
      <c r="P92" s="5"/>
      <c r="Q92" s="5"/>
      <c r="R92" s="96"/>
      <c r="S92" s="96"/>
      <c r="T92" s="96"/>
      <c r="U92" s="96"/>
    </row>
    <row r="93" spans="1:21" ht="31.5" customHeight="1">
      <c r="A93" s="29">
        <v>26</v>
      </c>
      <c r="B93" s="48" t="s">
        <v>193</v>
      </c>
      <c r="C93" s="93" t="s">
        <v>96</v>
      </c>
      <c r="D93" s="94"/>
      <c r="E93" s="33"/>
      <c r="F93" s="33">
        <v>4</v>
      </c>
      <c r="G93" s="33">
        <v>1078.9000000000001</v>
      </c>
      <c r="H93" s="92">
        <f t="shared" si="7"/>
        <v>4.3156000000000008</v>
      </c>
      <c r="I93" s="13">
        <f>G93*(2+1+1)</f>
        <v>4315.6000000000004</v>
      </c>
      <c r="J93" s="5"/>
      <c r="K93" s="5"/>
      <c r="L93" s="5"/>
      <c r="M93" s="5"/>
      <c r="N93" s="5"/>
      <c r="O93" s="5"/>
      <c r="P93" s="5"/>
      <c r="Q93" s="5"/>
      <c r="R93" s="96"/>
      <c r="S93" s="96"/>
      <c r="T93" s="96"/>
      <c r="U93" s="96"/>
    </row>
    <row r="94" spans="1:21" ht="15.75" customHeight="1">
      <c r="A94" s="29">
        <v>27</v>
      </c>
      <c r="B94" s="46" t="s">
        <v>194</v>
      </c>
      <c r="C94" s="64" t="s">
        <v>132</v>
      </c>
      <c r="D94" s="95"/>
      <c r="E94" s="17"/>
      <c r="F94" s="33">
        <v>2</v>
      </c>
      <c r="G94" s="33">
        <v>140</v>
      </c>
      <c r="H94" s="92">
        <f t="shared" si="7"/>
        <v>0.28000000000000003</v>
      </c>
      <c r="I94" s="13">
        <f>G94*2</f>
        <v>280</v>
      </c>
      <c r="J94" s="5"/>
      <c r="K94" s="5"/>
      <c r="L94" s="5"/>
      <c r="M94" s="5"/>
      <c r="N94" s="5"/>
      <c r="O94" s="5"/>
      <c r="P94" s="5"/>
      <c r="Q94" s="5"/>
      <c r="R94" s="96"/>
      <c r="S94" s="96"/>
      <c r="T94" s="96"/>
      <c r="U94" s="96"/>
    </row>
    <row r="95" spans="1:21" ht="15.75" customHeight="1">
      <c r="A95" s="29">
        <v>28</v>
      </c>
      <c r="B95" s="46" t="s">
        <v>195</v>
      </c>
      <c r="C95" s="64" t="s">
        <v>132</v>
      </c>
      <c r="D95" s="94"/>
      <c r="E95" s="33"/>
      <c r="F95" s="33">
        <v>2</v>
      </c>
      <c r="G95" s="33">
        <v>40</v>
      </c>
      <c r="H95" s="92">
        <f t="shared" si="7"/>
        <v>0.08</v>
      </c>
      <c r="I95" s="13">
        <f t="shared" ref="I95:I96" si="9">G95*2</f>
        <v>80</v>
      </c>
      <c r="J95" s="5"/>
      <c r="K95" s="5"/>
      <c r="L95" s="5"/>
      <c r="M95" s="5"/>
      <c r="N95" s="5"/>
      <c r="O95" s="5"/>
      <c r="P95" s="5"/>
      <c r="Q95" s="5"/>
      <c r="R95" s="96"/>
      <c r="S95" s="96"/>
      <c r="T95" s="96"/>
      <c r="U95" s="96"/>
    </row>
    <row r="96" spans="1:21" ht="15.75" customHeight="1">
      <c r="A96" s="29">
        <v>29</v>
      </c>
      <c r="B96" s="48" t="s">
        <v>198</v>
      </c>
      <c r="C96" s="93" t="s">
        <v>132</v>
      </c>
      <c r="D96" s="42"/>
      <c r="E96" s="33"/>
      <c r="F96" s="33">
        <v>2</v>
      </c>
      <c r="G96" s="33">
        <v>108</v>
      </c>
      <c r="H96" s="92">
        <f t="shared" si="7"/>
        <v>0.216</v>
      </c>
      <c r="I96" s="13">
        <f t="shared" si="9"/>
        <v>216</v>
      </c>
      <c r="J96" s="5"/>
      <c r="K96" s="5"/>
      <c r="L96" s="5"/>
      <c r="M96" s="5"/>
      <c r="N96" s="5"/>
      <c r="O96" s="5"/>
      <c r="P96" s="5"/>
      <c r="Q96" s="5"/>
      <c r="R96" s="96"/>
      <c r="S96" s="96"/>
      <c r="T96" s="96"/>
      <c r="U96" s="96"/>
    </row>
    <row r="97" spans="1:21" ht="15.75" customHeight="1">
      <c r="A97" s="29">
        <v>30</v>
      </c>
      <c r="B97" s="46" t="s">
        <v>196</v>
      </c>
      <c r="C97" s="64" t="s">
        <v>132</v>
      </c>
      <c r="D97" s="95"/>
      <c r="E97" s="17"/>
      <c r="F97" s="33">
        <v>1</v>
      </c>
      <c r="G97" s="33">
        <v>70</v>
      </c>
      <c r="H97" s="92">
        <f t="shared" si="7"/>
        <v>7.0000000000000007E-2</v>
      </c>
      <c r="I97" s="13">
        <f>G97</f>
        <v>70</v>
      </c>
      <c r="J97" s="5"/>
      <c r="K97" s="5"/>
      <c r="L97" s="5"/>
      <c r="M97" s="5"/>
      <c r="N97" s="5"/>
      <c r="O97" s="5"/>
      <c r="P97" s="5"/>
      <c r="Q97" s="5"/>
      <c r="R97" s="96"/>
      <c r="S97" s="96"/>
      <c r="T97" s="96"/>
      <c r="U97" s="96"/>
    </row>
    <row r="98" spans="1:21" ht="31.5" customHeight="1">
      <c r="A98" s="29">
        <v>31</v>
      </c>
      <c r="B98" s="46" t="s">
        <v>192</v>
      </c>
      <c r="C98" s="64" t="s">
        <v>96</v>
      </c>
      <c r="D98" s="94"/>
      <c r="E98" s="33"/>
      <c r="F98" s="33">
        <v>2</v>
      </c>
      <c r="G98" s="33">
        <v>835.68</v>
      </c>
      <c r="H98" s="92">
        <f t="shared" si="7"/>
        <v>1.67136</v>
      </c>
      <c r="I98" s="13">
        <f>G98*2</f>
        <v>1671.36</v>
      </c>
      <c r="J98" s="5"/>
      <c r="K98" s="5"/>
      <c r="L98" s="5"/>
      <c r="M98" s="5"/>
      <c r="N98" s="5"/>
      <c r="O98" s="5"/>
      <c r="P98" s="5"/>
      <c r="Q98" s="5"/>
      <c r="R98" s="96"/>
      <c r="S98" s="96"/>
      <c r="T98" s="96"/>
      <c r="U98" s="96"/>
    </row>
    <row r="99" spans="1:21" ht="47.25" customHeight="1">
      <c r="A99" s="29">
        <v>32</v>
      </c>
      <c r="B99" s="48" t="s">
        <v>205</v>
      </c>
      <c r="C99" s="93" t="s">
        <v>102</v>
      </c>
      <c r="D99" s="95"/>
      <c r="E99" s="17"/>
      <c r="F99" s="33">
        <f>0.16/10</f>
        <v>1.6E-2</v>
      </c>
      <c r="G99" s="33">
        <v>10688.06</v>
      </c>
      <c r="H99" s="92">
        <f>G99*F99/1000</f>
        <v>0.17100896000000002</v>
      </c>
      <c r="I99" s="13">
        <f>G99*F99</f>
        <v>171.00896</v>
      </c>
      <c r="J99" s="5"/>
      <c r="K99" s="5"/>
      <c r="L99" s="5"/>
      <c r="M99" s="5"/>
      <c r="N99" s="5"/>
      <c r="O99" s="5"/>
      <c r="P99" s="5"/>
      <c r="Q99" s="5"/>
      <c r="R99" s="96"/>
      <c r="S99" s="96"/>
      <c r="T99" s="96"/>
      <c r="U99" s="96"/>
    </row>
    <row r="100" spans="1:21" ht="15.75" customHeight="1">
      <c r="A100" s="29">
        <v>33</v>
      </c>
      <c r="B100" s="94" t="s">
        <v>206</v>
      </c>
      <c r="C100" s="106" t="s">
        <v>31</v>
      </c>
      <c r="D100" s="107"/>
      <c r="E100" s="108"/>
      <c r="F100" s="108">
        <v>4</v>
      </c>
      <c r="G100" s="108">
        <v>330.06</v>
      </c>
      <c r="H100" s="92">
        <f t="shared" ref="H100:H103" si="10">G100*F100/1000</f>
        <v>1.3202400000000001</v>
      </c>
      <c r="I100" s="13">
        <f>G100*4</f>
        <v>1320.24</v>
      </c>
      <c r="J100" s="5"/>
      <c r="K100" s="5"/>
      <c r="L100" s="5"/>
      <c r="M100" s="5"/>
      <c r="N100" s="5"/>
      <c r="O100" s="5"/>
      <c r="P100" s="5"/>
      <c r="Q100" s="5"/>
      <c r="R100" s="96"/>
      <c r="S100" s="96"/>
      <c r="T100" s="96"/>
      <c r="U100" s="96"/>
    </row>
    <row r="101" spans="1:21" ht="15.75" customHeight="1">
      <c r="A101" s="29">
        <v>34</v>
      </c>
      <c r="B101" s="48" t="s">
        <v>207</v>
      </c>
      <c r="C101" s="93" t="s">
        <v>132</v>
      </c>
      <c r="D101" s="95"/>
      <c r="E101" s="17"/>
      <c r="F101" s="33">
        <v>2</v>
      </c>
      <c r="G101" s="33">
        <v>840</v>
      </c>
      <c r="H101" s="92">
        <f t="shared" si="10"/>
        <v>1.68</v>
      </c>
      <c r="I101" s="13">
        <f>G101*2</f>
        <v>1680</v>
      </c>
      <c r="J101" s="5"/>
      <c r="K101" s="5"/>
      <c r="L101" s="5"/>
      <c r="M101" s="5"/>
      <c r="N101" s="5"/>
      <c r="O101" s="5"/>
      <c r="P101" s="5"/>
      <c r="Q101" s="5"/>
      <c r="R101" s="96"/>
      <c r="S101" s="96"/>
      <c r="T101" s="96"/>
      <c r="U101" s="96"/>
    </row>
    <row r="102" spans="1:21" ht="15.75" customHeight="1">
      <c r="A102" s="29">
        <v>35</v>
      </c>
      <c r="B102" s="48" t="s">
        <v>208</v>
      </c>
      <c r="C102" s="93" t="s">
        <v>132</v>
      </c>
      <c r="D102" s="95"/>
      <c r="E102" s="17"/>
      <c r="F102" s="33">
        <v>2</v>
      </c>
      <c r="G102" s="33">
        <v>1260</v>
      </c>
      <c r="H102" s="92">
        <f t="shared" si="10"/>
        <v>2.52</v>
      </c>
      <c r="I102" s="13">
        <f>G102*2</f>
        <v>2520</v>
      </c>
      <c r="J102" s="5"/>
      <c r="K102" s="5"/>
      <c r="L102" s="5"/>
      <c r="M102" s="5"/>
      <c r="N102" s="5"/>
      <c r="O102" s="5"/>
      <c r="P102" s="5"/>
      <c r="Q102" s="5"/>
      <c r="R102" s="96"/>
      <c r="S102" s="96"/>
      <c r="T102" s="96"/>
      <c r="U102" s="96"/>
    </row>
    <row r="103" spans="1:21" ht="15.75" customHeight="1">
      <c r="A103" s="29">
        <v>36</v>
      </c>
      <c r="B103" s="109" t="s">
        <v>209</v>
      </c>
      <c r="C103" s="110" t="s">
        <v>132</v>
      </c>
      <c r="D103" s="95"/>
      <c r="E103" s="17"/>
      <c r="F103" s="33">
        <v>1</v>
      </c>
      <c r="G103" s="33">
        <v>324.01</v>
      </c>
      <c r="H103" s="92">
        <f t="shared" si="10"/>
        <v>0.32400999999999996</v>
      </c>
      <c r="I103" s="13">
        <f>G103</f>
        <v>324.01</v>
      </c>
      <c r="J103" s="5"/>
      <c r="K103" s="5"/>
      <c r="L103" s="5"/>
      <c r="M103" s="5"/>
      <c r="N103" s="5"/>
      <c r="O103" s="5"/>
      <c r="P103" s="5"/>
      <c r="Q103" s="5"/>
      <c r="R103" s="96"/>
      <c r="S103" s="96"/>
      <c r="T103" s="96"/>
      <c r="U103" s="96"/>
    </row>
    <row r="104" spans="1:21" ht="15.75" customHeight="1">
      <c r="A104" s="29"/>
      <c r="B104" s="40" t="s">
        <v>52</v>
      </c>
      <c r="C104" s="36"/>
      <c r="D104" s="44"/>
      <c r="E104" s="36">
        <v>1</v>
      </c>
      <c r="F104" s="36"/>
      <c r="G104" s="36"/>
      <c r="H104" s="36"/>
      <c r="I104" s="31">
        <f>SUM(I88:I103)</f>
        <v>16265.20896</v>
      </c>
    </row>
    <row r="105" spans="1:21" ht="15.75" customHeight="1">
      <c r="A105" s="29"/>
      <c r="B105" s="42" t="s">
        <v>81</v>
      </c>
      <c r="C105" s="15"/>
      <c r="D105" s="15"/>
      <c r="E105" s="37"/>
      <c r="F105" s="37"/>
      <c r="G105" s="38"/>
      <c r="H105" s="38"/>
      <c r="I105" s="17">
        <v>0</v>
      </c>
    </row>
    <row r="106" spans="1:21" ht="15.75" customHeight="1">
      <c r="A106" s="45"/>
      <c r="B106" s="41" t="s">
        <v>191</v>
      </c>
      <c r="C106" s="32"/>
      <c r="D106" s="32"/>
      <c r="E106" s="32"/>
      <c r="F106" s="32"/>
      <c r="G106" s="32"/>
      <c r="H106" s="32"/>
      <c r="I106" s="39">
        <f>I86+I104</f>
        <v>114809.87948523332</v>
      </c>
    </row>
    <row r="107" spans="1:21" ht="15.75" customHeight="1">
      <c r="A107" s="213" t="s">
        <v>274</v>
      </c>
      <c r="B107" s="213"/>
      <c r="C107" s="213"/>
      <c r="D107" s="213"/>
      <c r="E107" s="213"/>
      <c r="F107" s="213"/>
      <c r="G107" s="213"/>
      <c r="H107" s="213"/>
      <c r="I107" s="213"/>
    </row>
    <row r="108" spans="1:21" ht="15.75" customHeight="1">
      <c r="A108" s="57"/>
      <c r="B108" s="214" t="s">
        <v>275</v>
      </c>
      <c r="C108" s="214"/>
      <c r="D108" s="214"/>
      <c r="E108" s="214"/>
      <c r="F108" s="214"/>
      <c r="G108" s="214"/>
      <c r="H108" s="62"/>
      <c r="I108" s="3"/>
    </row>
    <row r="109" spans="1:21" ht="15.75" customHeight="1">
      <c r="A109" s="53"/>
      <c r="B109" s="215" t="s">
        <v>6</v>
      </c>
      <c r="C109" s="215"/>
      <c r="D109" s="215"/>
      <c r="E109" s="215"/>
      <c r="F109" s="215"/>
      <c r="G109" s="215"/>
      <c r="H109" s="24"/>
      <c r="I109" s="5"/>
    </row>
    <row r="110" spans="1:21" ht="15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21" ht="15.75" customHeight="1">
      <c r="A111" s="216" t="s">
        <v>7</v>
      </c>
      <c r="B111" s="216"/>
      <c r="C111" s="216"/>
      <c r="D111" s="216"/>
      <c r="E111" s="216"/>
      <c r="F111" s="216"/>
      <c r="G111" s="216"/>
      <c r="H111" s="216"/>
      <c r="I111" s="216"/>
    </row>
    <row r="112" spans="1:21" ht="15.75" customHeight="1">
      <c r="A112" s="216" t="s">
        <v>8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15.75" customHeight="1">
      <c r="A113" s="205" t="s">
        <v>62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15.75" customHeight="1">
      <c r="A114" s="11"/>
    </row>
    <row r="115" spans="1:9" ht="15.75" customHeight="1">
      <c r="A115" s="218" t="s">
        <v>9</v>
      </c>
      <c r="B115" s="218"/>
      <c r="C115" s="218"/>
      <c r="D115" s="218"/>
      <c r="E115" s="218"/>
      <c r="F115" s="218"/>
      <c r="G115" s="218"/>
      <c r="H115" s="218"/>
      <c r="I115" s="218"/>
    </row>
    <row r="116" spans="1:9" ht="15.75" customHeight="1">
      <c r="A116" s="4"/>
    </row>
    <row r="117" spans="1:9" ht="15.75" customHeight="1">
      <c r="B117" s="56" t="s">
        <v>10</v>
      </c>
      <c r="C117" s="219" t="s">
        <v>93</v>
      </c>
      <c r="D117" s="219"/>
      <c r="E117" s="219"/>
      <c r="F117" s="60"/>
      <c r="I117" s="52"/>
    </row>
    <row r="118" spans="1:9" ht="15.75" customHeight="1">
      <c r="A118" s="53"/>
      <c r="C118" s="215" t="s">
        <v>11</v>
      </c>
      <c r="D118" s="215"/>
      <c r="E118" s="215"/>
      <c r="F118" s="24"/>
      <c r="I118" s="51" t="s">
        <v>12</v>
      </c>
    </row>
    <row r="119" spans="1:9" ht="15.75" customHeight="1">
      <c r="A119" s="25"/>
      <c r="C119" s="12"/>
      <c r="D119" s="12"/>
      <c r="G119" s="12"/>
      <c r="H119" s="12"/>
    </row>
    <row r="120" spans="1:9" ht="15.75" customHeight="1">
      <c r="B120" s="56" t="s">
        <v>13</v>
      </c>
      <c r="C120" s="220"/>
      <c r="D120" s="220"/>
      <c r="E120" s="220"/>
      <c r="F120" s="61"/>
      <c r="I120" s="52"/>
    </row>
    <row r="121" spans="1:9" ht="15.75" customHeight="1">
      <c r="A121" s="53"/>
      <c r="C121" s="195" t="s">
        <v>11</v>
      </c>
      <c r="D121" s="195"/>
      <c r="E121" s="195"/>
      <c r="F121" s="53"/>
      <c r="I121" s="51" t="s">
        <v>12</v>
      </c>
    </row>
    <row r="122" spans="1:9" ht="15.75" customHeight="1">
      <c r="A122" s="4" t="s">
        <v>14</v>
      </c>
    </row>
    <row r="123" spans="1:9" ht="15.75" customHeight="1">
      <c r="A123" s="221" t="s">
        <v>15</v>
      </c>
      <c r="B123" s="221"/>
      <c r="C123" s="221"/>
      <c r="D123" s="221"/>
      <c r="E123" s="221"/>
      <c r="F123" s="221"/>
      <c r="G123" s="221"/>
      <c r="H123" s="221"/>
      <c r="I123" s="221"/>
    </row>
    <row r="124" spans="1:9" ht="45" customHeight="1">
      <c r="A124" s="217" t="s">
        <v>16</v>
      </c>
      <c r="B124" s="217"/>
      <c r="C124" s="217"/>
      <c r="D124" s="217"/>
      <c r="E124" s="217"/>
      <c r="F124" s="217"/>
      <c r="G124" s="217"/>
      <c r="H124" s="217"/>
      <c r="I124" s="217"/>
    </row>
    <row r="125" spans="1:9" ht="30" customHeight="1">
      <c r="A125" s="217" t="s">
        <v>17</v>
      </c>
      <c r="B125" s="217"/>
      <c r="C125" s="217"/>
      <c r="D125" s="217"/>
      <c r="E125" s="217"/>
      <c r="F125" s="217"/>
      <c r="G125" s="217"/>
      <c r="H125" s="217"/>
      <c r="I125" s="217"/>
    </row>
    <row r="126" spans="1:9" ht="30" customHeight="1">
      <c r="A126" s="217" t="s">
        <v>21</v>
      </c>
      <c r="B126" s="217"/>
      <c r="C126" s="217"/>
      <c r="D126" s="217"/>
      <c r="E126" s="217"/>
      <c r="F126" s="217"/>
      <c r="G126" s="217"/>
      <c r="H126" s="217"/>
      <c r="I126" s="217"/>
    </row>
    <row r="127" spans="1:9" ht="15" customHeight="1">
      <c r="A127" s="217" t="s">
        <v>20</v>
      </c>
      <c r="B127" s="217"/>
      <c r="C127" s="217"/>
      <c r="D127" s="217"/>
      <c r="E127" s="217"/>
      <c r="F127" s="217"/>
      <c r="G127" s="217"/>
      <c r="H127" s="217"/>
      <c r="I127" s="217"/>
    </row>
  </sheetData>
  <autoFilter ref="I12:I62"/>
  <mergeCells count="29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9:I29"/>
    <mergeCell ref="A47:I47"/>
    <mergeCell ref="A57:I57"/>
    <mergeCell ref="A87:I87"/>
    <mergeCell ref="A107:I107"/>
    <mergeCell ref="B108:G108"/>
    <mergeCell ref="B109:G109"/>
    <mergeCell ref="A111:I111"/>
    <mergeCell ref="A112:I112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9"/>
  <sheetViews>
    <sheetView topLeftCell="A106" workbookViewId="0">
      <selection activeCell="I116" sqref="I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99" t="s">
        <v>187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210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43190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  <c r="J15" s="8"/>
      <c r="K15" s="8"/>
      <c r="L15" s="8"/>
      <c r="M15" s="8"/>
    </row>
    <row r="16" spans="1:13" ht="15.7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  <c r="J26" s="22"/>
      <c r="K26" s="8"/>
      <c r="L26" s="8"/>
      <c r="M26" s="8"/>
    </row>
    <row r="27" spans="1:13" ht="15.75" customHeight="1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  <c r="J27" s="23"/>
    </row>
    <row r="28" spans="1:13" ht="15.75" customHeight="1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  <c r="J28" s="22"/>
      <c r="K28" s="8"/>
      <c r="L28" s="8"/>
      <c r="M28" s="8"/>
    </row>
    <row r="29" spans="1:13" ht="15.75" hidden="1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  <c r="J29" s="23"/>
    </row>
    <row r="30" spans="1:13" ht="15.75" hidden="1" customHeight="1">
      <c r="A30" s="29">
        <v>7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  <c r="J30" s="23"/>
    </row>
    <row r="31" spans="1:13" ht="31.5" hidden="1" customHeight="1">
      <c r="A31" s="29"/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  <c r="J31" s="22"/>
      <c r="K31" s="8"/>
      <c r="L31" s="8"/>
      <c r="M31" s="8"/>
    </row>
    <row r="32" spans="1:13" ht="15.75" hidden="1" customHeight="1">
      <c r="A32" s="29">
        <v>7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  <c r="J32" s="22"/>
      <c r="K32" s="8"/>
      <c r="L32" s="8"/>
      <c r="M32" s="8"/>
    </row>
    <row r="33" spans="1:14" ht="15.75" hidden="1" customHeight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  <c r="J33" s="22"/>
      <c r="K33" s="8"/>
      <c r="L33" s="8"/>
      <c r="M33" s="8"/>
    </row>
    <row r="34" spans="1:14" ht="15.75" hidden="1" customHeight="1">
      <c r="A34" s="29">
        <v>16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  <c r="J34" s="22"/>
      <c r="K34" s="8"/>
      <c r="L34" s="8"/>
      <c r="M34" s="8"/>
    </row>
    <row r="35" spans="1:14" ht="15.75" hidden="1" customHeight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  <c r="J35" s="22"/>
      <c r="K35" s="8"/>
    </row>
    <row r="36" spans="1:14" ht="15.75" hidden="1" customHeight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  <c r="J36" s="23"/>
    </row>
    <row r="37" spans="1:14" ht="15.75" customHeight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  <c r="J37" s="23"/>
    </row>
    <row r="38" spans="1:14" ht="15.75" customHeight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  <c r="J38" s="23"/>
      <c r="L38" s="19"/>
      <c r="M38" s="20"/>
      <c r="N38" s="21"/>
    </row>
    <row r="39" spans="1:14" ht="15.75" customHeight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  <c r="J39" s="23"/>
      <c r="L39" s="19"/>
      <c r="M39" s="20"/>
      <c r="N39" s="21"/>
    </row>
    <row r="40" spans="1:14" ht="15.75" customHeight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  <c r="J40" s="23"/>
      <c r="L40" s="19"/>
      <c r="M40" s="20"/>
      <c r="N40" s="21"/>
    </row>
    <row r="41" spans="1:14" ht="15.75" hidden="1" customHeight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  <c r="J41" s="23"/>
      <c r="L41" s="19"/>
      <c r="M41" s="20"/>
      <c r="N41" s="21"/>
    </row>
    <row r="42" spans="1:14" ht="47.25" customHeight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  <c r="J42" s="23"/>
      <c r="L42" s="19"/>
      <c r="M42" s="20"/>
      <c r="N42" s="21"/>
    </row>
    <row r="43" spans="1:14" ht="15.75" customHeight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  <c r="J43" s="23"/>
      <c r="L43" s="19"/>
      <c r="M43" s="20"/>
      <c r="N43" s="21"/>
    </row>
    <row r="44" spans="1:14" ht="15.75" customHeight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  <c r="J44" s="23"/>
      <c r="L44" s="19"/>
      <c r="M44" s="20"/>
      <c r="N44" s="21"/>
    </row>
    <row r="45" spans="1:14" ht="15.75" customHeight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  <c r="J45" s="23"/>
      <c r="L45" s="19"/>
      <c r="M45" s="20"/>
      <c r="N45" s="21"/>
    </row>
    <row r="46" spans="1:14" ht="15.75" hidden="1" customHeight="1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  <c r="J46" s="23"/>
      <c r="L46" s="19"/>
      <c r="M46" s="20"/>
      <c r="N46" s="21"/>
    </row>
    <row r="47" spans="1:14" ht="15.75" hidden="1" customHeight="1">
      <c r="A47" s="29"/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  <c r="J47" s="23"/>
      <c r="L47" s="19"/>
      <c r="M47" s="20"/>
      <c r="N47" s="21"/>
    </row>
    <row r="48" spans="1:14" ht="15.75" hidden="1" customHeight="1">
      <c r="A48" s="29">
        <v>14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  <c r="J48" s="23"/>
      <c r="L48" s="19"/>
      <c r="M48" s="20"/>
      <c r="N48" s="21"/>
    </row>
    <row r="49" spans="1:22" ht="15.75" hidden="1" customHeight="1">
      <c r="A49" s="29"/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  <c r="J49" s="23"/>
      <c r="L49" s="19"/>
      <c r="M49" s="20"/>
      <c r="N49" s="21"/>
    </row>
    <row r="50" spans="1:22" ht="15.75" hidden="1" customHeight="1">
      <c r="A50" s="29"/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  <c r="J50" s="23"/>
      <c r="L50" s="19"/>
      <c r="M50" s="20"/>
      <c r="N50" s="21"/>
    </row>
    <row r="51" spans="1:22" ht="15.75" hidden="1" customHeight="1">
      <c r="A51" s="29"/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  <c r="J51" s="23"/>
      <c r="L51" s="19"/>
      <c r="M51" s="20"/>
      <c r="N51" s="21"/>
    </row>
    <row r="52" spans="1:22" ht="31.5" hidden="1" customHeight="1">
      <c r="A52" s="29">
        <v>15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  <c r="J52" s="23"/>
      <c r="L52" s="19"/>
      <c r="M52" s="20"/>
      <c r="N52" s="21"/>
    </row>
    <row r="53" spans="1:22" ht="31.5" hidden="1" customHeight="1">
      <c r="A53" s="29"/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  <c r="J53" s="23"/>
      <c r="L53" s="19"/>
      <c r="M53" s="20"/>
      <c r="N53" s="21"/>
    </row>
    <row r="54" spans="1:22" ht="15.75" hidden="1" customHeight="1">
      <c r="A54" s="29">
        <v>14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  <c r="J54" s="23"/>
      <c r="L54" s="19"/>
      <c r="M54" s="20"/>
      <c r="N54" s="21"/>
    </row>
    <row r="55" spans="1:22" ht="15.75" hidden="1" customHeight="1">
      <c r="A55" s="29">
        <v>15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  <c r="J55" s="23"/>
      <c r="L55" s="19"/>
    </row>
    <row r="56" spans="1:22" ht="15.75" customHeight="1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  <c r="J56" s="23"/>
      <c r="L56" s="19"/>
    </row>
    <row r="57" spans="1:22" ht="15.75" customHeight="1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22" ht="31.5" hidden="1" customHeight="1">
      <c r="A58" s="29">
        <v>13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F58/6*G58</f>
        <v>2496.6860099999999</v>
      </c>
    </row>
    <row r="59" spans="1:22" ht="15.75" customHeight="1">
      <c r="A59" s="29">
        <v>13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29">
        <v>14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  <c r="J60" s="25"/>
      <c r="K60" s="25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  <c r="J62" s="5"/>
      <c r="K62" s="5"/>
      <c r="L62" s="5"/>
      <c r="M62" s="5"/>
      <c r="N62" s="5"/>
      <c r="O62" s="5"/>
      <c r="P62" s="5"/>
      <c r="Q62" s="5"/>
      <c r="R62" s="195"/>
      <c r="S62" s="195"/>
      <c r="T62" s="195"/>
      <c r="U62" s="195"/>
    </row>
    <row r="63" spans="1:22" ht="15.75" hidden="1" customHeight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22" ht="15.75" customHeight="1">
      <c r="A64" s="29">
        <v>15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21" ht="15.7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21" ht="15.75" customHeight="1">
      <c r="A66" s="29">
        <v>16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</f>
        <v>303.35000000000002</v>
      </c>
    </row>
    <row r="67" spans="1:21" ht="15.75" hidden="1" customHeight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21" ht="15.75" hidden="1" customHeight="1">
      <c r="A68" s="29"/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21" ht="15.75" hidden="1" customHeight="1">
      <c r="A69" s="29">
        <v>19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21" ht="15.75" hidden="1" customHeight="1">
      <c r="A70" s="29"/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21" ht="15.75" hidden="1" customHeight="1">
      <c r="A71" s="29">
        <v>20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21" ht="15.75" hidden="1" customHeight="1">
      <c r="A72" s="29"/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21" ht="15.75" hidden="1" customHeight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21" ht="15.75" customHeight="1">
      <c r="A74" s="29">
        <v>17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21" ht="15.75" customHeight="1">
      <c r="A75" s="29"/>
      <c r="B75" s="98" t="s">
        <v>218</v>
      </c>
      <c r="C75" s="16"/>
      <c r="D75" s="14"/>
      <c r="E75" s="18"/>
      <c r="F75" s="58"/>
      <c r="G75" s="13"/>
      <c r="H75" s="65"/>
      <c r="I75" s="13"/>
      <c r="J75" s="5"/>
      <c r="K75" s="5"/>
      <c r="L75" s="5"/>
      <c r="M75" s="5"/>
      <c r="N75" s="5"/>
      <c r="O75" s="5"/>
      <c r="P75" s="5"/>
      <c r="Q75" s="5"/>
      <c r="R75" s="53"/>
      <c r="S75" s="53"/>
      <c r="T75" s="53"/>
      <c r="U75" s="53"/>
    </row>
    <row r="76" spans="1:21" ht="15.75" customHeight="1">
      <c r="A76" s="29">
        <v>18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31.5" customHeight="1">
      <c r="A77" s="29">
        <v>19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  <c r="J77" s="5"/>
      <c r="K77" s="5"/>
      <c r="L77" s="5"/>
      <c r="M77" s="5"/>
      <c r="N77" s="5"/>
      <c r="O77" s="5"/>
      <c r="P77" s="5"/>
      <c r="Q77" s="5"/>
      <c r="R77" s="53"/>
      <c r="S77" s="53"/>
      <c r="T77" s="53"/>
      <c r="U77" s="53"/>
    </row>
    <row r="78" spans="1:21" ht="15.75" hidden="1" customHeight="1">
      <c r="A78" s="118"/>
      <c r="B78" s="98" t="s">
        <v>75</v>
      </c>
      <c r="C78" s="16"/>
      <c r="D78" s="14"/>
      <c r="E78" s="18"/>
      <c r="F78" s="13"/>
      <c r="G78" s="13"/>
      <c r="H78" s="65" t="s">
        <v>139</v>
      </c>
      <c r="I78" s="119"/>
      <c r="J78" s="5"/>
      <c r="K78" s="5"/>
      <c r="L78" s="5"/>
      <c r="M78" s="5"/>
      <c r="N78" s="5"/>
      <c r="O78" s="5"/>
      <c r="P78" s="5"/>
      <c r="Q78" s="5"/>
      <c r="R78" s="97"/>
      <c r="S78" s="97"/>
      <c r="T78" s="97"/>
      <c r="U78" s="97"/>
    </row>
    <row r="79" spans="1:21" ht="31.5" hidden="1" customHeight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  <c r="J79" s="5"/>
      <c r="K79" s="5"/>
      <c r="L79" s="5"/>
      <c r="M79" s="5"/>
      <c r="N79" s="5"/>
      <c r="O79" s="5"/>
      <c r="P79" s="5"/>
      <c r="Q79" s="5"/>
      <c r="R79" s="97"/>
      <c r="S79" s="97"/>
      <c r="T79" s="97"/>
      <c r="U79" s="97"/>
    </row>
    <row r="80" spans="1:21" ht="15.75" hidden="1" customHeight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  <c r="J80" s="5"/>
      <c r="K80" s="5"/>
      <c r="L80" s="5"/>
      <c r="M80" s="5"/>
      <c r="N80" s="5"/>
      <c r="O80" s="5"/>
      <c r="P80" s="5"/>
      <c r="Q80" s="5"/>
      <c r="R80" s="97"/>
      <c r="S80" s="97"/>
      <c r="T80" s="97"/>
      <c r="U80" s="97"/>
    </row>
    <row r="81" spans="1:21" ht="15.75" hidden="1" customHeight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  <c r="J81" s="5"/>
      <c r="K81" s="5"/>
      <c r="L81" s="5"/>
      <c r="M81" s="5"/>
      <c r="N81" s="5"/>
      <c r="O81" s="5"/>
      <c r="P81" s="5"/>
      <c r="Q81" s="5"/>
      <c r="R81" s="97"/>
      <c r="S81" s="97"/>
      <c r="T81" s="97"/>
      <c r="U81" s="97"/>
    </row>
    <row r="82" spans="1:21" ht="15.75" hidden="1" customHeight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  <c r="J82" s="5"/>
      <c r="K82" s="5"/>
      <c r="L82" s="5"/>
      <c r="M82" s="5"/>
      <c r="N82" s="5"/>
      <c r="O82" s="5"/>
      <c r="P82" s="5"/>
      <c r="Q82" s="5"/>
      <c r="R82" s="97"/>
      <c r="S82" s="97"/>
      <c r="T82" s="97"/>
      <c r="U82" s="97"/>
    </row>
    <row r="83" spans="1:21" ht="15.75" hidden="1" customHeight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  <c r="J83" s="5"/>
      <c r="K83" s="5"/>
      <c r="L83" s="5"/>
      <c r="M83" s="5"/>
      <c r="N83" s="5"/>
      <c r="O83" s="5"/>
      <c r="P83" s="5"/>
      <c r="Q83" s="5"/>
      <c r="R83" s="97"/>
      <c r="S83" s="97"/>
      <c r="T83" s="97"/>
      <c r="U83" s="97"/>
    </row>
    <row r="84" spans="1:21" ht="15.75" hidden="1" customHeight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  <c r="J84" s="5"/>
      <c r="K84" s="5"/>
      <c r="L84" s="5"/>
      <c r="M84" s="5"/>
      <c r="N84" s="5"/>
      <c r="O84" s="5"/>
      <c r="P84" s="5"/>
      <c r="Q84" s="5"/>
      <c r="R84" s="97"/>
      <c r="S84" s="97"/>
      <c r="T84" s="97"/>
      <c r="U84" s="97"/>
    </row>
    <row r="85" spans="1:21" ht="15.75" hidden="1" customHeight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  <c r="J85" s="5"/>
      <c r="K85" s="5"/>
      <c r="L85" s="5"/>
      <c r="M85" s="5"/>
      <c r="N85" s="5"/>
      <c r="O85" s="5"/>
      <c r="P85" s="5"/>
      <c r="Q85" s="5"/>
      <c r="R85" s="97"/>
      <c r="S85" s="97"/>
      <c r="T85" s="97"/>
      <c r="U85" s="97"/>
    </row>
    <row r="86" spans="1:21" ht="15.75" hidden="1" customHeight="1">
      <c r="A86" s="118"/>
      <c r="B86" s="98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  <c r="J86" s="5"/>
      <c r="K86" s="5"/>
      <c r="L86" s="5"/>
      <c r="M86" s="5"/>
      <c r="N86" s="5"/>
      <c r="O86" s="5"/>
      <c r="P86" s="5"/>
      <c r="Q86" s="5"/>
      <c r="R86" s="97"/>
      <c r="S86" s="97"/>
      <c r="T86" s="97"/>
      <c r="U86" s="97"/>
    </row>
    <row r="87" spans="1:21" ht="15.75" hidden="1" customHeight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  <c r="J87" s="5"/>
      <c r="K87" s="5"/>
      <c r="L87" s="5"/>
      <c r="M87" s="5"/>
      <c r="N87" s="5"/>
      <c r="O87" s="5"/>
      <c r="P87" s="5"/>
      <c r="Q87" s="5"/>
      <c r="R87" s="97"/>
      <c r="S87" s="97"/>
      <c r="T87" s="97"/>
      <c r="U87" s="97"/>
    </row>
    <row r="88" spans="1:21" ht="15.75" customHeight="1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  <c r="J88" s="5"/>
      <c r="K88" s="5"/>
      <c r="L88" s="5"/>
      <c r="M88" s="5"/>
      <c r="N88" s="5"/>
      <c r="O88" s="5"/>
      <c r="P88" s="5"/>
      <c r="Q88" s="5"/>
      <c r="R88" s="97"/>
      <c r="S88" s="97"/>
      <c r="T88" s="97"/>
      <c r="U88" s="97"/>
    </row>
    <row r="89" spans="1:21" ht="15.75" customHeight="1">
      <c r="A89" s="118">
        <v>20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31.5" customHeight="1">
      <c r="A90" s="29">
        <v>21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21" ht="15.75" customHeight="1">
      <c r="A91" s="43"/>
      <c r="B91" s="34" t="s">
        <v>83</v>
      </c>
      <c r="C91" s="35"/>
      <c r="D91" s="15"/>
      <c r="E91" s="15"/>
      <c r="F91" s="15"/>
      <c r="G91" s="18"/>
      <c r="H91" s="18"/>
      <c r="I91" s="31">
        <f>I90+I89+I77+I76+I74+I66+I64+I60+I59+I45+I44+I43+I42+I40+I39+I38+I27+I26+I18+I17+I16</f>
        <v>132951.96922596666</v>
      </c>
    </row>
    <row r="92" spans="1:21" ht="15.75" customHeight="1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21" ht="31.5" customHeight="1">
      <c r="A93" s="29">
        <v>22</v>
      </c>
      <c r="B93" s="46" t="s">
        <v>227</v>
      </c>
      <c r="C93" s="64" t="s">
        <v>84</v>
      </c>
      <c r="D93" s="42"/>
      <c r="E93" s="33"/>
      <c r="F93" s="33">
        <v>10</v>
      </c>
      <c r="G93" s="33">
        <v>1272</v>
      </c>
      <c r="H93" s="92">
        <f t="shared" ref="H93:H96" si="12">G93*F93/1000</f>
        <v>12.72</v>
      </c>
      <c r="I93" s="47">
        <f>G93*(2+8)</f>
        <v>12720</v>
      </c>
    </row>
    <row r="94" spans="1:21" ht="31.5" customHeight="1">
      <c r="A94" s="29">
        <v>23</v>
      </c>
      <c r="B94" s="46" t="s">
        <v>192</v>
      </c>
      <c r="C94" s="64" t="s">
        <v>96</v>
      </c>
      <c r="D94" s="94"/>
      <c r="E94" s="33"/>
      <c r="F94" s="33">
        <v>2</v>
      </c>
      <c r="G94" s="33">
        <v>835.68</v>
      </c>
      <c r="H94" s="92">
        <f t="shared" si="12"/>
        <v>1.67136</v>
      </c>
      <c r="I94" s="47">
        <f>G94*2</f>
        <v>1671.36</v>
      </c>
    </row>
    <row r="95" spans="1:21" ht="31.5" customHeight="1">
      <c r="A95" s="29">
        <v>24</v>
      </c>
      <c r="B95" s="46" t="s">
        <v>228</v>
      </c>
      <c r="C95" s="64" t="s">
        <v>84</v>
      </c>
      <c r="D95" s="42"/>
      <c r="E95" s="33"/>
      <c r="F95" s="33">
        <v>2</v>
      </c>
      <c r="G95" s="33">
        <v>1272</v>
      </c>
      <c r="H95" s="92">
        <f t="shared" si="12"/>
        <v>2.544</v>
      </c>
      <c r="I95" s="47">
        <f t="shared" ref="I95" si="13">G95*2</f>
        <v>2544</v>
      </c>
    </row>
    <row r="96" spans="1:21" ht="31.5" customHeight="1">
      <c r="A96" s="29">
        <v>25</v>
      </c>
      <c r="B96" s="46" t="s">
        <v>229</v>
      </c>
      <c r="C96" s="64" t="s">
        <v>84</v>
      </c>
      <c r="D96" s="42"/>
      <c r="E96" s="33"/>
      <c r="F96" s="33">
        <v>8</v>
      </c>
      <c r="G96" s="33">
        <v>1272</v>
      </c>
      <c r="H96" s="92">
        <f t="shared" si="12"/>
        <v>10.176</v>
      </c>
      <c r="I96" s="47">
        <f>G96*8</f>
        <v>10176</v>
      </c>
    </row>
    <row r="97" spans="1:9" ht="15.75" customHeight="1">
      <c r="A97" s="29">
        <v>26</v>
      </c>
      <c r="B97" s="66" t="s">
        <v>230</v>
      </c>
      <c r="C97" s="67" t="s">
        <v>95</v>
      </c>
      <c r="D97" s="94"/>
      <c r="E97" s="33"/>
      <c r="F97" s="33">
        <v>2</v>
      </c>
      <c r="G97" s="33">
        <v>1165.73</v>
      </c>
      <c r="H97" s="92">
        <f>G97*F97/1000</f>
        <v>2.3314599999999999</v>
      </c>
      <c r="I97" s="47">
        <f>G97*2</f>
        <v>2331.46</v>
      </c>
    </row>
    <row r="98" spans="1:9" ht="31.5" customHeight="1">
      <c r="A98" s="29">
        <v>27</v>
      </c>
      <c r="B98" s="46" t="s">
        <v>178</v>
      </c>
      <c r="C98" s="64" t="s">
        <v>109</v>
      </c>
      <c r="D98" s="95"/>
      <c r="E98" s="17"/>
      <c r="F98" s="33">
        <v>1</v>
      </c>
      <c r="G98" s="33">
        <v>56.34</v>
      </c>
      <c r="H98" s="92">
        <f>G98*F98/1000</f>
        <v>5.6340000000000001E-2</v>
      </c>
      <c r="I98" s="47">
        <f>G98</f>
        <v>56.34</v>
      </c>
    </row>
    <row r="99" spans="1:9" ht="15.75" customHeight="1">
      <c r="A99" s="29">
        <v>28</v>
      </c>
      <c r="B99" s="46" t="s">
        <v>233</v>
      </c>
      <c r="C99" s="64" t="s">
        <v>96</v>
      </c>
      <c r="D99" s="94"/>
      <c r="E99" s="33"/>
      <c r="F99" s="33">
        <v>1</v>
      </c>
      <c r="G99" s="33">
        <v>864.9</v>
      </c>
      <c r="H99" s="92">
        <f t="shared" ref="H99" si="14">G99*F99/1000</f>
        <v>0.8649</v>
      </c>
      <c r="I99" s="47">
        <f>G99</f>
        <v>864.9</v>
      </c>
    </row>
    <row r="100" spans="1:9" ht="15.75" customHeight="1">
      <c r="A100" s="29">
        <v>29</v>
      </c>
      <c r="B100" s="46" t="s">
        <v>85</v>
      </c>
      <c r="C100" s="64" t="s">
        <v>132</v>
      </c>
      <c r="D100" s="94"/>
      <c r="E100" s="33"/>
      <c r="F100" s="33">
        <v>2</v>
      </c>
      <c r="G100" s="33">
        <v>197.48</v>
      </c>
      <c r="H100" s="92">
        <f>G100*F100/1000</f>
        <v>0.39495999999999998</v>
      </c>
      <c r="I100" s="47">
        <f>G100*2</f>
        <v>394.96</v>
      </c>
    </row>
    <row r="101" spans="1:9" ht="32.25" customHeight="1">
      <c r="A101" s="29">
        <v>30</v>
      </c>
      <c r="B101" s="46" t="s">
        <v>160</v>
      </c>
      <c r="C101" s="64" t="s">
        <v>38</v>
      </c>
      <c r="D101" s="94"/>
      <c r="E101" s="33"/>
      <c r="F101" s="33">
        <v>0.02</v>
      </c>
      <c r="G101" s="33">
        <v>3724.37</v>
      </c>
      <c r="H101" s="92">
        <f>G101*F101/1000</f>
        <v>7.4487399999999995E-2</v>
      </c>
      <c r="I101" s="47">
        <f>G101*0.02</f>
        <v>74.487399999999994</v>
      </c>
    </row>
    <row r="102" spans="1:9" ht="32.25" customHeight="1">
      <c r="A102" s="29">
        <v>31</v>
      </c>
      <c r="B102" s="46" t="s">
        <v>231</v>
      </c>
      <c r="C102" s="64" t="s">
        <v>29</v>
      </c>
      <c r="D102" s="94"/>
      <c r="E102" s="33"/>
      <c r="F102" s="33">
        <v>0.01</v>
      </c>
      <c r="G102" s="33">
        <v>1655.27</v>
      </c>
      <c r="H102" s="92">
        <f>G102*F102/1000</f>
        <v>1.65527E-2</v>
      </c>
      <c r="I102" s="47">
        <f>G102*0.01</f>
        <v>16.552700000000002</v>
      </c>
    </row>
    <row r="103" spans="1:9" ht="15.75" customHeight="1">
      <c r="A103" s="29">
        <v>32</v>
      </c>
      <c r="B103" s="46" t="s">
        <v>197</v>
      </c>
      <c r="C103" s="64" t="s">
        <v>165</v>
      </c>
      <c r="D103" s="94"/>
      <c r="E103" s="33"/>
      <c r="F103" s="33">
        <v>0.01</v>
      </c>
      <c r="G103" s="33">
        <v>7709.44</v>
      </c>
      <c r="H103" s="92">
        <f>G103*F103/1000</f>
        <v>7.7094399999999993E-2</v>
      </c>
      <c r="I103" s="47">
        <f>G103*0.01</f>
        <v>77.094399999999993</v>
      </c>
    </row>
    <row r="104" spans="1:9" ht="31.5" customHeight="1">
      <c r="A104" s="29">
        <v>33</v>
      </c>
      <c r="B104" s="46" t="s">
        <v>82</v>
      </c>
      <c r="C104" s="64" t="s">
        <v>132</v>
      </c>
      <c r="D104" s="94"/>
      <c r="E104" s="33"/>
      <c r="F104" s="33">
        <v>1</v>
      </c>
      <c r="G104" s="33">
        <v>86.69</v>
      </c>
      <c r="H104" s="92">
        <f>G104*F104/1000</f>
        <v>8.6690000000000003E-2</v>
      </c>
      <c r="I104" s="47">
        <f>G104</f>
        <v>86.69</v>
      </c>
    </row>
    <row r="105" spans="1:9" ht="15.75" customHeight="1">
      <c r="A105" s="29">
        <v>34</v>
      </c>
      <c r="B105" s="120" t="s">
        <v>232</v>
      </c>
      <c r="C105" s="121" t="s">
        <v>31</v>
      </c>
      <c r="D105" s="94"/>
      <c r="E105" s="33"/>
      <c r="F105" s="122">
        <v>2</v>
      </c>
      <c r="G105" s="123">
        <v>89.59</v>
      </c>
      <c r="H105" s="92">
        <f t="shared" ref="H105" si="15">G105*F105/1000</f>
        <v>0.17918000000000001</v>
      </c>
      <c r="I105" s="47">
        <f>G105*2</f>
        <v>179.18</v>
      </c>
    </row>
    <row r="106" spans="1:9" ht="15.75" customHeight="1">
      <c r="A106" s="29"/>
      <c r="B106" s="40" t="s">
        <v>52</v>
      </c>
      <c r="C106" s="36"/>
      <c r="D106" s="44"/>
      <c r="E106" s="36">
        <v>1</v>
      </c>
      <c r="F106" s="36"/>
      <c r="G106" s="36"/>
      <c r="H106" s="36"/>
      <c r="I106" s="31">
        <f>SUM(I93:I105)</f>
        <v>31193.024500000003</v>
      </c>
    </row>
    <row r="107" spans="1:9" ht="15.75" customHeight="1">
      <c r="A107" s="29"/>
      <c r="B107" s="42" t="s">
        <v>81</v>
      </c>
      <c r="C107" s="15"/>
      <c r="D107" s="15"/>
      <c r="E107" s="37"/>
      <c r="F107" s="37"/>
      <c r="G107" s="38"/>
      <c r="H107" s="38"/>
      <c r="I107" s="17">
        <v>0</v>
      </c>
    </row>
    <row r="108" spans="1:9" ht="15.75" customHeight="1">
      <c r="A108" s="45"/>
      <c r="B108" s="41" t="s">
        <v>191</v>
      </c>
      <c r="C108" s="32"/>
      <c r="D108" s="32"/>
      <c r="E108" s="32"/>
      <c r="F108" s="32"/>
      <c r="G108" s="32"/>
      <c r="H108" s="32"/>
      <c r="I108" s="39">
        <f>I91+I106</f>
        <v>164144.99372596666</v>
      </c>
    </row>
    <row r="109" spans="1:9" ht="15.75" customHeight="1">
      <c r="A109" s="213" t="s">
        <v>270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15.75" customHeight="1">
      <c r="A110" s="57"/>
      <c r="B110" s="214" t="s">
        <v>271</v>
      </c>
      <c r="C110" s="214"/>
      <c r="D110" s="214"/>
      <c r="E110" s="214"/>
      <c r="F110" s="214"/>
      <c r="G110" s="214"/>
      <c r="H110" s="62"/>
      <c r="I110" s="3"/>
    </row>
    <row r="111" spans="1:9" ht="15.75" customHeight="1">
      <c r="A111" s="53"/>
      <c r="B111" s="215" t="s">
        <v>6</v>
      </c>
      <c r="C111" s="215"/>
      <c r="D111" s="215"/>
      <c r="E111" s="215"/>
      <c r="F111" s="215"/>
      <c r="G111" s="215"/>
      <c r="H111" s="24"/>
      <c r="I111" s="5"/>
    </row>
    <row r="112" spans="1:9" ht="15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216" t="s">
        <v>7</v>
      </c>
      <c r="B113" s="216"/>
      <c r="C113" s="216"/>
      <c r="D113" s="216"/>
      <c r="E113" s="216"/>
      <c r="F113" s="216"/>
      <c r="G113" s="216"/>
      <c r="H113" s="216"/>
      <c r="I113" s="216"/>
    </row>
    <row r="114" spans="1:9" ht="15.75" customHeight="1">
      <c r="A114" s="216" t="s">
        <v>8</v>
      </c>
      <c r="B114" s="216"/>
      <c r="C114" s="216"/>
      <c r="D114" s="216"/>
      <c r="E114" s="216"/>
      <c r="F114" s="216"/>
      <c r="G114" s="216"/>
      <c r="H114" s="216"/>
      <c r="I114" s="216"/>
    </row>
    <row r="115" spans="1:9" ht="15.75" customHeight="1">
      <c r="A115" s="205" t="s">
        <v>62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15.75" customHeight="1">
      <c r="A116" s="11"/>
    </row>
    <row r="117" spans="1:9" ht="15.75" customHeight="1">
      <c r="A117" s="218" t="s">
        <v>9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15.75" customHeight="1">
      <c r="A118" s="4"/>
    </row>
    <row r="119" spans="1:9" ht="15.75" customHeight="1">
      <c r="B119" s="56" t="s">
        <v>10</v>
      </c>
      <c r="C119" s="219" t="s">
        <v>93</v>
      </c>
      <c r="D119" s="219"/>
      <c r="E119" s="219"/>
      <c r="F119" s="60"/>
      <c r="I119" s="52"/>
    </row>
    <row r="120" spans="1:9" ht="15.75" customHeight="1">
      <c r="A120" s="53"/>
      <c r="C120" s="215" t="s">
        <v>11</v>
      </c>
      <c r="D120" s="215"/>
      <c r="E120" s="215"/>
      <c r="F120" s="24"/>
      <c r="I120" s="51" t="s">
        <v>12</v>
      </c>
    </row>
    <row r="121" spans="1:9" ht="15.75" customHeight="1">
      <c r="A121" s="25"/>
      <c r="C121" s="12"/>
      <c r="D121" s="12"/>
      <c r="G121" s="12"/>
      <c r="H121" s="12"/>
    </row>
    <row r="122" spans="1:9" ht="15.75" customHeight="1">
      <c r="B122" s="56" t="s">
        <v>13</v>
      </c>
      <c r="C122" s="220"/>
      <c r="D122" s="220"/>
      <c r="E122" s="220"/>
      <c r="F122" s="61"/>
      <c r="I122" s="52"/>
    </row>
    <row r="123" spans="1:9" ht="15.75" customHeight="1">
      <c r="A123" s="53"/>
      <c r="C123" s="195" t="s">
        <v>11</v>
      </c>
      <c r="D123" s="195"/>
      <c r="E123" s="195"/>
      <c r="F123" s="53"/>
      <c r="I123" s="51" t="s">
        <v>12</v>
      </c>
    </row>
    <row r="124" spans="1:9" ht="15.75" customHeight="1">
      <c r="A124" s="4" t="s">
        <v>14</v>
      </c>
    </row>
    <row r="125" spans="1:9" ht="15" customHeight="1">
      <c r="A125" s="221" t="s">
        <v>15</v>
      </c>
      <c r="B125" s="221"/>
      <c r="C125" s="221"/>
      <c r="D125" s="221"/>
      <c r="E125" s="221"/>
      <c r="F125" s="221"/>
      <c r="G125" s="221"/>
      <c r="H125" s="221"/>
      <c r="I125" s="221"/>
    </row>
    <row r="126" spans="1:9" ht="45" customHeight="1">
      <c r="A126" s="217" t="s">
        <v>16</v>
      </c>
      <c r="B126" s="217"/>
      <c r="C126" s="217"/>
      <c r="D126" s="217"/>
      <c r="E126" s="217"/>
      <c r="F126" s="217"/>
      <c r="G126" s="217"/>
      <c r="H126" s="217"/>
      <c r="I126" s="217"/>
    </row>
    <row r="127" spans="1:9" ht="30" customHeight="1">
      <c r="A127" s="217" t="s">
        <v>17</v>
      </c>
      <c r="B127" s="217"/>
      <c r="C127" s="217"/>
      <c r="D127" s="217"/>
      <c r="E127" s="217"/>
      <c r="F127" s="217"/>
      <c r="G127" s="217"/>
      <c r="H127" s="217"/>
      <c r="I127" s="217"/>
    </row>
    <row r="128" spans="1:9" ht="30" customHeight="1">
      <c r="A128" s="217" t="s">
        <v>21</v>
      </c>
      <c r="B128" s="217"/>
      <c r="C128" s="217"/>
      <c r="D128" s="217"/>
      <c r="E128" s="217"/>
      <c r="F128" s="217"/>
      <c r="G128" s="217"/>
      <c r="H128" s="217"/>
      <c r="I128" s="217"/>
    </row>
    <row r="129" spans="1:9" ht="15" customHeight="1">
      <c r="A129" s="217" t="s">
        <v>20</v>
      </c>
      <c r="B129" s="217"/>
      <c r="C129" s="217"/>
      <c r="D129" s="217"/>
      <c r="E129" s="217"/>
      <c r="F129" s="217"/>
      <c r="G129" s="217"/>
      <c r="H129" s="217"/>
      <c r="I129" s="217"/>
    </row>
  </sheetData>
  <autoFilter ref="I12:I57"/>
  <mergeCells count="29"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  <mergeCell ref="A115:I115"/>
    <mergeCell ref="A15:I15"/>
    <mergeCell ref="A46:I46"/>
    <mergeCell ref="A92:I92"/>
    <mergeCell ref="A109:I109"/>
    <mergeCell ref="B110:G110"/>
    <mergeCell ref="B111:G111"/>
    <mergeCell ref="A113:I113"/>
    <mergeCell ref="A114:I114"/>
    <mergeCell ref="A88:I88"/>
    <mergeCell ref="R62:U62"/>
    <mergeCell ref="A3:I3"/>
    <mergeCell ref="A4:I4"/>
    <mergeCell ref="A5:I5"/>
    <mergeCell ref="A8:I8"/>
    <mergeCell ref="A10:I10"/>
    <mergeCell ref="A14:I14"/>
    <mergeCell ref="A28:I28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5"/>
  <sheetViews>
    <sheetView view="pageBreakPreview" topLeftCell="A91" zoomScale="60" workbookViewId="0">
      <selection activeCell="G102" sqref="G102"/>
    </sheetView>
  </sheetViews>
  <sheetFormatPr defaultRowHeight="15"/>
  <cols>
    <col min="2" max="2" width="51.140625" customWidth="1"/>
    <col min="3" max="3" width="17.85546875" customWidth="1"/>
    <col min="4" max="4" width="18.42578125" customWidth="1"/>
    <col min="5" max="6" width="0" hidden="1" customWidth="1"/>
    <col min="7" max="7" width="18.140625" customWidth="1"/>
    <col min="8" max="8" width="0" hidden="1" customWidth="1"/>
    <col min="9" max="9" width="23.85546875" customWidth="1"/>
  </cols>
  <sheetData>
    <row r="1" spans="1:9" ht="15.75">
      <c r="A1" s="27" t="s">
        <v>90</v>
      </c>
      <c r="I1" s="26"/>
    </row>
    <row r="2" spans="1:9" ht="15.75">
      <c r="A2" s="28" t="s">
        <v>63</v>
      </c>
    </row>
    <row r="3" spans="1:9" ht="15.75">
      <c r="A3" s="199" t="s">
        <v>242</v>
      </c>
      <c r="B3" s="199"/>
      <c r="C3" s="199"/>
      <c r="D3" s="199"/>
      <c r="E3" s="199"/>
      <c r="F3" s="199"/>
      <c r="G3" s="199"/>
      <c r="H3" s="199"/>
      <c r="I3" s="199"/>
    </row>
    <row r="4" spans="1:9" ht="36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241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16"/>
      <c r="C6" s="116"/>
      <c r="D6" s="116"/>
      <c r="E6" s="116"/>
      <c r="F6" s="116"/>
      <c r="G6" s="116"/>
      <c r="H6" s="116"/>
      <c r="I6" s="148">
        <v>43220</v>
      </c>
    </row>
    <row r="7" spans="1:9" ht="15.75">
      <c r="B7" s="114"/>
      <c r="C7" s="114"/>
      <c r="D7" s="114"/>
      <c r="E7" s="3"/>
      <c r="F7" s="3"/>
      <c r="G7" s="3"/>
      <c r="H7" s="3"/>
    </row>
    <row r="8" spans="1:9" ht="105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51.7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72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v>0</v>
      </c>
    </row>
    <row r="20" spans="1:9" hidden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v>0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v>0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v>0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v>0</v>
      </c>
    </row>
    <row r="26" spans="1:9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idden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idden="1">
      <c r="A30" s="29">
        <v>7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/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7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idden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idden="1">
      <c r="A34" s="29">
        <v>16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45.75" customHeight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 ht="19.5" customHeight="1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t="26.25" hidden="1" customHeight="1">
      <c r="A47" s="29"/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t="24.75" hidden="1" customHeight="1">
      <c r="A48" s="29">
        <v>14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t="25.5" hidden="1" customHeight="1">
      <c r="A49" s="29"/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t="21" hidden="1" customHeight="1">
      <c r="A50" s="29"/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t="19.5" hidden="1" customHeight="1">
      <c r="A51" s="29"/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36.75" customHeight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9" customHeight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t="21.75" customHeight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t="20.25" hidden="1" customHeight="1">
      <c r="A55" s="29">
        <v>15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30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</row>
    <row r="62" spans="1:9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>
      <c r="A64" s="29">
        <v>18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>
      <c r="A66" s="29">
        <v>19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/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19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/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20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/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idden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29.25" customHeight="1">
      <c r="A74" s="29">
        <v>20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>
      <c r="A75" s="29"/>
      <c r="B75" s="117" t="s">
        <v>218</v>
      </c>
      <c r="C75" s="16"/>
      <c r="D75" s="14"/>
      <c r="E75" s="18"/>
      <c r="F75" s="58"/>
      <c r="G75" s="13"/>
      <c r="H75" s="65"/>
      <c r="I75" s="13"/>
    </row>
    <row r="76" spans="1:9" ht="30.75" customHeight="1">
      <c r="A76" s="29">
        <v>21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0">
      <c r="A77" s="29">
        <v>22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17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17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>
      <c r="A89" s="118">
        <v>23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0">
      <c r="A90" s="29">
        <v>24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15"/>
      <c r="B91" s="34" t="s">
        <v>83</v>
      </c>
      <c r="C91" s="35"/>
      <c r="D91" s="15"/>
      <c r="E91" s="15"/>
      <c r="F91" s="15"/>
      <c r="G91" s="18"/>
      <c r="H91" s="18"/>
      <c r="I91" s="31">
        <f>I90+I89+I77+I74+I66+I64+I59+I58+I54+I53+I52+I45+I44+I43+I42+I40+I39+I38+I27+I26+I18+I17+I16+I76</f>
        <v>145738.09724096669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25</v>
      </c>
      <c r="B93" s="94" t="s">
        <v>234</v>
      </c>
      <c r="C93" s="106" t="s">
        <v>116</v>
      </c>
      <c r="D93" s="42"/>
      <c r="E93" s="33"/>
      <c r="F93" s="33">
        <v>10</v>
      </c>
      <c r="G93" s="33">
        <v>3413.41</v>
      </c>
      <c r="H93" s="92">
        <f t="shared" ref="H93:H96" si="12">G93*F93/1000</f>
        <v>34.134099999999997</v>
      </c>
      <c r="I93" s="47">
        <f>0.036*G93</f>
        <v>122.88275999999999</v>
      </c>
    </row>
    <row r="94" spans="1:9" ht="30">
      <c r="A94" s="29">
        <v>23</v>
      </c>
      <c r="B94" s="46" t="s">
        <v>178</v>
      </c>
      <c r="C94" s="64" t="s">
        <v>109</v>
      </c>
      <c r="D94" s="94"/>
      <c r="E94" s="33"/>
      <c r="F94" s="33">
        <v>2</v>
      </c>
      <c r="G94" s="33">
        <v>56.34</v>
      </c>
      <c r="H94" s="92">
        <f t="shared" si="12"/>
        <v>0.11268</v>
      </c>
      <c r="I94" s="47">
        <f>G94*3</f>
        <v>169.02</v>
      </c>
    </row>
    <row r="95" spans="1:9" ht="30">
      <c r="A95" s="29">
        <v>27</v>
      </c>
      <c r="B95" s="46" t="s">
        <v>235</v>
      </c>
      <c r="C95" s="64" t="s">
        <v>236</v>
      </c>
      <c r="D95" s="42"/>
      <c r="E95" s="33"/>
      <c r="F95" s="33">
        <v>2</v>
      </c>
      <c r="G95" s="33">
        <v>326.04000000000002</v>
      </c>
      <c r="H95" s="92">
        <f t="shared" si="12"/>
        <v>0.65207999999999999</v>
      </c>
      <c r="I95" s="47">
        <f>G95*1</f>
        <v>326.04000000000002</v>
      </c>
    </row>
    <row r="96" spans="1:9">
      <c r="A96" s="29">
        <v>28</v>
      </c>
      <c r="B96" s="46" t="s">
        <v>237</v>
      </c>
      <c r="C96" s="64" t="s">
        <v>132</v>
      </c>
      <c r="D96" s="42"/>
      <c r="E96" s="33"/>
      <c r="F96" s="33">
        <v>8</v>
      </c>
      <c r="G96" s="33">
        <v>1503.2</v>
      </c>
      <c r="H96" s="92">
        <f t="shared" si="12"/>
        <v>12.025600000000001</v>
      </c>
      <c r="I96" s="47">
        <f>G96*1</f>
        <v>1503.2</v>
      </c>
    </row>
    <row r="97" spans="1:9" ht="30">
      <c r="A97" s="29">
        <v>29</v>
      </c>
      <c r="B97" s="46" t="s">
        <v>160</v>
      </c>
      <c r="C97" s="64" t="s">
        <v>38</v>
      </c>
      <c r="D97" s="94"/>
      <c r="E97" s="33"/>
      <c r="F97" s="33">
        <v>2</v>
      </c>
      <c r="G97" s="33">
        <v>3724.37</v>
      </c>
      <c r="H97" s="92">
        <f>G97*F97/1000</f>
        <v>7.4487399999999999</v>
      </c>
      <c r="I97" s="47">
        <f>G97*0.02</f>
        <v>74.487399999999994</v>
      </c>
    </row>
    <row r="98" spans="1:9">
      <c r="A98" s="29">
        <v>30</v>
      </c>
      <c r="B98" s="46" t="s">
        <v>197</v>
      </c>
      <c r="C98" s="64" t="s">
        <v>165</v>
      </c>
      <c r="D98" s="95"/>
      <c r="E98" s="17"/>
      <c r="F98" s="33">
        <v>1</v>
      </c>
      <c r="G98" s="33">
        <v>7709.44</v>
      </c>
      <c r="H98" s="92">
        <f>G98*F98/1000</f>
        <v>7.7094399999999998</v>
      </c>
      <c r="I98" s="47">
        <f>G98*0.01</f>
        <v>77.094399999999993</v>
      </c>
    </row>
    <row r="99" spans="1:9" ht="30">
      <c r="A99" s="29">
        <v>31</v>
      </c>
      <c r="B99" s="46" t="s">
        <v>82</v>
      </c>
      <c r="C99" s="64" t="s">
        <v>132</v>
      </c>
      <c r="D99" s="94"/>
      <c r="E99" s="33"/>
      <c r="F99" s="33">
        <v>1</v>
      </c>
      <c r="G99" s="33">
        <v>86.69</v>
      </c>
      <c r="H99" s="92">
        <f t="shared" ref="H99" si="13">G99*F99/1000</f>
        <v>8.6690000000000003E-2</v>
      </c>
      <c r="I99" s="47">
        <f>G99*1</f>
        <v>86.69</v>
      </c>
    </row>
    <row r="100" spans="1:9">
      <c r="A100" s="29">
        <v>32</v>
      </c>
      <c r="B100" s="46" t="s">
        <v>238</v>
      </c>
      <c r="C100" s="147" t="s">
        <v>239</v>
      </c>
      <c r="D100" s="94"/>
      <c r="E100" s="33"/>
      <c r="F100" s="33">
        <v>2</v>
      </c>
      <c r="G100" s="33">
        <v>5305.13</v>
      </c>
      <c r="H100" s="92">
        <f>G100*F100/1000</f>
        <v>10.61026</v>
      </c>
      <c r="I100" s="47">
        <f>G100*1</f>
        <v>5305.13</v>
      </c>
    </row>
    <row r="101" spans="1:9">
      <c r="A101" s="29">
        <v>33</v>
      </c>
      <c r="B101" s="48" t="s">
        <v>157</v>
      </c>
      <c r="C101" s="93" t="s">
        <v>239</v>
      </c>
      <c r="D101" s="94"/>
      <c r="E101" s="33"/>
      <c r="F101" s="33">
        <v>0.02</v>
      </c>
      <c r="G101" s="33">
        <v>19.73</v>
      </c>
      <c r="H101" s="92">
        <f>G101*F101/1000</f>
        <v>3.946E-4</v>
      </c>
      <c r="I101" s="47">
        <f>G101*10</f>
        <v>197.3</v>
      </c>
    </row>
    <row r="102" spans="1:9">
      <c r="A102" s="29"/>
      <c r="B102" s="40" t="s">
        <v>52</v>
      </c>
      <c r="C102" s="36"/>
      <c r="D102" s="44"/>
      <c r="E102" s="36">
        <v>1</v>
      </c>
      <c r="F102" s="36"/>
      <c r="G102" s="36"/>
      <c r="H102" s="36"/>
      <c r="I102" s="31">
        <f>I101+I100+I99+I98+I97+I96+I95+I94+I93</f>
        <v>7861.8445600000005</v>
      </c>
    </row>
    <row r="103" spans="1:9">
      <c r="A103" s="29"/>
      <c r="B103" s="42" t="s">
        <v>81</v>
      </c>
      <c r="C103" s="15"/>
      <c r="D103" s="15"/>
      <c r="E103" s="37"/>
      <c r="F103" s="37"/>
      <c r="G103" s="38"/>
      <c r="H103" s="38"/>
      <c r="I103" s="17">
        <v>0</v>
      </c>
    </row>
    <row r="104" spans="1:9">
      <c r="A104" s="45"/>
      <c r="B104" s="41" t="s">
        <v>191</v>
      </c>
      <c r="C104" s="32"/>
      <c r="D104" s="32"/>
      <c r="E104" s="32"/>
      <c r="F104" s="32"/>
      <c r="G104" s="32"/>
      <c r="H104" s="32"/>
      <c r="I104" s="39">
        <f>I91+I102</f>
        <v>153599.94180096668</v>
      </c>
    </row>
    <row r="105" spans="1:9" ht="15.75">
      <c r="A105" s="213" t="s">
        <v>249</v>
      </c>
      <c r="B105" s="213"/>
      <c r="C105" s="213"/>
      <c r="D105" s="213"/>
      <c r="E105" s="213"/>
      <c r="F105" s="213"/>
      <c r="G105" s="213"/>
      <c r="H105" s="213"/>
      <c r="I105" s="213"/>
    </row>
    <row r="106" spans="1:9" ht="15.75">
      <c r="A106" s="57"/>
      <c r="B106" s="214" t="s">
        <v>240</v>
      </c>
      <c r="C106" s="214"/>
      <c r="D106" s="214"/>
      <c r="E106" s="214"/>
      <c r="F106" s="214"/>
      <c r="G106" s="214"/>
      <c r="H106" s="62"/>
      <c r="I106" s="3"/>
    </row>
    <row r="107" spans="1:9">
      <c r="A107" s="113"/>
      <c r="B107" s="215" t="s">
        <v>6</v>
      </c>
      <c r="C107" s="215"/>
      <c r="D107" s="215"/>
      <c r="E107" s="215"/>
      <c r="F107" s="215"/>
      <c r="G107" s="215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16" t="s">
        <v>7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15.75">
      <c r="A110" s="216" t="s">
        <v>8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15.75">
      <c r="A111" s="205" t="s">
        <v>62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15.75">
      <c r="A112" s="11"/>
    </row>
    <row r="113" spans="1:9" ht="15.75">
      <c r="A113" s="218" t="s">
        <v>9</v>
      </c>
      <c r="B113" s="218"/>
      <c r="C113" s="218"/>
      <c r="D113" s="218"/>
      <c r="E113" s="218"/>
      <c r="F113" s="218"/>
      <c r="G113" s="218"/>
      <c r="H113" s="218"/>
      <c r="I113" s="218"/>
    </row>
    <row r="114" spans="1:9" ht="15.75">
      <c r="A114" s="4"/>
    </row>
    <row r="115" spans="1:9" ht="15.75">
      <c r="B115" s="114" t="s">
        <v>10</v>
      </c>
      <c r="C115" s="219" t="s">
        <v>93</v>
      </c>
      <c r="D115" s="219"/>
      <c r="E115" s="219"/>
      <c r="F115" s="60"/>
      <c r="I115" s="112"/>
    </row>
    <row r="116" spans="1:9">
      <c r="A116" s="113"/>
      <c r="C116" s="215" t="s">
        <v>11</v>
      </c>
      <c r="D116" s="215"/>
      <c r="E116" s="215"/>
      <c r="F116" s="24"/>
      <c r="I116" s="111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114" t="s">
        <v>13</v>
      </c>
      <c r="C118" s="220"/>
      <c r="D118" s="220"/>
      <c r="E118" s="220"/>
      <c r="F118" s="61"/>
      <c r="I118" s="112"/>
    </row>
    <row r="119" spans="1:9">
      <c r="A119" s="113"/>
      <c r="C119" s="195" t="s">
        <v>11</v>
      </c>
      <c r="D119" s="195"/>
      <c r="E119" s="195"/>
      <c r="F119" s="113"/>
      <c r="I119" s="111" t="s">
        <v>12</v>
      </c>
    </row>
    <row r="120" spans="1:9" ht="15.75">
      <c r="A120" s="4" t="s">
        <v>14</v>
      </c>
    </row>
    <row r="121" spans="1:9">
      <c r="A121" s="221" t="s">
        <v>15</v>
      </c>
      <c r="B121" s="221"/>
      <c r="C121" s="221"/>
      <c r="D121" s="221"/>
      <c r="E121" s="221"/>
      <c r="F121" s="221"/>
      <c r="G121" s="221"/>
      <c r="H121" s="221"/>
      <c r="I121" s="221"/>
    </row>
    <row r="122" spans="1:9" ht="50.25" customHeight="1">
      <c r="A122" s="217" t="s">
        <v>16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42.75" customHeight="1">
      <c r="A123" s="217" t="s">
        <v>17</v>
      </c>
      <c r="B123" s="217"/>
      <c r="C123" s="217"/>
      <c r="D123" s="217"/>
      <c r="E123" s="217"/>
      <c r="F123" s="217"/>
      <c r="G123" s="217"/>
      <c r="H123" s="217"/>
      <c r="I123" s="217"/>
    </row>
    <row r="124" spans="1:9" ht="40.5" customHeight="1">
      <c r="A124" s="217" t="s">
        <v>21</v>
      </c>
      <c r="B124" s="217"/>
      <c r="C124" s="217"/>
      <c r="D124" s="217"/>
      <c r="E124" s="217"/>
      <c r="F124" s="217"/>
      <c r="G124" s="217"/>
      <c r="H124" s="217"/>
      <c r="I124" s="217"/>
    </row>
    <row r="125" spans="1:9" ht="15.75">
      <c r="A125" s="217" t="s">
        <v>20</v>
      </c>
      <c r="B125" s="217"/>
      <c r="C125" s="217"/>
      <c r="D125" s="217"/>
      <c r="E125" s="217"/>
      <c r="F125" s="217"/>
      <c r="G125" s="217"/>
      <c r="H125" s="217"/>
      <c r="I125" s="217"/>
    </row>
  </sheetData>
  <mergeCells count="28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8:I28"/>
    <mergeCell ref="A46:I46"/>
    <mergeCell ref="A56:I56"/>
    <mergeCell ref="A88:I88"/>
    <mergeCell ref="A92:I92"/>
    <mergeCell ref="A105:I105"/>
    <mergeCell ref="B106:G106"/>
    <mergeCell ref="B107:G107"/>
    <mergeCell ref="A109:I109"/>
    <mergeCell ref="A110:I110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5"/>
  <sheetViews>
    <sheetView view="pageBreakPreview" topLeftCell="A91" zoomScale="60" workbookViewId="0">
      <selection activeCell="L111" sqref="L111"/>
    </sheetView>
  </sheetViews>
  <sheetFormatPr defaultRowHeight="15"/>
  <cols>
    <col min="1" max="1" width="14.85546875" customWidth="1"/>
    <col min="2" max="2" width="46.85546875" customWidth="1"/>
    <col min="3" max="3" width="17.5703125" customWidth="1"/>
    <col min="4" max="4" width="18.5703125" customWidth="1"/>
    <col min="5" max="5" width="0" hidden="1" customWidth="1"/>
    <col min="6" max="6" width="8.85546875" hidden="1" customWidth="1"/>
    <col min="7" max="7" width="18.140625" customWidth="1"/>
    <col min="8" max="8" width="0" hidden="1" customWidth="1"/>
    <col min="9" max="9" width="18.42578125" customWidth="1"/>
  </cols>
  <sheetData>
    <row r="1" spans="1:9" ht="15.75">
      <c r="A1" s="27" t="s">
        <v>90</v>
      </c>
      <c r="I1" s="26"/>
    </row>
    <row r="2" spans="1:9" ht="15.75">
      <c r="A2" s="28" t="s">
        <v>63</v>
      </c>
    </row>
    <row r="3" spans="1:9" ht="15.75">
      <c r="A3" s="199" t="s">
        <v>247</v>
      </c>
      <c r="B3" s="199"/>
      <c r="C3" s="199"/>
      <c r="D3" s="199"/>
      <c r="E3" s="199"/>
      <c r="F3" s="199"/>
      <c r="G3" s="199"/>
      <c r="H3" s="199"/>
      <c r="I3" s="199"/>
    </row>
    <row r="4" spans="1:9" ht="33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243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38"/>
      <c r="C6" s="138"/>
      <c r="D6" s="138"/>
      <c r="E6" s="138"/>
      <c r="F6" s="138"/>
      <c r="G6" s="138"/>
      <c r="H6" s="138"/>
      <c r="I6" s="148">
        <v>43251</v>
      </c>
    </row>
    <row r="7" spans="1:9" ht="15.75">
      <c r="B7" s="136"/>
      <c r="C7" s="136"/>
      <c r="D7" s="136"/>
      <c r="E7" s="3"/>
      <c r="F7" s="3"/>
      <c r="G7" s="3"/>
      <c r="H7" s="3"/>
    </row>
    <row r="8" spans="1:9" ht="87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5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9.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5.7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7.2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t="15.75" customHeight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t="18.75" customHeight="1">
      <c r="A20" s="29">
        <v>5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t="17.25" customHeight="1">
      <c r="A21" s="29">
        <v>6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t="14.25" customHeight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t="17.25" customHeight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2.25" customHeight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t="18.75" customHeight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20.25" customHeight="1">
      <c r="A26" s="29">
        <v>11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12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8.75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18.75" customHeight="1">
      <c r="A30" s="29">
        <v>13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6.5" customHeight="1">
      <c r="A31" s="29">
        <v>14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t="19.5" customHeight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15.75" customHeight="1">
      <c r="A33" s="29">
        <v>16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8" customHeight="1">
      <c r="A34" s="29">
        <v>17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t="16.5" hidden="1" customHeight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t="18" hidden="1" customHeight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t="19.5" hidden="1" customHeight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t="20.25" hidden="1" customHeight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t="18.75" hidden="1" customHeight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.75" hidden="1" customHeight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20.25" hidden="1" customHeight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t="18.75" customHeight="1">
      <c r="A47" s="29">
        <v>18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>
      <c r="A48" s="29">
        <v>19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>
      <c r="A49" s="29">
        <v>20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t="21" customHeight="1">
      <c r="A50" s="29">
        <v>21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t="21" customHeight="1">
      <c r="A51" s="29">
        <v>22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0.5" hidden="1" customHeight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15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 hidden="1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</row>
    <row r="62" spans="1:9" ht="17.2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t="16.5" hidden="1" customHeight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>
      <c r="A64" s="29">
        <v>23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8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idden="1">
      <c r="A66" s="29">
        <v>19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t="20.25" customHeight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t="18.75" customHeight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t="17.25" customHeight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t="20.25" customHeight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t="15.75" hidden="1" customHeight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3.75" customHeight="1">
      <c r="A74" s="29">
        <v>29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8" customHeight="1">
      <c r="A75" s="29"/>
      <c r="B75" s="139" t="s">
        <v>218</v>
      </c>
      <c r="C75" s="16"/>
      <c r="D75" s="14"/>
      <c r="E75" s="18"/>
      <c r="F75" s="58"/>
      <c r="G75" s="13"/>
      <c r="H75" s="65"/>
      <c r="I75" s="13"/>
    </row>
    <row r="76" spans="1:9" ht="33.75" customHeight="1">
      <c r="A76" s="29">
        <v>30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6" customHeight="1">
      <c r="A77" s="29">
        <v>31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39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39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 ht="21" customHeight="1">
      <c r="A89" s="118">
        <v>32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6.75" customHeight="1">
      <c r="A90" s="29">
        <v>33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37"/>
      <c r="B91" s="34" t="s">
        <v>83</v>
      </c>
      <c r="C91" s="35"/>
      <c r="D91" s="15"/>
      <c r="E91" s="15"/>
      <c r="F91" s="15"/>
      <c r="G91" s="18"/>
      <c r="H91" s="18"/>
      <c r="I91" s="31">
        <f>I90+I89+I77+I76+I74+I72+I71+I70+I69+I68+I64+I51+I50+I49+I48+I47+I34+I33+I32+I31+I30+I27+I26+I25+I24+I23+I22+I21+I20+I19+I18+I17+I16</f>
        <v>322409.78693422227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 ht="30">
      <c r="A93" s="29">
        <v>34</v>
      </c>
      <c r="B93" s="48" t="s">
        <v>179</v>
      </c>
      <c r="C93" s="110" t="s">
        <v>102</v>
      </c>
      <c r="D93" s="42" t="s">
        <v>244</v>
      </c>
      <c r="E93" s="33"/>
      <c r="F93" s="33">
        <v>10</v>
      </c>
      <c r="G93" s="33">
        <v>9773.7000000000007</v>
      </c>
      <c r="H93" s="92">
        <f t="shared" ref="H93:H96" si="12">G93*F93/1000</f>
        <v>97.736999999999995</v>
      </c>
      <c r="I93" s="47">
        <f>G93*0.12</f>
        <v>1172.8440000000001</v>
      </c>
    </row>
    <row r="94" spans="1:9" ht="31.5" customHeight="1">
      <c r="A94" s="29">
        <v>35</v>
      </c>
      <c r="B94" s="46" t="s">
        <v>160</v>
      </c>
      <c r="C94" s="64" t="s">
        <v>38</v>
      </c>
      <c r="D94" s="94"/>
      <c r="E94" s="33"/>
      <c r="F94" s="33">
        <v>2</v>
      </c>
      <c r="G94" s="33">
        <v>3724.37</v>
      </c>
      <c r="H94" s="92">
        <f t="shared" si="12"/>
        <v>7.4487399999999999</v>
      </c>
      <c r="I94" s="47">
        <f>G94*0.01</f>
        <v>37.243699999999997</v>
      </c>
    </row>
    <row r="95" spans="1:9">
      <c r="A95" s="29">
        <v>36</v>
      </c>
      <c r="B95" s="48" t="s">
        <v>245</v>
      </c>
      <c r="C95" s="93" t="s">
        <v>132</v>
      </c>
      <c r="D95" s="42"/>
      <c r="E95" s="33"/>
      <c r="F95" s="33">
        <v>2</v>
      </c>
      <c r="G95" s="33">
        <v>164.03</v>
      </c>
      <c r="H95" s="92">
        <f t="shared" si="12"/>
        <v>0.32806000000000002</v>
      </c>
      <c r="I95" s="47">
        <f>G95</f>
        <v>164.03</v>
      </c>
    </row>
    <row r="96" spans="1:9">
      <c r="A96" s="29">
        <v>37</v>
      </c>
      <c r="B96" s="46" t="s">
        <v>238</v>
      </c>
      <c r="C96" s="64" t="s">
        <v>239</v>
      </c>
      <c r="D96" s="42"/>
      <c r="E96" s="33"/>
      <c r="F96" s="33">
        <v>8</v>
      </c>
      <c r="G96" s="149">
        <v>91.67</v>
      </c>
      <c r="H96" s="92">
        <f t="shared" si="12"/>
        <v>0.73336000000000001</v>
      </c>
      <c r="I96" s="47">
        <f>G96</f>
        <v>91.67</v>
      </c>
    </row>
    <row r="97" spans="1:9">
      <c r="A97" s="29">
        <v>38</v>
      </c>
      <c r="B97" s="48" t="s">
        <v>157</v>
      </c>
      <c r="C97" s="93" t="s">
        <v>239</v>
      </c>
      <c r="D97" s="94"/>
      <c r="E97" s="33"/>
      <c r="F97" s="33">
        <v>2</v>
      </c>
      <c r="G97" s="33">
        <v>19.73</v>
      </c>
      <c r="H97" s="92">
        <f>G97*F97/1000</f>
        <v>3.9460000000000002E-2</v>
      </c>
      <c r="I97" s="47">
        <f>G97*1</f>
        <v>19.73</v>
      </c>
    </row>
    <row r="98" spans="1:9" hidden="1">
      <c r="A98" s="29">
        <v>30</v>
      </c>
      <c r="B98" s="46"/>
      <c r="C98" s="64"/>
      <c r="D98" s="95"/>
      <c r="E98" s="17"/>
      <c r="F98" s="33">
        <v>1</v>
      </c>
      <c r="G98" s="33"/>
      <c r="H98" s="92">
        <f>G98*F98/1000</f>
        <v>0</v>
      </c>
      <c r="I98" s="47"/>
    </row>
    <row r="99" spans="1:9" hidden="1">
      <c r="A99" s="29">
        <v>31</v>
      </c>
      <c r="B99" s="46"/>
      <c r="C99" s="64"/>
      <c r="D99" s="94"/>
      <c r="E99" s="33"/>
      <c r="F99" s="33">
        <v>1</v>
      </c>
      <c r="G99" s="33"/>
      <c r="H99" s="92">
        <f t="shared" ref="H99" si="13">G99*F99/1000</f>
        <v>0</v>
      </c>
      <c r="I99" s="47"/>
    </row>
    <row r="100" spans="1:9" hidden="1">
      <c r="A100" s="29">
        <v>32</v>
      </c>
      <c r="B100" s="46"/>
      <c r="C100" s="147"/>
      <c r="D100" s="94"/>
      <c r="E100" s="33"/>
      <c r="F100" s="33">
        <v>2</v>
      </c>
      <c r="G100" s="33"/>
      <c r="H100" s="92">
        <f>G100*F100/1000</f>
        <v>0</v>
      </c>
      <c r="I100" s="47"/>
    </row>
    <row r="101" spans="1:9" hidden="1">
      <c r="A101" s="29">
        <v>33</v>
      </c>
      <c r="B101" s="48"/>
      <c r="C101" s="93"/>
      <c r="D101" s="94"/>
      <c r="E101" s="33"/>
      <c r="F101" s="33">
        <v>0.02</v>
      </c>
      <c r="G101" s="33"/>
      <c r="H101" s="92">
        <f>G101*F101/1000</f>
        <v>0</v>
      </c>
      <c r="I101" s="47"/>
    </row>
    <row r="102" spans="1:9">
      <c r="A102" s="29"/>
      <c r="B102" s="40" t="s">
        <v>52</v>
      </c>
      <c r="C102" s="36"/>
      <c r="D102" s="44"/>
      <c r="E102" s="36">
        <v>1</v>
      </c>
      <c r="F102" s="36"/>
      <c r="G102" s="36"/>
      <c r="H102" s="36"/>
      <c r="I102" s="31">
        <f>SUM(I93:I101)</f>
        <v>1485.5177000000001</v>
      </c>
    </row>
    <row r="103" spans="1:9">
      <c r="A103" s="29"/>
      <c r="B103" s="42" t="s">
        <v>81</v>
      </c>
      <c r="C103" s="15"/>
      <c r="D103" s="15"/>
      <c r="E103" s="37"/>
      <c r="F103" s="37"/>
      <c r="G103" s="38"/>
      <c r="H103" s="38"/>
      <c r="I103" s="17">
        <v>0</v>
      </c>
    </row>
    <row r="104" spans="1:9">
      <c r="A104" s="45"/>
      <c r="B104" s="41" t="s">
        <v>191</v>
      </c>
      <c r="C104" s="32"/>
      <c r="D104" s="32"/>
      <c r="E104" s="32"/>
      <c r="F104" s="32"/>
      <c r="G104" s="32"/>
      <c r="H104" s="32"/>
      <c r="I104" s="39">
        <f>I91+I102</f>
        <v>323895.3046342223</v>
      </c>
    </row>
    <row r="105" spans="1:9" ht="15.75">
      <c r="A105" s="213" t="s">
        <v>248</v>
      </c>
      <c r="B105" s="213"/>
      <c r="C105" s="213"/>
      <c r="D105" s="213"/>
      <c r="E105" s="213"/>
      <c r="F105" s="213"/>
      <c r="G105" s="213"/>
      <c r="H105" s="213"/>
      <c r="I105" s="213"/>
    </row>
    <row r="106" spans="1:9" ht="15.75">
      <c r="A106" s="57"/>
      <c r="B106" s="214" t="s">
        <v>246</v>
      </c>
      <c r="C106" s="214"/>
      <c r="D106" s="214"/>
      <c r="E106" s="214"/>
      <c r="F106" s="214"/>
      <c r="G106" s="214"/>
      <c r="H106" s="62"/>
      <c r="I106" s="3"/>
    </row>
    <row r="107" spans="1:9">
      <c r="A107" s="135"/>
      <c r="B107" s="215" t="s">
        <v>6</v>
      </c>
      <c r="C107" s="215"/>
      <c r="D107" s="215"/>
      <c r="E107" s="215"/>
      <c r="F107" s="215"/>
      <c r="G107" s="215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16" t="s">
        <v>7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15.75">
      <c r="A110" s="216" t="s">
        <v>8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15.75">
      <c r="A111" s="205" t="s">
        <v>62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15.75">
      <c r="A112" s="11"/>
    </row>
    <row r="113" spans="1:9" ht="15.75">
      <c r="A113" s="218" t="s">
        <v>9</v>
      </c>
      <c r="B113" s="218"/>
      <c r="C113" s="218"/>
      <c r="D113" s="218"/>
      <c r="E113" s="218"/>
      <c r="F113" s="218"/>
      <c r="G113" s="218"/>
      <c r="H113" s="218"/>
      <c r="I113" s="218"/>
    </row>
    <row r="114" spans="1:9" ht="15.75">
      <c r="A114" s="4"/>
    </row>
    <row r="115" spans="1:9" ht="15.75">
      <c r="B115" s="136" t="s">
        <v>10</v>
      </c>
      <c r="C115" s="219" t="s">
        <v>93</v>
      </c>
      <c r="D115" s="219"/>
      <c r="E115" s="219"/>
      <c r="F115" s="60"/>
      <c r="I115" s="134"/>
    </row>
    <row r="116" spans="1:9">
      <c r="A116" s="135"/>
      <c r="C116" s="215" t="s">
        <v>11</v>
      </c>
      <c r="D116" s="215"/>
      <c r="E116" s="215"/>
      <c r="F116" s="24"/>
      <c r="I116" s="133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136" t="s">
        <v>13</v>
      </c>
      <c r="C118" s="220"/>
      <c r="D118" s="220"/>
      <c r="E118" s="220"/>
      <c r="F118" s="61"/>
      <c r="I118" s="134"/>
    </row>
    <row r="119" spans="1:9">
      <c r="A119" s="135"/>
      <c r="C119" s="195" t="s">
        <v>11</v>
      </c>
      <c r="D119" s="195"/>
      <c r="E119" s="195"/>
      <c r="F119" s="135"/>
      <c r="I119" s="133" t="s">
        <v>12</v>
      </c>
    </row>
    <row r="120" spans="1:9" ht="15.75">
      <c r="A120" s="4" t="s">
        <v>14</v>
      </c>
    </row>
    <row r="121" spans="1:9">
      <c r="A121" s="221" t="s">
        <v>15</v>
      </c>
      <c r="B121" s="221"/>
      <c r="C121" s="221"/>
      <c r="D121" s="221"/>
      <c r="E121" s="221"/>
      <c r="F121" s="221"/>
      <c r="G121" s="221"/>
      <c r="H121" s="221"/>
      <c r="I121" s="221"/>
    </row>
    <row r="122" spans="1:9" ht="34.5" customHeight="1">
      <c r="A122" s="217" t="s">
        <v>16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36.75" customHeight="1">
      <c r="A123" s="217" t="s">
        <v>17</v>
      </c>
      <c r="B123" s="217"/>
      <c r="C123" s="217"/>
      <c r="D123" s="217"/>
      <c r="E123" s="217"/>
      <c r="F123" s="217"/>
      <c r="G123" s="217"/>
      <c r="H123" s="217"/>
      <c r="I123" s="217"/>
    </row>
    <row r="124" spans="1:9" ht="38.25" customHeight="1">
      <c r="A124" s="217" t="s">
        <v>21</v>
      </c>
      <c r="B124" s="217"/>
      <c r="C124" s="217"/>
      <c r="D124" s="217"/>
      <c r="E124" s="217"/>
      <c r="F124" s="217"/>
      <c r="G124" s="217"/>
      <c r="H124" s="217"/>
      <c r="I124" s="217"/>
    </row>
    <row r="125" spans="1:9" ht="27.75" customHeight="1">
      <c r="A125" s="217" t="s">
        <v>20</v>
      </c>
      <c r="B125" s="217"/>
      <c r="C125" s="217"/>
      <c r="D125" s="217"/>
      <c r="E125" s="217"/>
      <c r="F125" s="217"/>
      <c r="G125" s="217"/>
      <c r="H125" s="217"/>
      <c r="I125" s="217"/>
    </row>
  </sheetData>
  <mergeCells count="28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8:I28"/>
    <mergeCell ref="A46:I46"/>
    <mergeCell ref="A56:I56"/>
    <mergeCell ref="A88:I88"/>
    <mergeCell ref="A92:I92"/>
    <mergeCell ref="A105:I105"/>
    <mergeCell ref="B106:G106"/>
    <mergeCell ref="B107:G107"/>
    <mergeCell ref="A109:I109"/>
    <mergeCell ref="A110:I110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0"/>
  <sheetViews>
    <sheetView topLeftCell="A88" workbookViewId="0">
      <selection activeCell="A118" sqref="A118:I118"/>
    </sheetView>
  </sheetViews>
  <sheetFormatPr defaultRowHeight="15"/>
  <cols>
    <col min="1" max="1" width="12.5703125" customWidth="1"/>
    <col min="2" max="2" width="48.7109375" customWidth="1"/>
    <col min="3" max="3" width="18.5703125" customWidth="1"/>
    <col min="4" max="4" width="18.42578125" customWidth="1"/>
    <col min="5" max="6" width="0" hidden="1" customWidth="1"/>
    <col min="7" max="7" width="18" customWidth="1"/>
    <col min="8" max="8" width="0" hidden="1" customWidth="1"/>
    <col min="9" max="9" width="17.7109375" customWidth="1"/>
  </cols>
  <sheetData>
    <row r="1" spans="1:9" ht="15.75">
      <c r="A1" s="27" t="s">
        <v>90</v>
      </c>
      <c r="I1" s="26"/>
    </row>
    <row r="2" spans="1:9" ht="15.75">
      <c r="A2" s="28" t="s">
        <v>63</v>
      </c>
    </row>
    <row r="3" spans="1:9" ht="15.75">
      <c r="A3" s="199" t="s">
        <v>251</v>
      </c>
      <c r="B3" s="199"/>
      <c r="C3" s="199"/>
      <c r="D3" s="199"/>
      <c r="E3" s="199"/>
      <c r="F3" s="199"/>
      <c r="G3" s="199"/>
      <c r="H3" s="199"/>
      <c r="I3" s="199"/>
    </row>
    <row r="4" spans="1:9" ht="30.7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250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41"/>
      <c r="C6" s="141"/>
      <c r="D6" s="141"/>
      <c r="E6" s="141"/>
      <c r="F6" s="141"/>
      <c r="G6" s="141"/>
      <c r="H6" s="141"/>
      <c r="I6" s="148">
        <v>43281</v>
      </c>
    </row>
    <row r="7" spans="1:9" ht="15.75">
      <c r="B7" s="143"/>
      <c r="C7" s="143"/>
      <c r="D7" s="143"/>
      <c r="E7" s="3"/>
      <c r="F7" s="3"/>
      <c r="G7" s="3"/>
      <c r="H7" s="3"/>
    </row>
    <row r="8" spans="1:9" ht="60" customHeight="1">
      <c r="A8" s="202" t="s">
        <v>148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5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4.2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idden="1">
      <c r="A20" s="29">
        <v>5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20.25" customHeight="1">
      <c r="A26" s="29">
        <v>5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6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6.5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18" customHeight="1">
      <c r="A30" s="29">
        <v>7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33.75" customHeight="1">
      <c r="A31" s="29">
        <v>8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21" customHeight="1">
      <c r="A33" s="29">
        <v>9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5.75" customHeight="1">
      <c r="A34" s="29">
        <v>10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idden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idden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idden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" hidden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18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19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20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21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idden="1">
      <c r="A51" s="29">
        <v>22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t="20.25" customHeight="1">
      <c r="A55" s="29">
        <v>11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150</v>
      </c>
      <c r="B56" s="208"/>
      <c r="C56" s="208"/>
      <c r="D56" s="208"/>
      <c r="E56" s="208"/>
      <c r="F56" s="208"/>
      <c r="G56" s="208"/>
      <c r="H56" s="208"/>
      <c r="I56" s="209"/>
    </row>
    <row r="57" spans="1:9" hidden="1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</row>
    <row r="62" spans="1:9" ht="16.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8.75" customHeight="1">
      <c r="A64" s="29">
        <v>12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6.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idden="1">
      <c r="A66" s="29">
        <v>19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idden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3" customHeight="1">
      <c r="A74" s="29">
        <v>13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5" customHeight="1">
      <c r="A75" s="29"/>
      <c r="B75" s="142" t="s">
        <v>218</v>
      </c>
      <c r="C75" s="16"/>
      <c r="D75" s="14"/>
      <c r="E75" s="18"/>
      <c r="F75" s="58"/>
      <c r="G75" s="13"/>
      <c r="H75" s="65"/>
      <c r="I75" s="13"/>
    </row>
    <row r="76" spans="1:9" ht="31.5" customHeight="1">
      <c r="A76" s="29">
        <v>14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29.25" customHeight="1">
      <c r="A77" s="29">
        <v>15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42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42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151</v>
      </c>
      <c r="B88" s="197"/>
      <c r="C88" s="197"/>
      <c r="D88" s="197"/>
      <c r="E88" s="197"/>
      <c r="F88" s="197"/>
      <c r="G88" s="197"/>
      <c r="H88" s="197"/>
      <c r="I88" s="198"/>
    </row>
    <row r="89" spans="1:9" ht="19.5" customHeight="1">
      <c r="A89" s="118">
        <v>16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9" customHeight="1">
      <c r="A90" s="29">
        <v>17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44"/>
      <c r="B91" s="34" t="s">
        <v>83</v>
      </c>
      <c r="C91" s="35"/>
      <c r="D91" s="15"/>
      <c r="E91" s="15"/>
      <c r="F91" s="15"/>
      <c r="G91" s="18"/>
      <c r="H91" s="18"/>
      <c r="I91" s="31">
        <f>I90+I89+I77+I76+I74+I64+I55+I34+I33+I31+I30+I27+I26+I18+I17+I16</f>
        <v>137580.16506495557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 ht="20.25" customHeight="1">
      <c r="A93" s="29">
        <v>18</v>
      </c>
      <c r="B93" s="94" t="s">
        <v>234</v>
      </c>
      <c r="C93" s="106" t="s">
        <v>116</v>
      </c>
      <c r="D93" s="42"/>
      <c r="E93" s="33"/>
      <c r="F93" s="33">
        <v>10</v>
      </c>
      <c r="G93" s="33">
        <v>3413.41</v>
      </c>
      <c r="H93" s="92">
        <f t="shared" ref="H93:H96" si="12">G93*F93/1000</f>
        <v>34.134099999999997</v>
      </c>
      <c r="I93" s="47">
        <f>G93*0.06</f>
        <v>204.80459999999999</v>
      </c>
    </row>
    <row r="94" spans="1:9">
      <c r="A94" s="29">
        <v>19</v>
      </c>
      <c r="B94" s="48" t="s">
        <v>168</v>
      </c>
      <c r="C94" s="93" t="s">
        <v>87</v>
      </c>
      <c r="D94" s="94"/>
      <c r="E94" s="33"/>
      <c r="F94" s="33">
        <v>2</v>
      </c>
      <c r="G94" s="33">
        <v>203.68</v>
      </c>
      <c r="H94" s="92">
        <f t="shared" si="12"/>
        <v>0.40736</v>
      </c>
      <c r="I94" s="47">
        <f>G94*4</f>
        <v>814.72</v>
      </c>
    </row>
    <row r="95" spans="1:9">
      <c r="A95" s="29">
        <v>20</v>
      </c>
      <c r="B95" s="109" t="s">
        <v>252</v>
      </c>
      <c r="C95" s="93" t="s">
        <v>132</v>
      </c>
      <c r="D95" s="42"/>
      <c r="E95" s="33"/>
      <c r="F95" s="33">
        <v>2</v>
      </c>
      <c r="G95" s="33">
        <v>197.26</v>
      </c>
      <c r="H95" s="92">
        <f t="shared" si="12"/>
        <v>0.39451999999999998</v>
      </c>
      <c r="I95" s="47">
        <f>G95*1</f>
        <v>197.26</v>
      </c>
    </row>
    <row r="96" spans="1:9" ht="30">
      <c r="A96" s="29">
        <v>21</v>
      </c>
      <c r="B96" s="48" t="s">
        <v>253</v>
      </c>
      <c r="C96" s="93" t="s">
        <v>132</v>
      </c>
      <c r="D96" s="42"/>
      <c r="E96" s="33"/>
      <c r="F96" s="33">
        <v>8</v>
      </c>
      <c r="G96" s="33">
        <v>201.36</v>
      </c>
      <c r="H96" s="92">
        <f t="shared" si="12"/>
        <v>1.6108800000000001</v>
      </c>
      <c r="I96" s="47">
        <f>G96*1</f>
        <v>201.36</v>
      </c>
    </row>
    <row r="97" spans="1:9" ht="18" customHeight="1">
      <c r="A97" s="29"/>
      <c r="B97" s="40" t="s">
        <v>52</v>
      </c>
      <c r="C97" s="36"/>
      <c r="D97" s="44"/>
      <c r="E97" s="36">
        <v>1</v>
      </c>
      <c r="F97" s="36"/>
      <c r="G97" s="36"/>
      <c r="H97" s="36"/>
      <c r="I97" s="31">
        <f>I96+I95+I94+I93</f>
        <v>1418.1446000000001</v>
      </c>
    </row>
    <row r="98" spans="1:9">
      <c r="A98" s="29"/>
      <c r="B98" s="42" t="s">
        <v>81</v>
      </c>
      <c r="C98" s="15"/>
      <c r="D98" s="15"/>
      <c r="E98" s="37"/>
      <c r="F98" s="37"/>
      <c r="G98" s="38"/>
      <c r="H98" s="38"/>
      <c r="I98" s="17">
        <v>0</v>
      </c>
    </row>
    <row r="99" spans="1:9">
      <c r="A99" s="45"/>
      <c r="B99" s="41" t="s">
        <v>191</v>
      </c>
      <c r="C99" s="32"/>
      <c r="D99" s="32"/>
      <c r="E99" s="32"/>
      <c r="F99" s="32"/>
      <c r="G99" s="32"/>
      <c r="H99" s="32"/>
      <c r="I99" s="39">
        <f>I97+I91</f>
        <v>138998.30966495557</v>
      </c>
    </row>
    <row r="100" spans="1:9" ht="15.75">
      <c r="A100" s="213" t="s">
        <v>254</v>
      </c>
      <c r="B100" s="213"/>
      <c r="C100" s="213"/>
      <c r="D100" s="213"/>
      <c r="E100" s="213"/>
      <c r="F100" s="213"/>
      <c r="G100" s="213"/>
      <c r="H100" s="213"/>
      <c r="I100" s="213"/>
    </row>
    <row r="101" spans="1:9" ht="15.75">
      <c r="A101" s="57"/>
      <c r="B101" s="214" t="s">
        <v>255</v>
      </c>
      <c r="C101" s="214"/>
      <c r="D101" s="214"/>
      <c r="E101" s="214"/>
      <c r="F101" s="214"/>
      <c r="G101" s="214"/>
      <c r="H101" s="62"/>
      <c r="I101" s="3"/>
    </row>
    <row r="102" spans="1:9">
      <c r="A102" s="140"/>
      <c r="B102" s="215" t="s">
        <v>6</v>
      </c>
      <c r="C102" s="215"/>
      <c r="D102" s="215"/>
      <c r="E102" s="215"/>
      <c r="F102" s="215"/>
      <c r="G102" s="215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16" t="s">
        <v>7</v>
      </c>
      <c r="B104" s="216"/>
      <c r="C104" s="216"/>
      <c r="D104" s="216"/>
      <c r="E104" s="216"/>
      <c r="F104" s="216"/>
      <c r="G104" s="216"/>
      <c r="H104" s="216"/>
      <c r="I104" s="216"/>
    </row>
    <row r="105" spans="1:9" ht="15.75">
      <c r="A105" s="216" t="s">
        <v>8</v>
      </c>
      <c r="B105" s="216"/>
      <c r="C105" s="216"/>
      <c r="D105" s="216"/>
      <c r="E105" s="216"/>
      <c r="F105" s="216"/>
      <c r="G105" s="216"/>
      <c r="H105" s="216"/>
      <c r="I105" s="216"/>
    </row>
    <row r="106" spans="1:9" ht="15.75">
      <c r="A106" s="205" t="s">
        <v>62</v>
      </c>
      <c r="B106" s="205"/>
      <c r="C106" s="205"/>
      <c r="D106" s="205"/>
      <c r="E106" s="205"/>
      <c r="F106" s="205"/>
      <c r="G106" s="205"/>
      <c r="H106" s="205"/>
      <c r="I106" s="205"/>
    </row>
    <row r="107" spans="1:9" ht="15.75">
      <c r="A107" s="11"/>
    </row>
    <row r="108" spans="1:9" ht="15.75">
      <c r="A108" s="218" t="s">
        <v>9</v>
      </c>
      <c r="B108" s="218"/>
      <c r="C108" s="218"/>
      <c r="D108" s="218"/>
      <c r="E108" s="218"/>
      <c r="F108" s="218"/>
      <c r="G108" s="218"/>
      <c r="H108" s="218"/>
      <c r="I108" s="218"/>
    </row>
    <row r="109" spans="1:9" ht="15.75">
      <c r="A109" s="4"/>
    </row>
    <row r="110" spans="1:9" ht="15.75">
      <c r="B110" s="143" t="s">
        <v>10</v>
      </c>
      <c r="C110" s="219" t="s">
        <v>93</v>
      </c>
      <c r="D110" s="219"/>
      <c r="E110" s="219"/>
      <c r="F110" s="60"/>
      <c r="I110" s="146"/>
    </row>
    <row r="111" spans="1:9">
      <c r="A111" s="140"/>
      <c r="C111" s="215" t="s">
        <v>11</v>
      </c>
      <c r="D111" s="215"/>
      <c r="E111" s="215"/>
      <c r="F111" s="24"/>
      <c r="I111" s="145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43" t="s">
        <v>13</v>
      </c>
      <c r="C113" s="220"/>
      <c r="D113" s="220"/>
      <c r="E113" s="220"/>
      <c r="F113" s="61"/>
      <c r="I113" s="146"/>
    </row>
    <row r="114" spans="1:9">
      <c r="A114" s="140"/>
      <c r="C114" s="195" t="s">
        <v>11</v>
      </c>
      <c r="D114" s="195"/>
      <c r="E114" s="195"/>
      <c r="F114" s="140"/>
      <c r="I114" s="145" t="s">
        <v>12</v>
      </c>
    </row>
    <row r="115" spans="1:9" ht="15.75">
      <c r="A115" s="4" t="s">
        <v>14</v>
      </c>
    </row>
    <row r="116" spans="1:9">
      <c r="A116" s="221" t="s">
        <v>15</v>
      </c>
      <c r="B116" s="221"/>
      <c r="C116" s="221"/>
      <c r="D116" s="221"/>
      <c r="E116" s="221"/>
      <c r="F116" s="221"/>
      <c r="G116" s="221"/>
      <c r="H116" s="221"/>
      <c r="I116" s="221"/>
    </row>
    <row r="117" spans="1:9" ht="51" customHeight="1">
      <c r="A117" s="217" t="s">
        <v>16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40.5" customHeight="1">
      <c r="A118" s="217" t="s">
        <v>17</v>
      </c>
      <c r="B118" s="217"/>
      <c r="C118" s="217"/>
      <c r="D118" s="217"/>
      <c r="E118" s="217"/>
      <c r="F118" s="217"/>
      <c r="G118" s="217"/>
      <c r="H118" s="217"/>
      <c r="I118" s="217"/>
    </row>
    <row r="119" spans="1:9" ht="45.75" customHeight="1">
      <c r="A119" s="217" t="s">
        <v>21</v>
      </c>
      <c r="B119" s="217"/>
      <c r="C119" s="217"/>
      <c r="D119" s="217"/>
      <c r="E119" s="217"/>
      <c r="F119" s="217"/>
      <c r="G119" s="217"/>
      <c r="H119" s="217"/>
      <c r="I119" s="217"/>
    </row>
    <row r="120" spans="1:9" ht="15.75">
      <c r="A120" s="217" t="s">
        <v>20</v>
      </c>
      <c r="B120" s="217"/>
      <c r="C120" s="217"/>
      <c r="D120" s="217"/>
      <c r="E120" s="217"/>
      <c r="F120" s="217"/>
      <c r="G120" s="217"/>
      <c r="H120" s="217"/>
      <c r="I120" s="217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8:I28"/>
    <mergeCell ref="A46:I46"/>
    <mergeCell ref="A56:I56"/>
    <mergeCell ref="A88:I88"/>
    <mergeCell ref="A92:I92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4"/>
  <sheetViews>
    <sheetView view="pageBreakPreview" topLeftCell="A97" zoomScale="60" workbookViewId="0">
      <selection activeCell="G107" sqref="G107"/>
    </sheetView>
  </sheetViews>
  <sheetFormatPr defaultRowHeight="15"/>
  <cols>
    <col min="1" max="1" width="10" customWidth="1"/>
    <col min="2" max="2" width="47.5703125" customWidth="1"/>
    <col min="3" max="4" width="18.28515625" customWidth="1"/>
    <col min="5" max="6" width="0" hidden="1" customWidth="1"/>
    <col min="7" max="7" width="16" customWidth="1"/>
    <col min="8" max="8" width="0" hidden="1" customWidth="1"/>
    <col min="9" max="9" width="17" customWidth="1"/>
    <col min="10" max="10" width="15.8554687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264</v>
      </c>
      <c r="B3" s="199"/>
      <c r="C3" s="199"/>
      <c r="D3" s="199"/>
      <c r="E3" s="199"/>
      <c r="F3" s="199"/>
      <c r="G3" s="199"/>
      <c r="H3" s="199"/>
      <c r="I3" s="199"/>
    </row>
    <row r="4" spans="1:9" ht="35.25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257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55"/>
      <c r="C6" s="155"/>
      <c r="D6" s="155"/>
      <c r="E6" s="155"/>
      <c r="F6" s="155"/>
      <c r="G6" s="155"/>
      <c r="H6" s="155"/>
      <c r="I6" s="148">
        <v>43312</v>
      </c>
    </row>
    <row r="7" spans="1:9" ht="15.75">
      <c r="B7" s="153"/>
      <c r="C7" s="153"/>
      <c r="D7" s="153"/>
      <c r="E7" s="3"/>
      <c r="F7" s="3"/>
      <c r="G7" s="3"/>
      <c r="H7" s="3"/>
    </row>
    <row r="8" spans="1:9" ht="95.25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5.2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20.2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8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idden="1">
      <c r="A20" s="29">
        <v>5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7.25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22.5" customHeight="1">
      <c r="A30" s="29">
        <v>6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5" customHeight="1">
      <c r="A31" s="29">
        <v>7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20.25" customHeight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21" customHeight="1">
      <c r="A34" s="29">
        <v>9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idden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idden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idden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" hidden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 hidden="1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18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19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20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21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idden="1">
      <c r="A51" s="29">
        <v>22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11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 hidden="1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</row>
    <row r="62" spans="1:9" ht="18.7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9.5" customHeight="1">
      <c r="A64" s="29">
        <v>10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8.75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idden="1">
      <c r="A66" s="29">
        <v>19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idden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9" customHeight="1">
      <c r="A74" s="29">
        <v>11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8" customHeight="1">
      <c r="A75" s="29"/>
      <c r="B75" s="156" t="s">
        <v>218</v>
      </c>
      <c r="C75" s="16"/>
      <c r="D75" s="14"/>
      <c r="E75" s="18"/>
      <c r="F75" s="58"/>
      <c r="G75" s="13"/>
      <c r="H75" s="65"/>
      <c r="I75" s="13"/>
    </row>
    <row r="76" spans="1:9" ht="31.5" customHeight="1">
      <c r="A76" s="29">
        <v>12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4.5" customHeight="1">
      <c r="A77" s="29">
        <v>13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56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56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 ht="22.5" customHeight="1">
      <c r="A89" s="118">
        <v>14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8.25" customHeight="1">
      <c r="A90" s="29">
        <v>15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54"/>
      <c r="B91" s="34" t="s">
        <v>83</v>
      </c>
      <c r="C91" s="35"/>
      <c r="D91" s="15"/>
      <c r="E91" s="15"/>
      <c r="F91" s="15"/>
      <c r="G91" s="18"/>
      <c r="H91" s="18"/>
      <c r="I91" s="31">
        <f>I90+I89+I77+I76+I74+I64+I34+I33+I31+I30+I27+I26+I18+I17+I16</f>
        <v>119841.34506495555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16</v>
      </c>
      <c r="B93" s="48" t="s">
        <v>168</v>
      </c>
      <c r="C93" s="93" t="s">
        <v>87</v>
      </c>
      <c r="D93" s="42"/>
      <c r="E93" s="33"/>
      <c r="F93" s="33">
        <v>10</v>
      </c>
      <c r="G93" s="33">
        <v>203.68</v>
      </c>
      <c r="H93" s="92">
        <f t="shared" ref="H93:H100" si="12">G93*F93/1000</f>
        <v>2.0368000000000004</v>
      </c>
      <c r="I93" s="47">
        <f>G93*1</f>
        <v>203.68</v>
      </c>
    </row>
    <row r="94" spans="1:9">
      <c r="A94" s="29">
        <v>17</v>
      </c>
      <c r="B94" s="46" t="s">
        <v>85</v>
      </c>
      <c r="C94" s="64" t="s">
        <v>132</v>
      </c>
      <c r="D94" s="94"/>
      <c r="E94" s="33"/>
      <c r="F94" s="33">
        <v>2</v>
      </c>
      <c r="G94" s="33">
        <v>197.48</v>
      </c>
      <c r="H94" s="92">
        <f t="shared" si="12"/>
        <v>0.39495999999999998</v>
      </c>
      <c r="I94" s="47">
        <f>G94*5</f>
        <v>987.4</v>
      </c>
    </row>
    <row r="95" spans="1:9" ht="30">
      <c r="A95" s="29">
        <v>18</v>
      </c>
      <c r="B95" s="46" t="s">
        <v>160</v>
      </c>
      <c r="C95" s="64" t="s">
        <v>38</v>
      </c>
      <c r="D95" s="94"/>
      <c r="E95" s="33"/>
      <c r="F95" s="33"/>
      <c r="G95" s="33">
        <v>3724.37</v>
      </c>
      <c r="H95" s="92"/>
      <c r="I95" s="47">
        <f>G95*0.04</f>
        <v>148.97479999999999</v>
      </c>
    </row>
    <row r="96" spans="1:9" ht="30">
      <c r="A96" s="29">
        <v>19</v>
      </c>
      <c r="B96" s="46" t="s">
        <v>82</v>
      </c>
      <c r="C96" s="64" t="s">
        <v>132</v>
      </c>
      <c r="D96" s="94"/>
      <c r="E96" s="33"/>
      <c r="F96" s="33"/>
      <c r="G96" s="33">
        <v>86.69</v>
      </c>
      <c r="H96" s="92"/>
      <c r="I96" s="47">
        <f>G96*2</f>
        <v>173.38</v>
      </c>
    </row>
    <row r="97" spans="1:9" ht="30">
      <c r="A97" s="29">
        <v>20</v>
      </c>
      <c r="B97" s="48" t="s">
        <v>259</v>
      </c>
      <c r="C97" s="93" t="s">
        <v>55</v>
      </c>
      <c r="D97" s="94"/>
      <c r="E97" s="33"/>
      <c r="F97" s="33"/>
      <c r="G97" s="149">
        <v>37.54</v>
      </c>
      <c r="H97" s="92"/>
      <c r="I97" s="47">
        <f>G97*3</f>
        <v>112.62</v>
      </c>
    </row>
    <row r="98" spans="1:9" ht="45">
      <c r="A98" s="29">
        <v>21</v>
      </c>
      <c r="B98" s="48" t="s">
        <v>260</v>
      </c>
      <c r="C98" s="93" t="s">
        <v>55</v>
      </c>
      <c r="D98" s="94"/>
      <c r="E98" s="33"/>
      <c r="F98" s="33"/>
      <c r="G98" s="149">
        <v>314.33999999999997</v>
      </c>
      <c r="H98" s="92"/>
      <c r="I98" s="47">
        <f>G98*3</f>
        <v>943.02</v>
      </c>
    </row>
    <row r="99" spans="1:9" ht="30">
      <c r="A99" s="29">
        <v>22</v>
      </c>
      <c r="B99" s="48" t="s">
        <v>261</v>
      </c>
      <c r="C99" s="93" t="s">
        <v>55</v>
      </c>
      <c r="D99" s="94"/>
      <c r="E99" s="33"/>
      <c r="F99" s="33"/>
      <c r="G99" s="149">
        <v>359.95</v>
      </c>
      <c r="H99" s="92"/>
      <c r="I99" s="47">
        <f>G99*8.3</f>
        <v>2987.585</v>
      </c>
    </row>
    <row r="100" spans="1:9">
      <c r="A100" s="29">
        <v>23</v>
      </c>
      <c r="B100" s="109" t="s">
        <v>262</v>
      </c>
      <c r="C100" s="93" t="s">
        <v>263</v>
      </c>
      <c r="D100" s="42"/>
      <c r="E100" s="33"/>
      <c r="F100" s="33">
        <v>2</v>
      </c>
      <c r="G100" s="149">
        <v>951.44</v>
      </c>
      <c r="H100" s="92">
        <f t="shared" si="12"/>
        <v>1.9028800000000001</v>
      </c>
      <c r="I100" s="47">
        <f>G100*0.3</f>
        <v>285.43200000000002</v>
      </c>
    </row>
    <row r="101" spans="1:9" ht="18" customHeight="1">
      <c r="A101" s="29"/>
      <c r="B101" s="40" t="s">
        <v>52</v>
      </c>
      <c r="C101" s="36"/>
      <c r="D101" s="44"/>
      <c r="E101" s="36">
        <v>1</v>
      </c>
      <c r="F101" s="36"/>
      <c r="G101" s="36"/>
      <c r="H101" s="36"/>
      <c r="I101" s="31">
        <f>SUM(I93:I100)</f>
        <v>5842.0917999999992</v>
      </c>
    </row>
    <row r="102" spans="1:9">
      <c r="A102" s="29"/>
      <c r="B102" s="42" t="s">
        <v>81</v>
      </c>
      <c r="C102" s="15"/>
      <c r="D102" s="15"/>
      <c r="E102" s="37"/>
      <c r="F102" s="37"/>
      <c r="G102" s="38"/>
      <c r="H102" s="38"/>
      <c r="I102" s="17">
        <v>0</v>
      </c>
    </row>
    <row r="103" spans="1:9">
      <c r="A103" s="45"/>
      <c r="B103" s="41" t="s">
        <v>191</v>
      </c>
      <c r="C103" s="32"/>
      <c r="D103" s="32"/>
      <c r="E103" s="32"/>
      <c r="F103" s="32"/>
      <c r="G103" s="32"/>
      <c r="H103" s="32"/>
      <c r="I103" s="39">
        <f>I101+I91</f>
        <v>125683.43686495554</v>
      </c>
    </row>
    <row r="104" spans="1:9" ht="15.75">
      <c r="A104" s="213" t="s">
        <v>269</v>
      </c>
      <c r="B104" s="213"/>
      <c r="C104" s="213"/>
      <c r="D104" s="213"/>
      <c r="E104" s="213"/>
      <c r="F104" s="213"/>
      <c r="G104" s="213"/>
      <c r="H104" s="213"/>
      <c r="I104" s="213"/>
    </row>
    <row r="105" spans="1:9" ht="15.75">
      <c r="A105" s="57"/>
      <c r="B105" s="214" t="s">
        <v>265</v>
      </c>
      <c r="C105" s="214"/>
      <c r="D105" s="214"/>
      <c r="E105" s="214"/>
      <c r="F105" s="214"/>
      <c r="G105" s="214"/>
      <c r="H105" s="62"/>
      <c r="I105" s="3"/>
    </row>
    <row r="106" spans="1:9">
      <c r="A106" s="152"/>
      <c r="B106" s="215" t="s">
        <v>6</v>
      </c>
      <c r="C106" s="215"/>
      <c r="D106" s="215"/>
      <c r="E106" s="215"/>
      <c r="F106" s="215"/>
      <c r="G106" s="215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16" t="s">
        <v>7</v>
      </c>
      <c r="B108" s="216"/>
      <c r="C108" s="216"/>
      <c r="D108" s="216"/>
      <c r="E108" s="216"/>
      <c r="F108" s="216"/>
      <c r="G108" s="216"/>
      <c r="H108" s="216"/>
      <c r="I108" s="216"/>
    </row>
    <row r="109" spans="1:9" ht="15.75">
      <c r="A109" s="216" t="s">
        <v>8</v>
      </c>
      <c r="B109" s="216"/>
      <c r="C109" s="216"/>
      <c r="D109" s="216"/>
      <c r="E109" s="216"/>
      <c r="F109" s="216"/>
      <c r="G109" s="216"/>
      <c r="H109" s="216"/>
      <c r="I109" s="216"/>
    </row>
    <row r="110" spans="1:9" ht="15.75">
      <c r="A110" s="205" t="s">
        <v>62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.75">
      <c r="A111" s="11"/>
    </row>
    <row r="112" spans="1:9" ht="15.75">
      <c r="A112" s="218" t="s">
        <v>9</v>
      </c>
      <c r="B112" s="218"/>
      <c r="C112" s="218"/>
      <c r="D112" s="218"/>
      <c r="E112" s="218"/>
      <c r="F112" s="218"/>
      <c r="G112" s="218"/>
      <c r="H112" s="218"/>
      <c r="I112" s="218"/>
    </row>
    <row r="113" spans="1:9" ht="15.75">
      <c r="A113" s="4"/>
    </row>
    <row r="114" spans="1:9" ht="15.75">
      <c r="B114" s="153" t="s">
        <v>10</v>
      </c>
      <c r="C114" s="219" t="s">
        <v>93</v>
      </c>
      <c r="D114" s="219"/>
      <c r="E114" s="219"/>
      <c r="F114" s="60"/>
      <c r="I114" s="151"/>
    </row>
    <row r="115" spans="1:9">
      <c r="A115" s="152"/>
      <c r="C115" s="215" t="s">
        <v>11</v>
      </c>
      <c r="D115" s="215"/>
      <c r="E115" s="215"/>
      <c r="F115" s="24"/>
      <c r="I115" s="150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153" t="s">
        <v>13</v>
      </c>
      <c r="C117" s="220"/>
      <c r="D117" s="220"/>
      <c r="E117" s="220"/>
      <c r="F117" s="61"/>
      <c r="I117" s="151"/>
    </row>
    <row r="118" spans="1:9">
      <c r="A118" s="152"/>
      <c r="C118" s="195" t="s">
        <v>11</v>
      </c>
      <c r="D118" s="195"/>
      <c r="E118" s="195"/>
      <c r="F118" s="152"/>
      <c r="I118" s="150" t="s">
        <v>12</v>
      </c>
    </row>
    <row r="119" spans="1:9" ht="15.75">
      <c r="A119" s="4" t="s">
        <v>14</v>
      </c>
    </row>
    <row r="120" spans="1:9">
      <c r="A120" s="221" t="s">
        <v>15</v>
      </c>
      <c r="B120" s="221"/>
      <c r="C120" s="221"/>
      <c r="D120" s="221"/>
      <c r="E120" s="221"/>
      <c r="F120" s="221"/>
      <c r="G120" s="221"/>
      <c r="H120" s="221"/>
      <c r="I120" s="221"/>
    </row>
    <row r="121" spans="1:9" ht="47.25" customHeight="1">
      <c r="A121" s="217" t="s">
        <v>16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35.25" customHeight="1">
      <c r="A122" s="217" t="s">
        <v>17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28.5" customHeight="1">
      <c r="A123" s="217" t="s">
        <v>21</v>
      </c>
      <c r="B123" s="217"/>
      <c r="C123" s="217"/>
      <c r="D123" s="217"/>
      <c r="E123" s="217"/>
      <c r="F123" s="217"/>
      <c r="G123" s="217"/>
      <c r="H123" s="217"/>
      <c r="I123" s="217"/>
    </row>
    <row r="124" spans="1:9" ht="15.75">
      <c r="A124" s="217" t="s">
        <v>20</v>
      </c>
      <c r="B124" s="217"/>
      <c r="C124" s="217"/>
      <c r="D124" s="217"/>
      <c r="E124" s="217"/>
      <c r="F124" s="217"/>
      <c r="G124" s="217"/>
      <c r="H124" s="217"/>
      <c r="I124" s="217"/>
    </row>
  </sheetData>
  <mergeCells count="28"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  <mergeCell ref="A110:I110"/>
    <mergeCell ref="A15:I15"/>
    <mergeCell ref="A28:I28"/>
    <mergeCell ref="A46:I46"/>
    <mergeCell ref="A56:I56"/>
    <mergeCell ref="A88:I88"/>
    <mergeCell ref="A92:I92"/>
    <mergeCell ref="A104:I104"/>
    <mergeCell ref="B105:G105"/>
    <mergeCell ref="B106:G106"/>
    <mergeCell ref="A108:I108"/>
    <mergeCell ref="A109:I109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9"/>
  <sheetViews>
    <sheetView view="pageBreakPreview" zoomScale="60" workbookViewId="0">
      <selection activeCell="C100" sqref="C100"/>
    </sheetView>
  </sheetViews>
  <sheetFormatPr defaultRowHeight="15"/>
  <cols>
    <col min="1" max="1" width="12" customWidth="1"/>
    <col min="2" max="2" width="46.85546875" customWidth="1"/>
    <col min="3" max="3" width="18" customWidth="1"/>
    <col min="4" max="4" width="17.85546875" customWidth="1"/>
    <col min="5" max="6" width="0" hidden="1" customWidth="1"/>
    <col min="7" max="7" width="15.85546875" customWidth="1"/>
    <col min="8" max="8" width="0" hidden="1" customWidth="1"/>
    <col min="9" max="9" width="18.2851562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268</v>
      </c>
      <c r="B3" s="199"/>
      <c r="C3" s="199"/>
      <c r="D3" s="199"/>
      <c r="E3" s="199"/>
      <c r="F3" s="199"/>
      <c r="G3" s="199"/>
      <c r="H3" s="199"/>
      <c r="I3" s="199"/>
    </row>
    <row r="4" spans="1:9" ht="33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266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62"/>
      <c r="C6" s="162"/>
      <c r="D6" s="162"/>
      <c r="E6" s="162"/>
      <c r="F6" s="162"/>
      <c r="G6" s="162"/>
      <c r="H6" s="162"/>
      <c r="I6" s="148">
        <v>43343</v>
      </c>
    </row>
    <row r="7" spans="1:9" ht="15.75">
      <c r="B7" s="160"/>
      <c r="C7" s="160"/>
      <c r="D7" s="160"/>
      <c r="E7" s="3"/>
      <c r="F7" s="3"/>
      <c r="G7" s="3"/>
      <c r="H7" s="3"/>
    </row>
    <row r="8" spans="1:9" ht="81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0.7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20.25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8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idden="1">
      <c r="A20" s="29">
        <v>5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6.5" customHeight="1">
      <c r="A26" s="29">
        <v>4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5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6.5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15" customHeight="1">
      <c r="A30" s="29">
        <v>6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45" customHeight="1">
      <c r="A31" s="29">
        <v>7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18" customHeight="1">
      <c r="A33" s="29">
        <v>8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8" customHeight="1">
      <c r="A34" s="29">
        <v>9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idden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idden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idden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" hidden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 hidden="1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idden="1">
      <c r="A47" s="29">
        <v>18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idden="1">
      <c r="A48" s="29">
        <v>19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idden="1">
      <c r="A49" s="29">
        <v>20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idden="1">
      <c r="A50" s="29">
        <v>21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idden="1">
      <c r="A51" s="29">
        <v>22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11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 hidden="1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idden="1">
      <c r="A61" s="29">
        <v>18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v>0</v>
      </c>
    </row>
    <row r="62" spans="1:9" ht="18.7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7.25" customHeight="1">
      <c r="A64" s="29">
        <v>10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t="18" customHeight="1">
      <c r="A66" s="29">
        <v>11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G66*2</f>
        <v>606.70000000000005</v>
      </c>
    </row>
    <row r="67" spans="1:9" ht="14.25" hidden="1" customHeight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t="21" hidden="1" customHeight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t="21" hidden="1" customHeight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t="22.5" hidden="1" customHeight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t="21.75" hidden="1" customHeight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t="21" hidden="1" customHeight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t="22.5" hidden="1" customHeight="1">
      <c r="A73" s="29"/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0.75" customHeight="1">
      <c r="A74" s="29">
        <v>12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5" customHeight="1">
      <c r="A75" s="29"/>
      <c r="B75" s="163" t="s">
        <v>218</v>
      </c>
      <c r="C75" s="16"/>
      <c r="D75" s="14"/>
      <c r="E75" s="18"/>
      <c r="F75" s="58"/>
      <c r="G75" s="13"/>
      <c r="H75" s="65"/>
      <c r="I75" s="13"/>
    </row>
    <row r="76" spans="1:9" ht="28.5" customHeight="1">
      <c r="A76" s="29">
        <v>13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30.75" customHeight="1">
      <c r="A77" s="29">
        <v>14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t="36" hidden="1" customHeight="1">
      <c r="A78" s="118"/>
      <c r="B78" s="163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63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 ht="20.25" customHeight="1">
      <c r="A89" s="118">
        <v>15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8.25" customHeight="1">
      <c r="A90" s="29">
        <v>16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61"/>
      <c r="B91" s="34" t="s">
        <v>83</v>
      </c>
      <c r="C91" s="35"/>
      <c r="D91" s="15"/>
      <c r="E91" s="15"/>
      <c r="F91" s="15"/>
      <c r="G91" s="18"/>
      <c r="H91" s="18"/>
      <c r="I91" s="31">
        <f>I90+I89+I77+I76+I74+I66+I64+I34+I33+I31+I30+I27+I26+I18+I17+I16</f>
        <v>120448.04506495554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17</v>
      </c>
      <c r="B93" s="109" t="s">
        <v>252</v>
      </c>
      <c r="C93" s="93" t="s">
        <v>132</v>
      </c>
      <c r="D93" s="42"/>
      <c r="E93" s="33"/>
      <c r="F93" s="33">
        <v>10</v>
      </c>
      <c r="G93" s="33">
        <v>197.26</v>
      </c>
      <c r="H93" s="92">
        <f t="shared" ref="H93:H94" si="12">G93*F93/1000</f>
        <v>1.9725999999999999</v>
      </c>
      <c r="I93" s="47">
        <f>G93*1</f>
        <v>197.26</v>
      </c>
    </row>
    <row r="94" spans="1:9" ht="30">
      <c r="A94" s="29">
        <v>18</v>
      </c>
      <c r="B94" s="48" t="s">
        <v>267</v>
      </c>
      <c r="C94" s="93" t="s">
        <v>132</v>
      </c>
      <c r="D94" s="94"/>
      <c r="E94" s="33"/>
      <c r="F94" s="33">
        <v>2</v>
      </c>
      <c r="G94" s="33">
        <v>2012.33</v>
      </c>
      <c r="H94" s="92">
        <f t="shared" si="12"/>
        <v>4.0246599999999999</v>
      </c>
      <c r="I94" s="47">
        <f>G94*1</f>
        <v>2012.33</v>
      </c>
    </row>
    <row r="95" spans="1:9">
      <c r="A95" s="29">
        <v>19</v>
      </c>
      <c r="B95" s="48" t="s">
        <v>168</v>
      </c>
      <c r="C95" s="93" t="s">
        <v>87</v>
      </c>
      <c r="D95" s="94"/>
      <c r="E95" s="33"/>
      <c r="F95" s="33"/>
      <c r="G95" s="33">
        <v>203.68</v>
      </c>
      <c r="H95" s="92"/>
      <c r="I95" s="47">
        <f>G95*2</f>
        <v>407.36</v>
      </c>
    </row>
    <row r="96" spans="1:9" ht="30">
      <c r="A96" s="29">
        <v>20</v>
      </c>
      <c r="B96" s="46" t="s">
        <v>178</v>
      </c>
      <c r="C96" s="64" t="s">
        <v>109</v>
      </c>
      <c r="D96" s="94"/>
      <c r="E96" s="33"/>
      <c r="F96" s="33"/>
      <c r="G96" s="33">
        <v>56.34</v>
      </c>
      <c r="H96" s="92"/>
      <c r="I96" s="47">
        <f>G96*2</f>
        <v>112.68</v>
      </c>
    </row>
    <row r="97" spans="1:9">
      <c r="A97" s="29">
        <v>21</v>
      </c>
      <c r="B97" s="46" t="s">
        <v>276</v>
      </c>
      <c r="C97" s="64" t="s">
        <v>132</v>
      </c>
      <c r="D97" s="94"/>
      <c r="E97" s="33"/>
      <c r="F97" s="33"/>
      <c r="G97" s="33">
        <v>151.31</v>
      </c>
      <c r="H97" s="92"/>
      <c r="I97" s="47">
        <f>G97*6</f>
        <v>907.86</v>
      </c>
    </row>
    <row r="98" spans="1:9">
      <c r="A98" s="29">
        <v>22</v>
      </c>
      <c r="B98" s="46" t="s">
        <v>277</v>
      </c>
      <c r="C98" s="64" t="s">
        <v>132</v>
      </c>
      <c r="D98" s="94"/>
      <c r="E98" s="33"/>
      <c r="F98" s="33"/>
      <c r="G98" s="33">
        <v>62.61</v>
      </c>
      <c r="H98" s="92"/>
      <c r="I98" s="47">
        <f>G98*3</f>
        <v>187.82999999999998</v>
      </c>
    </row>
    <row r="99" spans="1:9">
      <c r="A99" s="29">
        <v>23</v>
      </c>
      <c r="B99" s="46" t="s">
        <v>85</v>
      </c>
      <c r="C99" s="64" t="s">
        <v>132</v>
      </c>
      <c r="D99" s="94"/>
      <c r="E99" s="33"/>
      <c r="F99" s="33"/>
      <c r="G99" s="33">
        <v>197.48</v>
      </c>
      <c r="H99" s="92"/>
      <c r="I99" s="47">
        <f>G99*1</f>
        <v>197.48</v>
      </c>
    </row>
    <row r="100" spans="1:9" ht="30">
      <c r="A100" s="29">
        <v>24</v>
      </c>
      <c r="B100" s="46" t="s">
        <v>160</v>
      </c>
      <c r="C100" s="64" t="s">
        <v>38</v>
      </c>
      <c r="D100" s="94"/>
      <c r="E100" s="33"/>
      <c r="F100" s="33"/>
      <c r="G100" s="33">
        <v>3724.37</v>
      </c>
      <c r="H100" s="92"/>
      <c r="I100" s="47">
        <f>G100*0.03</f>
        <v>111.7311</v>
      </c>
    </row>
    <row r="101" spans="1:9">
      <c r="A101" s="29">
        <v>25</v>
      </c>
      <c r="B101" s="48" t="s">
        <v>278</v>
      </c>
      <c r="C101" s="93" t="s">
        <v>279</v>
      </c>
      <c r="D101" s="94"/>
      <c r="E101" s="33"/>
      <c r="F101" s="33"/>
      <c r="G101" s="149">
        <v>253.69</v>
      </c>
      <c r="H101" s="92"/>
      <c r="I101" s="47">
        <f>G101*0.2</f>
        <v>50.738</v>
      </c>
    </row>
    <row r="102" spans="1:9">
      <c r="A102" s="29">
        <v>26</v>
      </c>
      <c r="B102" s="48" t="s">
        <v>200</v>
      </c>
      <c r="C102" s="93" t="s">
        <v>201</v>
      </c>
      <c r="D102" s="94"/>
      <c r="E102" s="33"/>
      <c r="F102" s="33"/>
      <c r="G102" s="171">
        <v>134.12</v>
      </c>
      <c r="H102" s="92"/>
      <c r="I102" s="47">
        <f>G102*9</f>
        <v>1207.08</v>
      </c>
    </row>
    <row r="103" spans="1:9" ht="30">
      <c r="A103" s="29">
        <v>27</v>
      </c>
      <c r="B103" s="48" t="s">
        <v>280</v>
      </c>
      <c r="C103" s="93" t="s">
        <v>281</v>
      </c>
      <c r="D103" s="94"/>
      <c r="E103" s="33"/>
      <c r="F103" s="33"/>
      <c r="G103" s="33">
        <v>24829.08</v>
      </c>
      <c r="H103" s="92"/>
      <c r="I103" s="47">
        <f>G103*0.01</f>
        <v>248.29080000000002</v>
      </c>
    </row>
    <row r="104" spans="1:9" ht="30">
      <c r="A104" s="29">
        <v>28</v>
      </c>
      <c r="B104" s="46" t="s">
        <v>227</v>
      </c>
      <c r="C104" s="64" t="s">
        <v>84</v>
      </c>
      <c r="D104" s="94"/>
      <c r="E104" s="33"/>
      <c r="F104" s="33"/>
      <c r="G104" s="33">
        <v>1272</v>
      </c>
      <c r="H104" s="92"/>
      <c r="I104" s="47">
        <f>G104*1.5</f>
        <v>1908</v>
      </c>
    </row>
    <row r="105" spans="1:9" ht="30">
      <c r="A105" s="29">
        <v>29</v>
      </c>
      <c r="B105" s="48" t="s">
        <v>282</v>
      </c>
      <c r="C105" s="93" t="s">
        <v>283</v>
      </c>
      <c r="D105" s="94"/>
      <c r="E105" s="33"/>
      <c r="F105" s="33"/>
      <c r="G105" s="33">
        <v>225.35</v>
      </c>
      <c r="H105" s="92"/>
      <c r="I105" s="47">
        <f>G105*1.761</f>
        <v>396.84134999999998</v>
      </c>
    </row>
    <row r="106" spans="1:9" ht="19.5" customHeight="1">
      <c r="A106" s="29"/>
      <c r="B106" s="40" t="s">
        <v>52</v>
      </c>
      <c r="C106" s="36"/>
      <c r="D106" s="44"/>
      <c r="E106" s="36">
        <v>1</v>
      </c>
      <c r="F106" s="36"/>
      <c r="G106" s="36"/>
      <c r="H106" s="36"/>
      <c r="I106" s="31">
        <f>SUM(I93:I105)</f>
        <v>7945.4812499999998</v>
      </c>
    </row>
    <row r="107" spans="1:9">
      <c r="A107" s="29"/>
      <c r="B107" s="42" t="s">
        <v>81</v>
      </c>
      <c r="C107" s="15"/>
      <c r="D107" s="15"/>
      <c r="E107" s="37"/>
      <c r="F107" s="37"/>
      <c r="G107" s="38"/>
      <c r="H107" s="38"/>
      <c r="I107" s="17">
        <v>0</v>
      </c>
    </row>
    <row r="108" spans="1:9">
      <c r="A108" s="45"/>
      <c r="B108" s="41" t="s">
        <v>191</v>
      </c>
      <c r="C108" s="32"/>
      <c r="D108" s="32"/>
      <c r="E108" s="32"/>
      <c r="F108" s="32"/>
      <c r="G108" s="32"/>
      <c r="H108" s="32"/>
      <c r="I108" s="39">
        <f>I106+I91</f>
        <v>128393.52631495554</v>
      </c>
    </row>
    <row r="109" spans="1:9" ht="15.75">
      <c r="A109" s="213" t="s">
        <v>284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15.75">
      <c r="A110" s="57"/>
      <c r="B110" s="214" t="s">
        <v>285</v>
      </c>
      <c r="C110" s="214"/>
      <c r="D110" s="214"/>
      <c r="E110" s="214"/>
      <c r="F110" s="214"/>
      <c r="G110" s="214"/>
      <c r="H110" s="62"/>
      <c r="I110" s="3"/>
    </row>
    <row r="111" spans="1:9">
      <c r="A111" s="159"/>
      <c r="B111" s="215" t="s">
        <v>6</v>
      </c>
      <c r="C111" s="215"/>
      <c r="D111" s="215"/>
      <c r="E111" s="215"/>
      <c r="F111" s="215"/>
      <c r="G111" s="215"/>
      <c r="H111" s="24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216" t="s">
        <v>7</v>
      </c>
      <c r="B113" s="216"/>
      <c r="C113" s="216"/>
      <c r="D113" s="216"/>
      <c r="E113" s="216"/>
      <c r="F113" s="216"/>
      <c r="G113" s="216"/>
      <c r="H113" s="216"/>
      <c r="I113" s="216"/>
    </row>
    <row r="114" spans="1:9" ht="15.75">
      <c r="A114" s="216" t="s">
        <v>8</v>
      </c>
      <c r="B114" s="216"/>
      <c r="C114" s="216"/>
      <c r="D114" s="216"/>
      <c r="E114" s="216"/>
      <c r="F114" s="216"/>
      <c r="G114" s="216"/>
      <c r="H114" s="216"/>
      <c r="I114" s="216"/>
    </row>
    <row r="115" spans="1:9" ht="15.75">
      <c r="A115" s="205" t="s">
        <v>62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15.75">
      <c r="A116" s="11"/>
    </row>
    <row r="117" spans="1:9" ht="15.75">
      <c r="A117" s="218" t="s">
        <v>9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15.75">
      <c r="A118" s="4"/>
    </row>
    <row r="119" spans="1:9" ht="15.75">
      <c r="B119" s="160" t="s">
        <v>10</v>
      </c>
      <c r="C119" s="219" t="s">
        <v>93</v>
      </c>
      <c r="D119" s="219"/>
      <c r="E119" s="219"/>
      <c r="F119" s="60"/>
      <c r="I119" s="158"/>
    </row>
    <row r="120" spans="1:9">
      <c r="A120" s="159"/>
      <c r="C120" s="215" t="s">
        <v>11</v>
      </c>
      <c r="D120" s="215"/>
      <c r="E120" s="215"/>
      <c r="F120" s="24"/>
      <c r="I120" s="157" t="s">
        <v>12</v>
      </c>
    </row>
    <row r="121" spans="1:9" ht="15.75">
      <c r="A121" s="25"/>
      <c r="C121" s="12"/>
      <c r="D121" s="12"/>
      <c r="G121" s="12"/>
      <c r="H121" s="12"/>
    </row>
    <row r="122" spans="1:9" ht="15.75">
      <c r="B122" s="160" t="s">
        <v>13</v>
      </c>
      <c r="C122" s="220"/>
      <c r="D122" s="220"/>
      <c r="E122" s="220"/>
      <c r="F122" s="61"/>
      <c r="I122" s="158"/>
    </row>
    <row r="123" spans="1:9">
      <c r="A123" s="159"/>
      <c r="C123" s="195" t="s">
        <v>11</v>
      </c>
      <c r="D123" s="195"/>
      <c r="E123" s="195"/>
      <c r="F123" s="159"/>
      <c r="I123" s="157" t="s">
        <v>12</v>
      </c>
    </row>
    <row r="124" spans="1:9" ht="15.75">
      <c r="A124" s="4" t="s">
        <v>14</v>
      </c>
    </row>
    <row r="125" spans="1:9">
      <c r="A125" s="221" t="s">
        <v>15</v>
      </c>
      <c r="B125" s="221"/>
      <c r="C125" s="221"/>
      <c r="D125" s="221"/>
      <c r="E125" s="221"/>
      <c r="F125" s="221"/>
      <c r="G125" s="221"/>
      <c r="H125" s="221"/>
      <c r="I125" s="221"/>
    </row>
    <row r="126" spans="1:9" ht="47.25" customHeight="1">
      <c r="A126" s="217" t="s">
        <v>16</v>
      </c>
      <c r="B126" s="217"/>
      <c r="C126" s="217"/>
      <c r="D126" s="217"/>
      <c r="E126" s="217"/>
      <c r="F126" s="217"/>
      <c r="G126" s="217"/>
      <c r="H126" s="217"/>
      <c r="I126" s="217"/>
    </row>
    <row r="127" spans="1:9" ht="39.75" customHeight="1">
      <c r="A127" s="217" t="s">
        <v>17</v>
      </c>
      <c r="B127" s="217"/>
      <c r="C127" s="217"/>
      <c r="D127" s="217"/>
      <c r="E127" s="217"/>
      <c r="F127" s="217"/>
      <c r="G127" s="217"/>
      <c r="H127" s="217"/>
      <c r="I127" s="217"/>
    </row>
    <row r="128" spans="1:9" ht="37.5" customHeight="1">
      <c r="A128" s="217" t="s">
        <v>21</v>
      </c>
      <c r="B128" s="217"/>
      <c r="C128" s="217"/>
      <c r="D128" s="217"/>
      <c r="E128" s="217"/>
      <c r="F128" s="217"/>
      <c r="G128" s="217"/>
      <c r="H128" s="217"/>
      <c r="I128" s="217"/>
    </row>
    <row r="129" spans="1:9" ht="15.75">
      <c r="A129" s="217" t="s">
        <v>20</v>
      </c>
      <c r="B129" s="217"/>
      <c r="C129" s="217"/>
      <c r="D129" s="217"/>
      <c r="E129" s="217"/>
      <c r="F129" s="217"/>
      <c r="G129" s="217"/>
      <c r="H129" s="217"/>
      <c r="I129" s="217"/>
    </row>
  </sheetData>
  <mergeCells count="28"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  <mergeCell ref="A115:I115"/>
    <mergeCell ref="A15:I15"/>
    <mergeCell ref="A28:I28"/>
    <mergeCell ref="A46:I46"/>
    <mergeCell ref="A56:I56"/>
    <mergeCell ref="A88:I88"/>
    <mergeCell ref="A92:I92"/>
    <mergeCell ref="A109:I109"/>
    <mergeCell ref="B110:G110"/>
    <mergeCell ref="B111:G111"/>
    <mergeCell ref="A113:I113"/>
    <mergeCell ref="A114:I114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9"/>
  <sheetViews>
    <sheetView view="pageBreakPreview" topLeftCell="A88" zoomScale="60" workbookViewId="0">
      <selection activeCell="A105" sqref="A105"/>
    </sheetView>
  </sheetViews>
  <sheetFormatPr defaultRowHeight="15"/>
  <cols>
    <col min="1" max="1" width="14.42578125" customWidth="1"/>
    <col min="2" max="2" width="48.28515625" customWidth="1"/>
    <col min="3" max="3" width="18.28515625" customWidth="1"/>
    <col min="4" max="4" width="17.85546875" customWidth="1"/>
    <col min="5" max="5" width="0" hidden="1" customWidth="1"/>
    <col min="6" max="6" width="16.42578125" hidden="1" customWidth="1"/>
    <col min="7" max="7" width="17.28515625" customWidth="1"/>
    <col min="8" max="8" width="0" hidden="1" customWidth="1"/>
    <col min="9" max="9" width="14.28515625" customWidth="1"/>
  </cols>
  <sheetData>
    <row r="1" spans="1:9" ht="15.75">
      <c r="A1" s="27" t="s">
        <v>256</v>
      </c>
      <c r="I1" s="26"/>
    </row>
    <row r="2" spans="1:9" ht="15.75">
      <c r="A2" s="28" t="s">
        <v>63</v>
      </c>
    </row>
    <row r="3" spans="1:9" ht="15.75">
      <c r="A3" s="199" t="s">
        <v>286</v>
      </c>
      <c r="B3" s="199"/>
      <c r="C3" s="199"/>
      <c r="D3" s="199"/>
      <c r="E3" s="199"/>
      <c r="F3" s="199"/>
      <c r="G3" s="199"/>
      <c r="H3" s="199"/>
      <c r="I3" s="199"/>
    </row>
    <row r="4" spans="1:9" ht="36" customHeight="1">
      <c r="A4" s="200" t="s">
        <v>142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287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69"/>
      <c r="C6" s="169"/>
      <c r="D6" s="169"/>
      <c r="E6" s="169"/>
      <c r="F6" s="169"/>
      <c r="G6" s="169"/>
      <c r="H6" s="169"/>
      <c r="I6" s="148">
        <v>43373</v>
      </c>
    </row>
    <row r="7" spans="1:9" ht="15.75">
      <c r="B7" s="167"/>
      <c r="C7" s="167"/>
      <c r="D7" s="167"/>
      <c r="E7" s="3"/>
      <c r="F7" s="3"/>
      <c r="G7" s="3"/>
      <c r="H7" s="3"/>
    </row>
    <row r="8" spans="1:9" ht="94.5" customHeight="1">
      <c r="A8" s="202" t="s">
        <v>258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3.75" customHeight="1">
      <c r="A10" s="203" t="s">
        <v>190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60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206" t="s">
        <v>4</v>
      </c>
      <c r="B15" s="206"/>
      <c r="C15" s="206"/>
      <c r="D15" s="206"/>
      <c r="E15" s="206"/>
      <c r="F15" s="206"/>
      <c r="G15" s="206"/>
      <c r="H15" s="206"/>
      <c r="I15" s="206"/>
    </row>
    <row r="16" spans="1:9" ht="18" customHeight="1">
      <c r="A16" s="29">
        <v>1</v>
      </c>
      <c r="B16" s="68" t="s">
        <v>91</v>
      </c>
      <c r="C16" s="69" t="s">
        <v>111</v>
      </c>
      <c r="D16" s="68" t="s">
        <v>112</v>
      </c>
      <c r="E16" s="70">
        <v>176.24</v>
      </c>
      <c r="F16" s="71">
        <f>SUM(E16*156/100)</f>
        <v>274.93440000000004</v>
      </c>
      <c r="G16" s="71">
        <v>239.2</v>
      </c>
      <c r="H16" s="72">
        <f t="shared" ref="H16:H25" si="0"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68" t="s">
        <v>97</v>
      </c>
      <c r="C17" s="69" t="s">
        <v>111</v>
      </c>
      <c r="D17" s="68" t="s">
        <v>113</v>
      </c>
      <c r="E17" s="70">
        <v>704.96</v>
      </c>
      <c r="F17" s="71">
        <f>SUM(E17*104/100)</f>
        <v>733.15839999999992</v>
      </c>
      <c r="G17" s="71">
        <v>239.2</v>
      </c>
      <c r="H17" s="72">
        <f t="shared" si="0"/>
        <v>175.37148927999999</v>
      </c>
      <c r="I17" s="13">
        <f>F17/12*G17</f>
        <v>14614.29077333333</v>
      </c>
    </row>
    <row r="18" spans="1:9" ht="15.75" customHeight="1">
      <c r="A18" s="29">
        <v>3</v>
      </c>
      <c r="B18" s="68" t="s">
        <v>98</v>
      </c>
      <c r="C18" s="69" t="s">
        <v>111</v>
      </c>
      <c r="D18" s="68" t="s">
        <v>114</v>
      </c>
      <c r="E18" s="70">
        <f>SUM(E16+E17)</f>
        <v>881.2</v>
      </c>
      <c r="F18" s="71">
        <f>SUM(E18*24/100)</f>
        <v>211.48800000000003</v>
      </c>
      <c r="G18" s="71">
        <v>688.14</v>
      </c>
      <c r="H18" s="72">
        <f t="shared" si="0"/>
        <v>145.53335232000001</v>
      </c>
      <c r="I18" s="13">
        <f>F18/12*G18</f>
        <v>12127.779360000002</v>
      </c>
    </row>
    <row r="19" spans="1:9" hidden="1">
      <c r="A19" s="29">
        <v>4</v>
      </c>
      <c r="B19" s="68" t="s">
        <v>115</v>
      </c>
      <c r="C19" s="69" t="s">
        <v>116</v>
      </c>
      <c r="D19" s="68" t="s">
        <v>117</v>
      </c>
      <c r="E19" s="70">
        <v>28.8</v>
      </c>
      <c r="F19" s="71">
        <f>SUM(E19/10)</f>
        <v>2.88</v>
      </c>
      <c r="G19" s="71">
        <v>232.1</v>
      </c>
      <c r="H19" s="72">
        <f t="shared" si="0"/>
        <v>0.66844799999999993</v>
      </c>
      <c r="I19" s="13">
        <f>F19*G19</f>
        <v>668.44799999999998</v>
      </c>
    </row>
    <row r="20" spans="1:9" ht="15.75" customHeight="1">
      <c r="A20" s="29">
        <v>4</v>
      </c>
      <c r="B20" s="68" t="s">
        <v>103</v>
      </c>
      <c r="C20" s="69" t="s">
        <v>111</v>
      </c>
      <c r="D20" s="68" t="s">
        <v>42</v>
      </c>
      <c r="E20" s="70">
        <v>17.5</v>
      </c>
      <c r="F20" s="71">
        <f>SUM(E20*2/100)</f>
        <v>0.35</v>
      </c>
      <c r="G20" s="71">
        <v>297.19</v>
      </c>
      <c r="H20" s="72">
        <f t="shared" si="0"/>
        <v>0.1040165</v>
      </c>
      <c r="I20" s="13">
        <f>F20/12*G20</f>
        <v>8.6680416666666655</v>
      </c>
    </row>
    <row r="21" spans="1:9" ht="15" customHeight="1">
      <c r="A21" s="29">
        <v>5</v>
      </c>
      <c r="B21" s="68" t="s">
        <v>104</v>
      </c>
      <c r="C21" s="69" t="s">
        <v>111</v>
      </c>
      <c r="D21" s="79" t="s">
        <v>42</v>
      </c>
      <c r="E21" s="80">
        <v>5.94</v>
      </c>
      <c r="F21" s="71">
        <f>SUM(E21*2/100)</f>
        <v>0.1188</v>
      </c>
      <c r="G21" s="81">
        <v>294.77999999999997</v>
      </c>
      <c r="H21" s="72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8" t="s">
        <v>118</v>
      </c>
      <c r="C22" s="69" t="s">
        <v>53</v>
      </c>
      <c r="D22" s="68" t="s">
        <v>117</v>
      </c>
      <c r="E22" s="70">
        <v>376</v>
      </c>
      <c r="F22" s="71">
        <f>SUM(E22/100)</f>
        <v>3.76</v>
      </c>
      <c r="G22" s="71">
        <v>367.27</v>
      </c>
      <c r="H22" s="72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8" t="s">
        <v>119</v>
      </c>
      <c r="C23" s="69" t="s">
        <v>53</v>
      </c>
      <c r="D23" s="68" t="s">
        <v>117</v>
      </c>
      <c r="E23" s="70">
        <v>60.4</v>
      </c>
      <c r="F23" s="71">
        <f>SUM(E23/100)</f>
        <v>0.60399999999999998</v>
      </c>
      <c r="G23" s="71">
        <v>60.41</v>
      </c>
      <c r="H23" s="72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8" t="s">
        <v>120</v>
      </c>
      <c r="C24" s="69" t="s">
        <v>53</v>
      </c>
      <c r="D24" s="68" t="s">
        <v>117</v>
      </c>
      <c r="E24" s="70">
        <v>23.75</v>
      </c>
      <c r="F24" s="71">
        <f>SUM(E24/100)</f>
        <v>0.23749999999999999</v>
      </c>
      <c r="G24" s="71">
        <v>294.77999999999997</v>
      </c>
      <c r="H24" s="72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8" t="s">
        <v>108</v>
      </c>
      <c r="C25" s="69" t="s">
        <v>53</v>
      </c>
      <c r="D25" s="68" t="s">
        <v>117</v>
      </c>
      <c r="E25" s="70">
        <v>10.63</v>
      </c>
      <c r="F25" s="71">
        <f>SUM(E25/100)</f>
        <v>0.10630000000000001</v>
      </c>
      <c r="G25" s="71">
        <v>710.37</v>
      </c>
      <c r="H25" s="72">
        <f t="shared" si="0"/>
        <v>7.5512331000000002E-2</v>
      </c>
      <c r="I25" s="13">
        <f>F25*G25</f>
        <v>75.512331000000003</v>
      </c>
    </row>
    <row r="26" spans="1:9" ht="17.25" customHeight="1">
      <c r="A26" s="29">
        <v>6</v>
      </c>
      <c r="B26" s="68" t="s">
        <v>65</v>
      </c>
      <c r="C26" s="69" t="s">
        <v>34</v>
      </c>
      <c r="D26" s="68" t="s">
        <v>64</v>
      </c>
      <c r="E26" s="70">
        <v>0.1</v>
      </c>
      <c r="F26" s="71">
        <f>SUM(E26*155)</f>
        <v>15.5</v>
      </c>
      <c r="G26" s="71">
        <v>275.45</v>
      </c>
      <c r="H26" s="72">
        <f>SUM(F26*G26/1000)</f>
        <v>4.269474999999999</v>
      </c>
      <c r="I26" s="13">
        <f>F26/12*G26</f>
        <v>355.78958333333333</v>
      </c>
    </row>
    <row r="27" spans="1:9">
      <c r="A27" s="29">
        <v>7</v>
      </c>
      <c r="B27" s="76" t="s">
        <v>23</v>
      </c>
      <c r="C27" s="69" t="s">
        <v>24</v>
      </c>
      <c r="D27" s="76"/>
      <c r="E27" s="70">
        <v>5816.5</v>
      </c>
      <c r="F27" s="71">
        <f>SUM(E27*12)</f>
        <v>69798</v>
      </c>
      <c r="G27" s="71">
        <v>4.5199999999999996</v>
      </c>
      <c r="H27" s="72">
        <f>SUM(F27*G27/1000)</f>
        <v>315.48695999999995</v>
      </c>
      <c r="I27" s="13">
        <f>F27/12*G27</f>
        <v>26290.579999999998</v>
      </c>
    </row>
    <row r="28" spans="1:9">
      <c r="A28" s="206" t="s">
        <v>89</v>
      </c>
      <c r="B28" s="206"/>
      <c r="C28" s="206"/>
      <c r="D28" s="206"/>
      <c r="E28" s="206"/>
      <c r="F28" s="206"/>
      <c r="G28" s="206"/>
      <c r="H28" s="206"/>
      <c r="I28" s="206"/>
    </row>
    <row r="29" spans="1:9" ht="16.5" customHeight="1">
      <c r="A29" s="29"/>
      <c r="B29" s="89" t="s">
        <v>28</v>
      </c>
      <c r="C29" s="69"/>
      <c r="D29" s="68"/>
      <c r="E29" s="70"/>
      <c r="F29" s="71"/>
      <c r="G29" s="71"/>
      <c r="H29" s="72"/>
      <c r="I29" s="13"/>
    </row>
    <row r="30" spans="1:9" ht="16.5" customHeight="1">
      <c r="A30" s="29">
        <v>8</v>
      </c>
      <c r="B30" s="68" t="s">
        <v>121</v>
      </c>
      <c r="C30" s="69" t="s">
        <v>122</v>
      </c>
      <c r="D30" s="68" t="s">
        <v>123</v>
      </c>
      <c r="E30" s="71">
        <v>357.22</v>
      </c>
      <c r="F30" s="71">
        <f>SUM(E30*52/1000)</f>
        <v>18.575440000000004</v>
      </c>
      <c r="G30" s="71">
        <v>212.62</v>
      </c>
      <c r="H30" s="72">
        <f t="shared" ref="H30:H36" si="1">SUM(F30*G30/1000)</f>
        <v>3.9495100528000009</v>
      </c>
      <c r="I30" s="13">
        <f>F30/6*G30</f>
        <v>658.25167546666682</v>
      </c>
    </row>
    <row r="31" spans="1:9" ht="31.5" customHeight="1">
      <c r="A31" s="29">
        <v>9</v>
      </c>
      <c r="B31" s="68" t="s">
        <v>184</v>
      </c>
      <c r="C31" s="69" t="s">
        <v>122</v>
      </c>
      <c r="D31" s="68" t="s">
        <v>124</v>
      </c>
      <c r="E31" s="71">
        <v>475.06</v>
      </c>
      <c r="F31" s="71">
        <f>SUM(E31*78/1000)</f>
        <v>37.054679999999998</v>
      </c>
      <c r="G31" s="71">
        <v>352.77</v>
      </c>
      <c r="H31" s="72">
        <f t="shared" si="1"/>
        <v>13.071779463599999</v>
      </c>
      <c r="I31" s="13">
        <f t="shared" ref="I31:I34" si="2">F31/6*G31</f>
        <v>2178.6299105999997</v>
      </c>
    </row>
    <row r="32" spans="1:9" hidden="1">
      <c r="A32" s="29">
        <v>15</v>
      </c>
      <c r="B32" s="68" t="s">
        <v>27</v>
      </c>
      <c r="C32" s="69" t="s">
        <v>122</v>
      </c>
      <c r="D32" s="68" t="s">
        <v>54</v>
      </c>
      <c r="E32" s="71">
        <v>357.22</v>
      </c>
      <c r="F32" s="71">
        <f>SUM(E32/1000)</f>
        <v>0.35722000000000004</v>
      </c>
      <c r="G32" s="71">
        <v>4119.68</v>
      </c>
      <c r="H32" s="72">
        <f t="shared" si="1"/>
        <v>1.4716320896000001</v>
      </c>
      <c r="I32" s="13">
        <f>F32*G32</f>
        <v>1471.6320896000002</v>
      </c>
    </row>
    <row r="33" spans="1:9" ht="15.75" customHeight="1">
      <c r="A33" s="29">
        <v>10</v>
      </c>
      <c r="B33" s="68" t="s">
        <v>153</v>
      </c>
      <c r="C33" s="69" t="s">
        <v>40</v>
      </c>
      <c r="D33" s="68" t="s">
        <v>211</v>
      </c>
      <c r="E33" s="71">
        <v>5</v>
      </c>
      <c r="F33" s="71">
        <f>E33*155/100</f>
        <v>7.75</v>
      </c>
      <c r="G33" s="71">
        <v>1775.94</v>
      </c>
      <c r="H33" s="72">
        <f>G33*F33/1000</f>
        <v>13.763534999999999</v>
      </c>
      <c r="I33" s="13">
        <f t="shared" si="2"/>
        <v>2293.9225000000001</v>
      </c>
    </row>
    <row r="34" spans="1:9" ht="19.5" customHeight="1">
      <c r="A34" s="29">
        <v>11</v>
      </c>
      <c r="B34" s="68" t="s">
        <v>125</v>
      </c>
      <c r="C34" s="69" t="s">
        <v>31</v>
      </c>
      <c r="D34" s="68" t="s">
        <v>64</v>
      </c>
      <c r="E34" s="75">
        <f>1/3</f>
        <v>0.33333333333333331</v>
      </c>
      <c r="F34" s="71">
        <f>155/3</f>
        <v>51.666666666666664</v>
      </c>
      <c r="G34" s="71">
        <v>77.33</v>
      </c>
      <c r="H34" s="72">
        <f>SUM(G34*155/3/1000)</f>
        <v>3.9953833333333333</v>
      </c>
      <c r="I34" s="13">
        <f t="shared" si="2"/>
        <v>665.89722222222213</v>
      </c>
    </row>
    <row r="35" spans="1:9" hidden="1">
      <c r="A35" s="29">
        <v>10</v>
      </c>
      <c r="B35" s="68" t="s">
        <v>66</v>
      </c>
      <c r="C35" s="69" t="s">
        <v>34</v>
      </c>
      <c r="D35" s="68" t="s">
        <v>68</v>
      </c>
      <c r="E35" s="70"/>
      <c r="F35" s="71">
        <v>2</v>
      </c>
      <c r="G35" s="71">
        <v>260.95</v>
      </c>
      <c r="H35" s="72">
        <f t="shared" si="1"/>
        <v>0.52190000000000003</v>
      </c>
      <c r="I35" s="13">
        <v>0</v>
      </c>
    </row>
    <row r="36" spans="1:9" hidden="1">
      <c r="A36" s="29"/>
      <c r="B36" s="68" t="s">
        <v>67</v>
      </c>
      <c r="C36" s="69" t="s">
        <v>33</v>
      </c>
      <c r="D36" s="68" t="s">
        <v>68</v>
      </c>
      <c r="E36" s="70"/>
      <c r="F36" s="71">
        <v>1</v>
      </c>
      <c r="G36" s="71">
        <v>1549.92</v>
      </c>
      <c r="H36" s="72">
        <f t="shared" si="1"/>
        <v>1.54992</v>
      </c>
      <c r="I36" s="13">
        <v>0</v>
      </c>
    </row>
    <row r="37" spans="1:9" hidden="1">
      <c r="A37" s="29"/>
      <c r="B37" s="89" t="s">
        <v>5</v>
      </c>
      <c r="C37" s="69"/>
      <c r="D37" s="68"/>
      <c r="E37" s="70"/>
      <c r="F37" s="71"/>
      <c r="G37" s="71"/>
      <c r="H37" s="72" t="s">
        <v>139</v>
      </c>
      <c r="I37" s="13"/>
    </row>
    <row r="38" spans="1:9" hidden="1">
      <c r="A38" s="29">
        <v>6</v>
      </c>
      <c r="B38" s="68" t="s">
        <v>26</v>
      </c>
      <c r="C38" s="69" t="s">
        <v>33</v>
      </c>
      <c r="D38" s="68"/>
      <c r="E38" s="70"/>
      <c r="F38" s="71">
        <v>5</v>
      </c>
      <c r="G38" s="71">
        <v>2083</v>
      </c>
      <c r="H38" s="72">
        <f t="shared" ref="H38:H45" si="3">SUM(F38*G38/1000)</f>
        <v>10.414999999999999</v>
      </c>
      <c r="I38" s="13">
        <f>F38/6*G38</f>
        <v>1735.8333333333335</v>
      </c>
    </row>
    <row r="39" spans="1:9" hidden="1">
      <c r="A39" s="29">
        <v>7</v>
      </c>
      <c r="B39" s="68" t="s">
        <v>69</v>
      </c>
      <c r="C39" s="69" t="s">
        <v>29</v>
      </c>
      <c r="D39" s="68" t="s">
        <v>126</v>
      </c>
      <c r="E39" s="71">
        <v>469.73</v>
      </c>
      <c r="F39" s="71">
        <f>SUM(E39*30/1000)</f>
        <v>14.091900000000001</v>
      </c>
      <c r="G39" s="71">
        <v>2868.09</v>
      </c>
      <c r="H39" s="72">
        <f t="shared" si="3"/>
        <v>40.416837471000008</v>
      </c>
      <c r="I39" s="13">
        <f t="shared" ref="I39:I45" si="4">F39/6*G39</f>
        <v>6736.1395785000004</v>
      </c>
    </row>
    <row r="40" spans="1:9" ht="30" hidden="1">
      <c r="A40" s="29">
        <v>8</v>
      </c>
      <c r="B40" s="68" t="s">
        <v>70</v>
      </c>
      <c r="C40" s="69" t="s">
        <v>29</v>
      </c>
      <c r="D40" s="68" t="s">
        <v>127</v>
      </c>
      <c r="E40" s="71">
        <v>475.06</v>
      </c>
      <c r="F40" s="71">
        <f>SUM(E40*155/1000)</f>
        <v>73.634299999999996</v>
      </c>
      <c r="G40" s="71">
        <v>478.42</v>
      </c>
      <c r="H40" s="72">
        <f t="shared" si="3"/>
        <v>35.228121806000004</v>
      </c>
      <c r="I40" s="13">
        <f t="shared" si="4"/>
        <v>5871.3536343333326</v>
      </c>
    </row>
    <row r="41" spans="1:9" ht="30" hidden="1">
      <c r="A41" s="29">
        <v>9</v>
      </c>
      <c r="B41" s="68" t="s">
        <v>99</v>
      </c>
      <c r="C41" s="69" t="s">
        <v>143</v>
      </c>
      <c r="D41" s="68" t="s">
        <v>212</v>
      </c>
      <c r="E41" s="70"/>
      <c r="F41" s="71">
        <v>39</v>
      </c>
      <c r="G41" s="71">
        <v>314</v>
      </c>
      <c r="H41" s="72">
        <f>SUM(F41*G41/1000)</f>
        <v>12.246</v>
      </c>
      <c r="I41" s="13">
        <v>0</v>
      </c>
    </row>
    <row r="42" spans="1:9" ht="60" hidden="1">
      <c r="A42" s="29">
        <v>9</v>
      </c>
      <c r="B42" s="68" t="s">
        <v>86</v>
      </c>
      <c r="C42" s="69" t="s">
        <v>122</v>
      </c>
      <c r="D42" s="68" t="s">
        <v>144</v>
      </c>
      <c r="E42" s="71">
        <v>40.6</v>
      </c>
      <c r="F42" s="71">
        <f>SUM(E42*35/1000)</f>
        <v>1.421</v>
      </c>
      <c r="G42" s="71">
        <v>7915.6</v>
      </c>
      <c r="H42" s="72">
        <f t="shared" si="3"/>
        <v>11.248067600000001</v>
      </c>
      <c r="I42" s="13">
        <f t="shared" si="4"/>
        <v>1874.6779333333334</v>
      </c>
    </row>
    <row r="43" spans="1:9" hidden="1">
      <c r="A43" s="29">
        <v>10</v>
      </c>
      <c r="B43" s="68" t="s">
        <v>128</v>
      </c>
      <c r="C43" s="69" t="s">
        <v>122</v>
      </c>
      <c r="D43" s="68" t="s">
        <v>71</v>
      </c>
      <c r="E43" s="71">
        <v>167.03</v>
      </c>
      <c r="F43" s="71">
        <f>SUM(E43*45/1000)</f>
        <v>7.5163500000000001</v>
      </c>
      <c r="G43" s="71">
        <v>584.74</v>
      </c>
      <c r="H43" s="72">
        <f t="shared" si="3"/>
        <v>4.3951104990000003</v>
      </c>
      <c r="I43" s="13">
        <f>(F43/7.5*1.5)*G43</f>
        <v>879.02209980000009</v>
      </c>
    </row>
    <row r="44" spans="1:9" hidden="1">
      <c r="A44" s="29">
        <v>11</v>
      </c>
      <c r="B44" s="68" t="s">
        <v>72</v>
      </c>
      <c r="C44" s="69" t="s">
        <v>34</v>
      </c>
      <c r="D44" s="68"/>
      <c r="E44" s="70"/>
      <c r="F44" s="71">
        <v>1.2</v>
      </c>
      <c r="G44" s="71">
        <v>800</v>
      </c>
      <c r="H44" s="72">
        <f t="shared" si="3"/>
        <v>0.96</v>
      </c>
      <c r="I44" s="13">
        <f>(F44/7.5*1.5)*G44</f>
        <v>192</v>
      </c>
    </row>
    <row r="45" spans="1:9" ht="30" hidden="1">
      <c r="A45" s="29">
        <v>12</v>
      </c>
      <c r="B45" s="46" t="s">
        <v>213</v>
      </c>
      <c r="C45" s="64" t="s">
        <v>29</v>
      </c>
      <c r="D45" s="68" t="s">
        <v>214</v>
      </c>
      <c r="E45" s="70">
        <v>4.2</v>
      </c>
      <c r="F45" s="71">
        <f>SUM(E45*12/1000)</f>
        <v>5.0400000000000007E-2</v>
      </c>
      <c r="G45" s="71">
        <v>270.61</v>
      </c>
      <c r="H45" s="72">
        <f t="shared" si="3"/>
        <v>1.3638744000000003E-2</v>
      </c>
      <c r="I45" s="13">
        <f t="shared" si="4"/>
        <v>2.2731240000000006</v>
      </c>
    </row>
    <row r="46" spans="1:9">
      <c r="A46" s="222" t="s">
        <v>226</v>
      </c>
      <c r="B46" s="223"/>
      <c r="C46" s="223"/>
      <c r="D46" s="223"/>
      <c r="E46" s="223"/>
      <c r="F46" s="223"/>
      <c r="G46" s="223"/>
      <c r="H46" s="223"/>
      <c r="I46" s="224"/>
    </row>
    <row r="47" spans="1:9" ht="15.75" customHeight="1">
      <c r="A47" s="29">
        <v>12</v>
      </c>
      <c r="B47" s="68" t="s">
        <v>129</v>
      </c>
      <c r="C47" s="69" t="s">
        <v>122</v>
      </c>
      <c r="D47" s="68" t="s">
        <v>42</v>
      </c>
      <c r="E47" s="70">
        <v>1603.6</v>
      </c>
      <c r="F47" s="71">
        <f>SUM(E47*2/1000)</f>
        <v>3.2071999999999998</v>
      </c>
      <c r="G47" s="13">
        <v>1158.7</v>
      </c>
      <c r="H47" s="72">
        <f t="shared" ref="H47:H55" si="5">SUM(F47*G47/1000)</f>
        <v>3.71618264</v>
      </c>
      <c r="I47" s="13">
        <f>F47/2*G47</f>
        <v>1858.09132</v>
      </c>
    </row>
    <row r="48" spans="1:9" ht="18" customHeight="1">
      <c r="A48" s="29">
        <v>13</v>
      </c>
      <c r="B48" s="68" t="s">
        <v>35</v>
      </c>
      <c r="C48" s="69" t="s">
        <v>122</v>
      </c>
      <c r="D48" s="68" t="s">
        <v>42</v>
      </c>
      <c r="E48" s="70">
        <v>65</v>
      </c>
      <c r="F48" s="71">
        <f>SUM(E48*2/1000)</f>
        <v>0.13</v>
      </c>
      <c r="G48" s="13">
        <v>790.38</v>
      </c>
      <c r="H48" s="72">
        <f t="shared" si="5"/>
        <v>0.1027494</v>
      </c>
      <c r="I48" s="13">
        <f>F48/2*G48</f>
        <v>51.374700000000004</v>
      </c>
    </row>
    <row r="49" spans="1:9" ht="15.75" customHeight="1">
      <c r="A49" s="29">
        <v>14</v>
      </c>
      <c r="B49" s="68" t="s">
        <v>36</v>
      </c>
      <c r="C49" s="69" t="s">
        <v>122</v>
      </c>
      <c r="D49" s="68" t="s">
        <v>42</v>
      </c>
      <c r="E49" s="70">
        <v>1825.8</v>
      </c>
      <c r="F49" s="71">
        <f>SUM(E49*2/1000)</f>
        <v>3.6515999999999997</v>
      </c>
      <c r="G49" s="13">
        <v>790.38</v>
      </c>
      <c r="H49" s="72">
        <f t="shared" si="5"/>
        <v>2.8861516079999996</v>
      </c>
      <c r="I49" s="13">
        <f t="shared" ref="I49:I54" si="6">F49/2*G49</f>
        <v>1443.0758039999998</v>
      </c>
    </row>
    <row r="50" spans="1:9" ht="16.5" customHeight="1">
      <c r="A50" s="29">
        <v>15</v>
      </c>
      <c r="B50" s="68" t="s">
        <v>37</v>
      </c>
      <c r="C50" s="69" t="s">
        <v>122</v>
      </c>
      <c r="D50" s="68" t="s">
        <v>42</v>
      </c>
      <c r="E50" s="70">
        <v>3163.96</v>
      </c>
      <c r="F50" s="71">
        <f>SUM(E50*2/1000)</f>
        <v>6.3279199999999998</v>
      </c>
      <c r="G50" s="13">
        <v>827.65</v>
      </c>
      <c r="H50" s="72">
        <f t="shared" si="5"/>
        <v>5.2373029879999997</v>
      </c>
      <c r="I50" s="13">
        <f t="shared" si="6"/>
        <v>2618.6514939999997</v>
      </c>
    </row>
    <row r="51" spans="1:9" ht="13.5" customHeight="1">
      <c r="A51" s="29">
        <v>16</v>
      </c>
      <c r="B51" s="68" t="s">
        <v>57</v>
      </c>
      <c r="C51" s="69" t="s">
        <v>122</v>
      </c>
      <c r="D51" s="68" t="s">
        <v>185</v>
      </c>
      <c r="E51" s="70">
        <v>5816.5</v>
      </c>
      <c r="F51" s="71">
        <f>SUM(E51*5/1000)</f>
        <v>29.0825</v>
      </c>
      <c r="G51" s="13">
        <v>1655.27</v>
      </c>
      <c r="H51" s="72">
        <f t="shared" si="5"/>
        <v>48.139389774999998</v>
      </c>
      <c r="I51" s="13">
        <f>F51/5*G51</f>
        <v>9627.8779549999999</v>
      </c>
    </row>
    <row r="52" spans="1:9" ht="45" hidden="1">
      <c r="A52" s="29">
        <v>13</v>
      </c>
      <c r="B52" s="68" t="s">
        <v>130</v>
      </c>
      <c r="C52" s="69" t="s">
        <v>122</v>
      </c>
      <c r="D52" s="68" t="s">
        <v>42</v>
      </c>
      <c r="E52" s="70">
        <v>5816.5</v>
      </c>
      <c r="F52" s="71">
        <f>SUM(E52*2/1000)</f>
        <v>11.632999999999999</v>
      </c>
      <c r="G52" s="13">
        <v>1655.27</v>
      </c>
      <c r="H52" s="72">
        <f t="shared" si="5"/>
        <v>19.255755910000001</v>
      </c>
      <c r="I52" s="13">
        <f t="shared" si="6"/>
        <v>9627.8779549999999</v>
      </c>
    </row>
    <row r="53" spans="1:9" ht="30" hidden="1">
      <c r="A53" s="29">
        <v>14</v>
      </c>
      <c r="B53" s="68" t="s">
        <v>131</v>
      </c>
      <c r="C53" s="69" t="s">
        <v>38</v>
      </c>
      <c r="D53" s="68" t="s">
        <v>42</v>
      </c>
      <c r="E53" s="70">
        <v>25</v>
      </c>
      <c r="F53" s="71">
        <f>SUM(E53*2/100)</f>
        <v>0.5</v>
      </c>
      <c r="G53" s="13">
        <v>3724.37</v>
      </c>
      <c r="H53" s="72">
        <f t="shared" si="5"/>
        <v>1.862185</v>
      </c>
      <c r="I53" s="13">
        <f t="shared" si="6"/>
        <v>931.09249999999997</v>
      </c>
    </row>
    <row r="54" spans="1:9" hidden="1">
      <c r="A54" s="29">
        <v>15</v>
      </c>
      <c r="B54" s="68" t="s">
        <v>39</v>
      </c>
      <c r="C54" s="69" t="s">
        <v>40</v>
      </c>
      <c r="D54" s="68" t="s">
        <v>42</v>
      </c>
      <c r="E54" s="70">
        <v>1</v>
      </c>
      <c r="F54" s="71">
        <v>0.02</v>
      </c>
      <c r="G54" s="13">
        <v>7709.44</v>
      </c>
      <c r="H54" s="72">
        <f t="shared" si="5"/>
        <v>0.15418879999999999</v>
      </c>
      <c r="I54" s="13">
        <f t="shared" si="6"/>
        <v>77.094399999999993</v>
      </c>
    </row>
    <row r="55" spans="1:9" hidden="1">
      <c r="A55" s="29">
        <v>11</v>
      </c>
      <c r="B55" s="68" t="s">
        <v>41</v>
      </c>
      <c r="C55" s="69" t="s">
        <v>31</v>
      </c>
      <c r="D55" s="68" t="s">
        <v>73</v>
      </c>
      <c r="E55" s="70">
        <v>198</v>
      </c>
      <c r="F55" s="71">
        <f>SUM(E55)*3</f>
        <v>594</v>
      </c>
      <c r="G55" s="13">
        <v>89.59</v>
      </c>
      <c r="H55" s="72">
        <f t="shared" si="5"/>
        <v>53.216459999999998</v>
      </c>
      <c r="I55" s="13">
        <f>F55/3*G55</f>
        <v>17738.82</v>
      </c>
    </row>
    <row r="56" spans="1:9">
      <c r="A56" s="207" t="s">
        <v>188</v>
      </c>
      <c r="B56" s="208"/>
      <c r="C56" s="208"/>
      <c r="D56" s="208"/>
      <c r="E56" s="208"/>
      <c r="F56" s="208"/>
      <c r="G56" s="208"/>
      <c r="H56" s="208"/>
      <c r="I56" s="209"/>
    </row>
    <row r="57" spans="1:9">
      <c r="A57" s="29"/>
      <c r="B57" s="89" t="s">
        <v>43</v>
      </c>
      <c r="C57" s="69"/>
      <c r="D57" s="68"/>
      <c r="E57" s="70"/>
      <c r="F57" s="71"/>
      <c r="G57" s="71"/>
      <c r="H57" s="72"/>
      <c r="I57" s="13"/>
    </row>
    <row r="58" spans="1:9" ht="45" hidden="1">
      <c r="A58" s="29">
        <v>16</v>
      </c>
      <c r="B58" s="68" t="s">
        <v>133</v>
      </c>
      <c r="C58" s="69" t="s">
        <v>111</v>
      </c>
      <c r="D58" s="68" t="s">
        <v>74</v>
      </c>
      <c r="E58" s="70">
        <v>118.3</v>
      </c>
      <c r="F58" s="71">
        <f>E58*6/100</f>
        <v>7.0979999999999999</v>
      </c>
      <c r="G58" s="78">
        <v>2110.4699999999998</v>
      </c>
      <c r="H58" s="72">
        <f>F58*G58/1000</f>
        <v>14.980116059999999</v>
      </c>
      <c r="I58" s="13">
        <f>G58*1.028</f>
        <v>2169.5631599999997</v>
      </c>
    </row>
    <row r="59" spans="1:9" hidden="1">
      <c r="A59" s="29">
        <v>17</v>
      </c>
      <c r="B59" s="68" t="s">
        <v>215</v>
      </c>
      <c r="C59" s="69" t="s">
        <v>111</v>
      </c>
      <c r="D59" s="68" t="s">
        <v>74</v>
      </c>
      <c r="E59" s="77">
        <v>3.78</v>
      </c>
      <c r="F59" s="13">
        <f>E59*6/100</f>
        <v>0.2268</v>
      </c>
      <c r="G59" s="71">
        <v>2110.4699999999998</v>
      </c>
      <c r="H59" s="72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9" t="s">
        <v>105</v>
      </c>
      <c r="C60" s="69" t="s">
        <v>106</v>
      </c>
      <c r="D60" s="79" t="s">
        <v>42</v>
      </c>
      <c r="E60" s="80">
        <v>5</v>
      </c>
      <c r="F60" s="81">
        <v>10</v>
      </c>
      <c r="G60" s="78">
        <v>246.58</v>
      </c>
      <c r="H60" s="82">
        <v>0.99099999999999999</v>
      </c>
      <c r="I60" s="13">
        <f>F60/2*G60</f>
        <v>1232.9000000000001</v>
      </c>
    </row>
    <row r="61" spans="1:9" ht="18.75" customHeight="1">
      <c r="A61" s="29">
        <v>17</v>
      </c>
      <c r="B61" s="79" t="s">
        <v>216</v>
      </c>
      <c r="C61" s="83" t="s">
        <v>33</v>
      </c>
      <c r="D61" s="79" t="s">
        <v>68</v>
      </c>
      <c r="E61" s="80"/>
      <c r="F61" s="82">
        <v>5</v>
      </c>
      <c r="G61" s="105">
        <v>1645</v>
      </c>
      <c r="H61" s="82">
        <f>SUM(F61*G61/1000)</f>
        <v>8.2249999999999996</v>
      </c>
      <c r="I61" s="105">
        <f>G61*5</f>
        <v>8225</v>
      </c>
    </row>
    <row r="62" spans="1:9" ht="16.5" customHeight="1">
      <c r="A62" s="29"/>
      <c r="B62" s="90" t="s">
        <v>44</v>
      </c>
      <c r="C62" s="83"/>
      <c r="D62" s="68"/>
      <c r="E62" s="70"/>
      <c r="F62" s="71"/>
      <c r="G62" s="71"/>
      <c r="H62" s="71"/>
      <c r="I62" s="132"/>
    </row>
    <row r="63" spans="1:9" hidden="1">
      <c r="A63" s="29"/>
      <c r="B63" s="79" t="s">
        <v>45</v>
      </c>
      <c r="C63" s="83" t="s">
        <v>53</v>
      </c>
      <c r="D63" s="68" t="s">
        <v>54</v>
      </c>
      <c r="E63" s="70">
        <v>352</v>
      </c>
      <c r="F63" s="71">
        <f>E63/100</f>
        <v>3.52</v>
      </c>
      <c r="G63" s="71">
        <v>1082.47</v>
      </c>
      <c r="H63" s="71">
        <f>G63*F63/1000</f>
        <v>3.8102944000000001</v>
      </c>
      <c r="I63" s="132">
        <v>0</v>
      </c>
    </row>
    <row r="64" spans="1:9" ht="18" customHeight="1">
      <c r="A64" s="29">
        <v>18</v>
      </c>
      <c r="B64" s="79" t="s">
        <v>100</v>
      </c>
      <c r="C64" s="83" t="s">
        <v>25</v>
      </c>
      <c r="D64" s="68" t="s">
        <v>156</v>
      </c>
      <c r="E64" s="70">
        <v>200</v>
      </c>
      <c r="F64" s="71">
        <f>E64*12</f>
        <v>2400</v>
      </c>
      <c r="G64" s="71">
        <v>1.2</v>
      </c>
      <c r="H64" s="71">
        <f>G64*F64/1000</f>
        <v>2.88</v>
      </c>
      <c r="I64" s="13">
        <f>F64/12*G64</f>
        <v>240</v>
      </c>
    </row>
    <row r="65" spans="1:9" ht="18" customHeight="1">
      <c r="A65" s="29"/>
      <c r="B65" s="90" t="s">
        <v>46</v>
      </c>
      <c r="C65" s="83"/>
      <c r="D65" s="129"/>
      <c r="E65" s="73"/>
      <c r="F65" s="124"/>
      <c r="G65" s="124"/>
      <c r="H65" s="130" t="s">
        <v>139</v>
      </c>
      <c r="I65" s="131"/>
    </row>
    <row r="66" spans="1:9" ht="18" customHeight="1">
      <c r="A66" s="29">
        <v>19</v>
      </c>
      <c r="B66" s="14" t="s">
        <v>47</v>
      </c>
      <c r="C66" s="16" t="s">
        <v>132</v>
      </c>
      <c r="D66" s="14" t="s">
        <v>68</v>
      </c>
      <c r="E66" s="18">
        <v>14</v>
      </c>
      <c r="F66" s="13">
        <f>SUM(E66)</f>
        <v>14</v>
      </c>
      <c r="G66" s="13">
        <v>303.35000000000002</v>
      </c>
      <c r="H66" s="65">
        <f t="shared" ref="H66:H85" si="7">SUM(F66*G66/1000)</f>
        <v>4.2469000000000001</v>
      </c>
      <c r="I66" s="13">
        <f>G66*5</f>
        <v>1516.75</v>
      </c>
    </row>
    <row r="67" spans="1:9" hidden="1">
      <c r="A67" s="29"/>
      <c r="B67" s="14" t="s">
        <v>48</v>
      </c>
      <c r="C67" s="16" t="s">
        <v>132</v>
      </c>
      <c r="D67" s="14" t="s">
        <v>68</v>
      </c>
      <c r="E67" s="18">
        <v>7</v>
      </c>
      <c r="F67" s="13">
        <f>SUM(E67)</f>
        <v>7</v>
      </c>
      <c r="G67" s="13">
        <v>104.01</v>
      </c>
      <c r="H67" s="65">
        <f t="shared" si="7"/>
        <v>0.72806999999999999</v>
      </c>
      <c r="I67" s="13">
        <v>0</v>
      </c>
    </row>
    <row r="68" spans="1:9" hidden="1">
      <c r="A68" s="29">
        <v>24</v>
      </c>
      <c r="B68" s="14" t="s">
        <v>49</v>
      </c>
      <c r="C68" s="16" t="s">
        <v>134</v>
      </c>
      <c r="D68" s="14" t="s">
        <v>54</v>
      </c>
      <c r="E68" s="70">
        <v>23808</v>
      </c>
      <c r="F68" s="13">
        <f>SUM(E68/100)</f>
        <v>238.08</v>
      </c>
      <c r="G68" s="13">
        <v>289.37</v>
      </c>
      <c r="H68" s="65">
        <f t="shared" si="7"/>
        <v>68.893209600000006</v>
      </c>
      <c r="I68" s="13">
        <f t="shared" ref="I68:I72" si="8">F68*G68</f>
        <v>68893.209600000002</v>
      </c>
    </row>
    <row r="69" spans="1:9" hidden="1">
      <c r="A69" s="29">
        <v>25</v>
      </c>
      <c r="B69" s="14" t="s">
        <v>50</v>
      </c>
      <c r="C69" s="16" t="s">
        <v>135</v>
      </c>
      <c r="D69" s="14"/>
      <c r="E69" s="70">
        <v>23808</v>
      </c>
      <c r="F69" s="13">
        <f>SUM(E69/1000)</f>
        <v>23.808</v>
      </c>
      <c r="G69" s="13">
        <v>225.35</v>
      </c>
      <c r="H69" s="65">
        <f t="shared" si="7"/>
        <v>5.3651327999999996</v>
      </c>
      <c r="I69" s="13">
        <f t="shared" si="8"/>
        <v>5365.1327999999994</v>
      </c>
    </row>
    <row r="70" spans="1:9" hidden="1">
      <c r="A70" s="29">
        <v>26</v>
      </c>
      <c r="B70" s="14" t="s">
        <v>51</v>
      </c>
      <c r="C70" s="16" t="s">
        <v>79</v>
      </c>
      <c r="D70" s="14" t="s">
        <v>54</v>
      </c>
      <c r="E70" s="70">
        <v>3810</v>
      </c>
      <c r="F70" s="13">
        <f>SUM(E70/100)</f>
        <v>38.1</v>
      </c>
      <c r="G70" s="13">
        <v>2829.78</v>
      </c>
      <c r="H70" s="65">
        <f t="shared" si="7"/>
        <v>107.81461800000001</v>
      </c>
      <c r="I70" s="13">
        <f t="shared" si="8"/>
        <v>107814.61800000002</v>
      </c>
    </row>
    <row r="71" spans="1:9" hidden="1">
      <c r="A71" s="29">
        <v>27</v>
      </c>
      <c r="B71" s="85" t="s">
        <v>136</v>
      </c>
      <c r="C71" s="16" t="s">
        <v>34</v>
      </c>
      <c r="D71" s="14"/>
      <c r="E71" s="70">
        <v>12.8</v>
      </c>
      <c r="F71" s="13">
        <f>SUM(E71)</f>
        <v>12.8</v>
      </c>
      <c r="G71" s="13">
        <v>44.31</v>
      </c>
      <c r="H71" s="65">
        <f t="shared" si="7"/>
        <v>0.56716800000000001</v>
      </c>
      <c r="I71" s="13">
        <f t="shared" si="8"/>
        <v>567.16800000000001</v>
      </c>
    </row>
    <row r="72" spans="1:9" hidden="1">
      <c r="A72" s="29">
        <v>28</v>
      </c>
      <c r="B72" s="85" t="s">
        <v>146</v>
      </c>
      <c r="C72" s="16" t="s">
        <v>34</v>
      </c>
      <c r="D72" s="14"/>
      <c r="E72" s="70">
        <v>12.8</v>
      </c>
      <c r="F72" s="13">
        <f>SUM(E72)</f>
        <v>12.8</v>
      </c>
      <c r="G72" s="13">
        <v>47.79</v>
      </c>
      <c r="H72" s="65">
        <f t="shared" si="7"/>
        <v>0.61171200000000003</v>
      </c>
      <c r="I72" s="13">
        <f t="shared" si="8"/>
        <v>611.71199999999999</v>
      </c>
    </row>
    <row r="73" spans="1:9" ht="19.5" customHeight="1">
      <c r="A73" s="29">
        <v>20</v>
      </c>
      <c r="B73" s="14" t="s">
        <v>58</v>
      </c>
      <c r="C73" s="16" t="s">
        <v>59</v>
      </c>
      <c r="D73" s="14" t="s">
        <v>54</v>
      </c>
      <c r="E73" s="18">
        <v>6</v>
      </c>
      <c r="F73" s="71">
        <f>SUM(E73)</f>
        <v>6</v>
      </c>
      <c r="G73" s="13">
        <v>68.040000000000006</v>
      </c>
      <c r="H73" s="65">
        <f t="shared" si="7"/>
        <v>0.40823999999999999</v>
      </c>
      <c r="I73" s="13">
        <f>F73*G73</f>
        <v>408.24</v>
      </c>
    </row>
    <row r="74" spans="1:9" ht="33" customHeight="1">
      <c r="A74" s="29">
        <v>21</v>
      </c>
      <c r="B74" s="85" t="s">
        <v>217</v>
      </c>
      <c r="C74" s="16"/>
      <c r="D74" s="14" t="s">
        <v>30</v>
      </c>
      <c r="E74" s="18">
        <v>1</v>
      </c>
      <c r="F74" s="13">
        <v>12</v>
      </c>
      <c r="G74" s="13">
        <v>1194</v>
      </c>
      <c r="H74" s="65">
        <f t="shared" si="7"/>
        <v>14.327999999999999</v>
      </c>
      <c r="I74" s="13">
        <f>F74/12*G74</f>
        <v>1194</v>
      </c>
    </row>
    <row r="75" spans="1:9" ht="17.25" customHeight="1">
      <c r="A75" s="29"/>
      <c r="B75" s="170" t="s">
        <v>218</v>
      </c>
      <c r="C75" s="16"/>
      <c r="D75" s="14"/>
      <c r="E75" s="18"/>
      <c r="F75" s="58"/>
      <c r="G75" s="13"/>
      <c r="H75" s="65"/>
      <c r="I75" s="13"/>
    </row>
    <row r="76" spans="1:9" ht="35.25" customHeight="1">
      <c r="A76" s="29">
        <v>22</v>
      </c>
      <c r="B76" s="14" t="s">
        <v>219</v>
      </c>
      <c r="C76" s="29" t="s">
        <v>220</v>
      </c>
      <c r="D76" s="14" t="s">
        <v>68</v>
      </c>
      <c r="E76" s="18">
        <v>5816.5</v>
      </c>
      <c r="F76" s="71">
        <f>SUM(E76)*12</f>
        <v>69798</v>
      </c>
      <c r="G76" s="13">
        <v>2.37</v>
      </c>
      <c r="H76" s="65">
        <f t="shared" ref="H76" si="9">SUM(F76*G76/1000)</f>
        <v>165.42126000000002</v>
      </c>
      <c r="I76" s="13">
        <f>F76/12*G76</f>
        <v>13785.105000000001</v>
      </c>
    </row>
    <row r="77" spans="1:9" ht="27.75" customHeight="1">
      <c r="A77" s="29">
        <v>23</v>
      </c>
      <c r="B77" s="46" t="s">
        <v>221</v>
      </c>
      <c r="C77" s="64" t="s">
        <v>132</v>
      </c>
      <c r="D77" s="14" t="s">
        <v>30</v>
      </c>
      <c r="E77" s="126">
        <v>1</v>
      </c>
      <c r="F77" s="81">
        <f>E77*12</f>
        <v>12</v>
      </c>
      <c r="G77" s="105">
        <v>55.55</v>
      </c>
      <c r="H77" s="65">
        <f>SUM(F77*G77/1000)</f>
        <v>0.66659999999999986</v>
      </c>
      <c r="I77" s="13">
        <f>F77/12*G77</f>
        <v>55.55</v>
      </c>
    </row>
    <row r="78" spans="1:9" hidden="1">
      <c r="A78" s="118"/>
      <c r="B78" s="170" t="s">
        <v>75</v>
      </c>
      <c r="C78" s="16"/>
      <c r="D78" s="14"/>
      <c r="E78" s="18"/>
      <c r="F78" s="13"/>
      <c r="G78" s="13"/>
      <c r="H78" s="65" t="s">
        <v>139</v>
      </c>
      <c r="I78" s="119"/>
    </row>
    <row r="79" spans="1:9" ht="30" hidden="1">
      <c r="A79" s="118"/>
      <c r="B79" s="14" t="s">
        <v>222</v>
      </c>
      <c r="C79" s="16" t="s">
        <v>31</v>
      </c>
      <c r="D79" s="14" t="s">
        <v>68</v>
      </c>
      <c r="E79" s="18">
        <v>2</v>
      </c>
      <c r="F79" s="71">
        <f t="shared" ref="F79" si="10">E79</f>
        <v>2</v>
      </c>
      <c r="G79" s="13">
        <v>2112.2800000000002</v>
      </c>
      <c r="H79" s="65">
        <f>G79*F79/1000</f>
        <v>4.2245600000000003</v>
      </c>
      <c r="I79" s="119">
        <v>0</v>
      </c>
    </row>
    <row r="80" spans="1:9" hidden="1">
      <c r="A80" s="118"/>
      <c r="B80" s="46" t="s">
        <v>223</v>
      </c>
      <c r="C80" s="64" t="s">
        <v>132</v>
      </c>
      <c r="D80" s="14" t="s">
        <v>68</v>
      </c>
      <c r="E80" s="18">
        <v>5</v>
      </c>
      <c r="F80" s="13">
        <v>5</v>
      </c>
      <c r="G80" s="13">
        <v>136.19999999999999</v>
      </c>
      <c r="H80" s="65">
        <f t="shared" ref="H80:H83" si="11">SUM(F80*G80/1000)</f>
        <v>0.68100000000000005</v>
      </c>
      <c r="I80" s="119">
        <v>0</v>
      </c>
    </row>
    <row r="81" spans="1:9" hidden="1">
      <c r="A81" s="118"/>
      <c r="B81" s="14" t="s">
        <v>76</v>
      </c>
      <c r="C81" s="16" t="s">
        <v>224</v>
      </c>
      <c r="D81" s="14" t="s">
        <v>68</v>
      </c>
      <c r="E81" s="18">
        <v>6</v>
      </c>
      <c r="F81" s="13">
        <f>E81/10</f>
        <v>0.6</v>
      </c>
      <c r="G81" s="13">
        <v>684.19</v>
      </c>
      <c r="H81" s="65">
        <f t="shared" si="11"/>
        <v>0.41051399999999999</v>
      </c>
      <c r="I81" s="119">
        <v>0</v>
      </c>
    </row>
    <row r="82" spans="1:9" hidden="1">
      <c r="A82" s="118"/>
      <c r="B82" s="14" t="s">
        <v>77</v>
      </c>
      <c r="C82" s="16" t="s">
        <v>31</v>
      </c>
      <c r="D82" s="14" t="s">
        <v>68</v>
      </c>
      <c r="E82" s="18">
        <v>1</v>
      </c>
      <c r="F82" s="58">
        <v>1</v>
      </c>
      <c r="G82" s="13">
        <v>1163.47</v>
      </c>
      <c r="H82" s="65">
        <f t="shared" si="11"/>
        <v>1.16347</v>
      </c>
      <c r="I82" s="119">
        <v>0</v>
      </c>
    </row>
    <row r="83" spans="1:9" hidden="1">
      <c r="A83" s="118"/>
      <c r="B83" s="46" t="s">
        <v>225</v>
      </c>
      <c r="C83" s="64" t="s">
        <v>132</v>
      </c>
      <c r="D83" s="14" t="s">
        <v>68</v>
      </c>
      <c r="E83" s="18">
        <v>1</v>
      </c>
      <c r="F83" s="71">
        <f>E83</f>
        <v>1</v>
      </c>
      <c r="G83" s="13">
        <v>1670.07</v>
      </c>
      <c r="H83" s="65">
        <f t="shared" si="11"/>
        <v>1.6700699999999999</v>
      </c>
      <c r="I83" s="119">
        <v>0</v>
      </c>
    </row>
    <row r="84" spans="1:9" hidden="1">
      <c r="A84" s="118"/>
      <c r="B84" s="86" t="s">
        <v>78</v>
      </c>
      <c r="C84" s="16"/>
      <c r="D84" s="14"/>
      <c r="E84" s="18"/>
      <c r="F84" s="13"/>
      <c r="G84" s="13" t="s">
        <v>139</v>
      </c>
      <c r="H84" s="65" t="s">
        <v>139</v>
      </c>
      <c r="I84" s="119"/>
    </row>
    <row r="85" spans="1:9" hidden="1">
      <c r="A85" s="118"/>
      <c r="B85" s="42" t="s">
        <v>140</v>
      </c>
      <c r="C85" s="16" t="s">
        <v>79</v>
      </c>
      <c r="D85" s="14"/>
      <c r="E85" s="18"/>
      <c r="F85" s="13">
        <v>0.6</v>
      </c>
      <c r="G85" s="13">
        <v>4144.28</v>
      </c>
      <c r="H85" s="65">
        <f t="shared" si="7"/>
        <v>2.4865679999999997</v>
      </c>
      <c r="I85" s="119">
        <v>0</v>
      </c>
    </row>
    <row r="86" spans="1:9" ht="28.5" hidden="1">
      <c r="A86" s="118"/>
      <c r="B86" s="170" t="s">
        <v>137</v>
      </c>
      <c r="C86" s="86"/>
      <c r="D86" s="125"/>
      <c r="E86" s="31"/>
      <c r="F86" s="127"/>
      <c r="G86" s="127"/>
      <c r="H86" s="128">
        <f>SUM(H58:H85)</f>
        <v>411.05215745600003</v>
      </c>
      <c r="I86" s="119"/>
    </row>
    <row r="87" spans="1:9" hidden="1">
      <c r="A87" s="118"/>
      <c r="B87" s="68" t="s">
        <v>138</v>
      </c>
      <c r="C87" s="16"/>
      <c r="D87" s="14"/>
      <c r="E87" s="59"/>
      <c r="F87" s="13">
        <v>1</v>
      </c>
      <c r="G87" s="13">
        <v>24117.599999999999</v>
      </c>
      <c r="H87" s="65">
        <f>G87*F87/1000</f>
        <v>24.117599999999999</v>
      </c>
      <c r="I87" s="119">
        <v>0</v>
      </c>
    </row>
    <row r="88" spans="1:9">
      <c r="A88" s="196" t="s">
        <v>189</v>
      </c>
      <c r="B88" s="197"/>
      <c r="C88" s="197"/>
      <c r="D88" s="197"/>
      <c r="E88" s="197"/>
      <c r="F88" s="197"/>
      <c r="G88" s="197"/>
      <c r="H88" s="197"/>
      <c r="I88" s="198"/>
    </row>
    <row r="89" spans="1:9" ht="16.5" customHeight="1">
      <c r="A89" s="118">
        <v>24</v>
      </c>
      <c r="B89" s="68" t="s">
        <v>141</v>
      </c>
      <c r="C89" s="16" t="s">
        <v>55</v>
      </c>
      <c r="D89" s="87" t="s">
        <v>56</v>
      </c>
      <c r="E89" s="13">
        <v>5816.5</v>
      </c>
      <c r="F89" s="13">
        <f>SUM(E89*12)</f>
        <v>69798</v>
      </c>
      <c r="G89" s="13">
        <v>3.22</v>
      </c>
      <c r="H89" s="65">
        <f>SUM(F89*G89/1000)</f>
        <v>224.74956000000003</v>
      </c>
      <c r="I89" s="13">
        <f>F89/12*G89</f>
        <v>18729.13</v>
      </c>
    </row>
    <row r="90" spans="1:9" ht="36.75" customHeight="1">
      <c r="A90" s="29">
        <v>25</v>
      </c>
      <c r="B90" s="14" t="s">
        <v>80</v>
      </c>
      <c r="C90" s="16"/>
      <c r="D90" s="87" t="s">
        <v>56</v>
      </c>
      <c r="E90" s="70">
        <f>E89</f>
        <v>5816.5</v>
      </c>
      <c r="F90" s="13">
        <f>E90*12</f>
        <v>69798</v>
      </c>
      <c r="G90" s="13">
        <v>3.64</v>
      </c>
      <c r="H90" s="65">
        <f>F90*G90/1000</f>
        <v>254.06471999999999</v>
      </c>
      <c r="I90" s="13">
        <f>F90/12*G90</f>
        <v>21172.06</v>
      </c>
    </row>
    <row r="91" spans="1:9">
      <c r="A91" s="168"/>
      <c r="B91" s="34" t="s">
        <v>83</v>
      </c>
      <c r="C91" s="35"/>
      <c r="D91" s="15"/>
      <c r="E91" s="15"/>
      <c r="F91" s="15"/>
      <c r="G91" s="18"/>
      <c r="H91" s="18"/>
      <c r="I91" s="31">
        <f>I90+I89+I77+I76+I74+I73+I66+I64+I61+I51+I50+I49+I48+I47+I34+I33+I31+I30+I27+I26+I21+I20+I18+I17+I16</f>
        <v>145604.91102362223</v>
      </c>
    </row>
    <row r="92" spans="1:9">
      <c r="A92" s="210" t="s">
        <v>61</v>
      </c>
      <c r="B92" s="211"/>
      <c r="C92" s="211"/>
      <c r="D92" s="211"/>
      <c r="E92" s="211"/>
      <c r="F92" s="211"/>
      <c r="G92" s="211"/>
      <c r="H92" s="211"/>
      <c r="I92" s="212"/>
    </row>
    <row r="93" spans="1:9">
      <c r="A93" s="29">
        <v>26</v>
      </c>
      <c r="B93" s="48" t="s">
        <v>168</v>
      </c>
      <c r="C93" s="93" t="s">
        <v>87</v>
      </c>
      <c r="D93" s="42"/>
      <c r="E93" s="33"/>
      <c r="F93" s="33">
        <v>10</v>
      </c>
      <c r="G93" s="33">
        <v>203.68</v>
      </c>
      <c r="H93" s="92">
        <f t="shared" ref="H93:H94" si="12">G93*F93/1000</f>
        <v>2.0368000000000004</v>
      </c>
      <c r="I93" s="47">
        <f>G93*1</f>
        <v>203.68</v>
      </c>
    </row>
    <row r="94" spans="1:9" ht="30">
      <c r="A94" s="29">
        <v>27</v>
      </c>
      <c r="B94" s="48" t="s">
        <v>288</v>
      </c>
      <c r="C94" s="93" t="s">
        <v>96</v>
      </c>
      <c r="D94" s="94"/>
      <c r="E94" s="33"/>
      <c r="F94" s="33">
        <v>2</v>
      </c>
      <c r="G94" s="179">
        <v>613.44000000000005</v>
      </c>
      <c r="H94" s="92">
        <f t="shared" si="12"/>
        <v>1.2268800000000002</v>
      </c>
      <c r="I94" s="47">
        <f>G94*1</f>
        <v>613.44000000000005</v>
      </c>
    </row>
    <row r="95" spans="1:9">
      <c r="A95" s="29">
        <v>28</v>
      </c>
      <c r="B95" s="109" t="s">
        <v>209</v>
      </c>
      <c r="C95" s="110" t="s">
        <v>132</v>
      </c>
      <c r="D95" s="94"/>
      <c r="E95" s="33"/>
      <c r="F95" s="33"/>
      <c r="G95" s="33">
        <v>324.01</v>
      </c>
      <c r="H95" s="92"/>
      <c r="I95" s="47">
        <f>G95*1</f>
        <v>324.01</v>
      </c>
    </row>
    <row r="96" spans="1:9" ht="30">
      <c r="A96" s="29">
        <v>29</v>
      </c>
      <c r="B96" s="46" t="s">
        <v>178</v>
      </c>
      <c r="C96" s="64" t="s">
        <v>109</v>
      </c>
      <c r="D96" s="94"/>
      <c r="E96" s="33"/>
      <c r="F96" s="33"/>
      <c r="G96" s="33">
        <v>56.34</v>
      </c>
      <c r="H96" s="92"/>
      <c r="I96" s="47">
        <f>G96*1</f>
        <v>56.34</v>
      </c>
    </row>
    <row r="97" spans="1:9">
      <c r="A97" s="29">
        <v>30</v>
      </c>
      <c r="B97" s="46" t="s">
        <v>289</v>
      </c>
      <c r="C97" s="64" t="s">
        <v>25</v>
      </c>
      <c r="D97" s="106" t="s">
        <v>53</v>
      </c>
      <c r="E97" s="33"/>
      <c r="F97" s="33"/>
      <c r="G97" s="33">
        <v>730.76</v>
      </c>
      <c r="H97" s="92"/>
      <c r="I97" s="47">
        <f>G97*100</f>
        <v>73076</v>
      </c>
    </row>
    <row r="98" spans="1:9">
      <c r="A98" s="29">
        <v>31</v>
      </c>
      <c r="B98" s="48" t="s">
        <v>289</v>
      </c>
      <c r="C98" s="93" t="s">
        <v>102</v>
      </c>
      <c r="D98" s="106" t="s">
        <v>296</v>
      </c>
      <c r="E98" s="33"/>
      <c r="F98" s="33"/>
      <c r="G98" s="33">
        <v>1631.29</v>
      </c>
      <c r="H98" s="92"/>
      <c r="I98" s="47">
        <f>G98*5</f>
        <v>8156.45</v>
      </c>
    </row>
    <row r="99" spans="1:9">
      <c r="A99" s="29">
        <v>32</v>
      </c>
      <c r="B99" s="48" t="s">
        <v>290</v>
      </c>
      <c r="C99" s="93" t="s">
        <v>132</v>
      </c>
      <c r="D99" s="94"/>
      <c r="E99" s="33"/>
      <c r="F99" s="33"/>
      <c r="G99" s="33">
        <v>670</v>
      </c>
      <c r="H99" s="92"/>
      <c r="I99" s="47">
        <f>G99*5</f>
        <v>3350</v>
      </c>
    </row>
    <row r="100" spans="1:9">
      <c r="A100" s="29">
        <v>33</v>
      </c>
      <c r="B100" s="48" t="s">
        <v>291</v>
      </c>
      <c r="C100" s="93" t="s">
        <v>292</v>
      </c>
      <c r="D100" s="94"/>
      <c r="E100" s="33"/>
      <c r="F100" s="33"/>
      <c r="G100" s="33">
        <v>35.6</v>
      </c>
      <c r="H100" s="92"/>
      <c r="I100" s="47">
        <f>G100*10</f>
        <v>356</v>
      </c>
    </row>
    <row r="101" spans="1:9">
      <c r="A101" s="29">
        <v>34</v>
      </c>
      <c r="B101" s="48" t="s">
        <v>293</v>
      </c>
      <c r="C101" s="93" t="s">
        <v>294</v>
      </c>
      <c r="D101" s="94"/>
      <c r="E101" s="33"/>
      <c r="F101" s="33"/>
      <c r="G101" s="33">
        <v>900</v>
      </c>
      <c r="H101" s="92"/>
      <c r="I101" s="47">
        <f>G101*1</f>
        <v>900</v>
      </c>
    </row>
    <row r="102" spans="1:9">
      <c r="A102" s="29">
        <v>35</v>
      </c>
      <c r="B102" s="48" t="s">
        <v>295</v>
      </c>
      <c r="C102" s="93" t="s">
        <v>102</v>
      </c>
      <c r="D102" s="94"/>
      <c r="E102" s="33"/>
      <c r="F102" s="33"/>
      <c r="G102" s="33">
        <v>8881.8700000000008</v>
      </c>
      <c r="H102" s="92"/>
      <c r="I102" s="47">
        <f>G102*0.0325</f>
        <v>288.66077500000006</v>
      </c>
    </row>
    <row r="103" spans="1:9">
      <c r="A103" s="29">
        <v>36</v>
      </c>
      <c r="B103" s="48" t="s">
        <v>297</v>
      </c>
      <c r="C103" s="93" t="s">
        <v>132</v>
      </c>
      <c r="D103" s="94"/>
      <c r="E103" s="33"/>
      <c r="F103" s="33"/>
      <c r="G103" s="33">
        <v>489.02</v>
      </c>
      <c r="H103" s="92"/>
      <c r="I103" s="47">
        <f>G103*4</f>
        <v>1956.08</v>
      </c>
    </row>
    <row r="104" spans="1:9">
      <c r="A104" s="29">
        <v>37</v>
      </c>
      <c r="B104" s="48" t="s">
        <v>298</v>
      </c>
      <c r="C104" s="93" t="s">
        <v>132</v>
      </c>
      <c r="D104" s="94"/>
      <c r="E104" s="33"/>
      <c r="F104" s="33"/>
      <c r="G104" s="33">
        <v>142</v>
      </c>
      <c r="H104" s="92"/>
      <c r="I104" s="47">
        <f>G104*1</f>
        <v>142</v>
      </c>
    </row>
    <row r="105" spans="1:9">
      <c r="A105" s="29">
        <v>38</v>
      </c>
      <c r="B105" s="48" t="s">
        <v>341</v>
      </c>
      <c r="C105" s="93" t="s">
        <v>342</v>
      </c>
      <c r="D105" s="106" t="s">
        <v>343</v>
      </c>
      <c r="E105" s="33"/>
      <c r="F105" s="33"/>
      <c r="G105" s="149">
        <v>217624.16</v>
      </c>
      <c r="H105" s="92"/>
      <c r="I105" s="47">
        <f>G105*5</f>
        <v>1088120.8</v>
      </c>
    </row>
    <row r="106" spans="1:9" ht="13.5" customHeight="1">
      <c r="A106" s="29"/>
      <c r="B106" s="40" t="s">
        <v>52</v>
      </c>
      <c r="C106" s="36"/>
      <c r="D106" s="44"/>
      <c r="E106" s="36">
        <v>1</v>
      </c>
      <c r="F106" s="36"/>
      <c r="G106" s="36"/>
      <c r="H106" s="36"/>
      <c r="I106" s="31">
        <f>I104+I103+I102+I101+I100+I99+I98+I97+I96+I95+I94+I93+I105</f>
        <v>1177543.460775</v>
      </c>
    </row>
    <row r="107" spans="1:9">
      <c r="A107" s="29"/>
      <c r="B107" s="42" t="s">
        <v>81</v>
      </c>
      <c r="C107" s="15"/>
      <c r="D107" s="15"/>
      <c r="E107" s="37"/>
      <c r="F107" s="37"/>
      <c r="G107" s="38"/>
      <c r="H107" s="38"/>
      <c r="I107" s="17">
        <v>0</v>
      </c>
    </row>
    <row r="108" spans="1:9">
      <c r="A108" s="45"/>
      <c r="B108" s="41" t="s">
        <v>191</v>
      </c>
      <c r="C108" s="32"/>
      <c r="D108" s="32"/>
      <c r="E108" s="32"/>
      <c r="F108" s="32"/>
      <c r="G108" s="32"/>
      <c r="H108" s="32"/>
      <c r="I108" s="39">
        <f>I106+I91</f>
        <v>1323148.3717986222</v>
      </c>
    </row>
    <row r="109" spans="1:9" ht="15.75">
      <c r="A109" s="213" t="s">
        <v>344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15.75">
      <c r="A110" s="57"/>
      <c r="B110" s="214" t="s">
        <v>345</v>
      </c>
      <c r="C110" s="214"/>
      <c r="D110" s="214"/>
      <c r="E110" s="214"/>
      <c r="F110" s="214"/>
      <c r="G110" s="214"/>
      <c r="H110" s="62"/>
      <c r="I110" s="3"/>
    </row>
    <row r="111" spans="1:9">
      <c r="A111" s="166"/>
      <c r="B111" s="215" t="s">
        <v>6</v>
      </c>
      <c r="C111" s="215"/>
      <c r="D111" s="215"/>
      <c r="E111" s="215"/>
      <c r="F111" s="215"/>
      <c r="G111" s="215"/>
      <c r="H111" s="24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216" t="s">
        <v>7</v>
      </c>
      <c r="B113" s="216"/>
      <c r="C113" s="216"/>
      <c r="D113" s="216"/>
      <c r="E113" s="216"/>
      <c r="F113" s="216"/>
      <c r="G113" s="216"/>
      <c r="H113" s="216"/>
      <c r="I113" s="216"/>
    </row>
    <row r="114" spans="1:9" ht="15.75">
      <c r="A114" s="216" t="s">
        <v>8</v>
      </c>
      <c r="B114" s="216"/>
      <c r="C114" s="216"/>
      <c r="D114" s="216"/>
      <c r="E114" s="216"/>
      <c r="F114" s="216"/>
      <c r="G114" s="216"/>
      <c r="H114" s="216"/>
      <c r="I114" s="216"/>
    </row>
    <row r="115" spans="1:9" ht="15.75">
      <c r="A115" s="205" t="s">
        <v>62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15.75">
      <c r="A116" s="11"/>
    </row>
    <row r="117" spans="1:9" ht="15.75">
      <c r="A117" s="218" t="s">
        <v>9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15.75">
      <c r="A118" s="4"/>
    </row>
    <row r="119" spans="1:9" ht="15.75">
      <c r="B119" s="167" t="s">
        <v>10</v>
      </c>
      <c r="C119" s="219" t="s">
        <v>93</v>
      </c>
      <c r="D119" s="219"/>
      <c r="E119" s="219"/>
      <c r="F119" s="60"/>
      <c r="I119" s="165"/>
    </row>
    <row r="120" spans="1:9">
      <c r="A120" s="166"/>
      <c r="C120" s="215" t="s">
        <v>11</v>
      </c>
      <c r="D120" s="215"/>
      <c r="E120" s="215"/>
      <c r="F120" s="24"/>
      <c r="I120" s="164" t="s">
        <v>12</v>
      </c>
    </row>
    <row r="121" spans="1:9" ht="15.75">
      <c r="A121" s="25"/>
      <c r="C121" s="12"/>
      <c r="D121" s="12"/>
      <c r="G121" s="12"/>
      <c r="H121" s="12"/>
    </row>
    <row r="122" spans="1:9" ht="15.75">
      <c r="B122" s="167" t="s">
        <v>13</v>
      </c>
      <c r="C122" s="220"/>
      <c r="D122" s="220"/>
      <c r="E122" s="220"/>
      <c r="F122" s="61"/>
      <c r="I122" s="165"/>
    </row>
    <row r="123" spans="1:9">
      <c r="A123" s="166"/>
      <c r="C123" s="195" t="s">
        <v>11</v>
      </c>
      <c r="D123" s="195"/>
      <c r="E123" s="195"/>
      <c r="F123" s="166"/>
      <c r="I123" s="164" t="s">
        <v>12</v>
      </c>
    </row>
    <row r="124" spans="1:9" ht="15.75">
      <c r="A124" s="4" t="s">
        <v>14</v>
      </c>
    </row>
    <row r="125" spans="1:9">
      <c r="A125" s="221" t="s">
        <v>15</v>
      </c>
      <c r="B125" s="221"/>
      <c r="C125" s="221"/>
      <c r="D125" s="221"/>
      <c r="E125" s="221"/>
      <c r="F125" s="221"/>
      <c r="G125" s="221"/>
      <c r="H125" s="221"/>
      <c r="I125" s="221"/>
    </row>
    <row r="126" spans="1:9" ht="44.25" customHeight="1">
      <c r="A126" s="217" t="s">
        <v>16</v>
      </c>
      <c r="B126" s="217"/>
      <c r="C126" s="217"/>
      <c r="D126" s="217"/>
      <c r="E126" s="217"/>
      <c r="F126" s="217"/>
      <c r="G126" s="217"/>
      <c r="H126" s="217"/>
      <c r="I126" s="217"/>
    </row>
    <row r="127" spans="1:9" ht="36.75" customHeight="1">
      <c r="A127" s="217" t="s">
        <v>17</v>
      </c>
      <c r="B127" s="217"/>
      <c r="C127" s="217"/>
      <c r="D127" s="217"/>
      <c r="E127" s="217"/>
      <c r="F127" s="217"/>
      <c r="G127" s="217"/>
      <c r="H127" s="217"/>
      <c r="I127" s="217"/>
    </row>
    <row r="128" spans="1:9" ht="30.75" customHeight="1">
      <c r="A128" s="217" t="s">
        <v>21</v>
      </c>
      <c r="B128" s="217"/>
      <c r="C128" s="217"/>
      <c r="D128" s="217"/>
      <c r="E128" s="217"/>
      <c r="F128" s="217"/>
      <c r="G128" s="217"/>
      <c r="H128" s="217"/>
      <c r="I128" s="217"/>
    </row>
    <row r="129" spans="1:9" ht="15.75">
      <c r="A129" s="217" t="s">
        <v>20</v>
      </c>
      <c r="B129" s="217"/>
      <c r="C129" s="217"/>
      <c r="D129" s="217"/>
      <c r="E129" s="217"/>
      <c r="F129" s="217"/>
      <c r="G129" s="217"/>
      <c r="H129" s="217"/>
      <c r="I129" s="217"/>
    </row>
  </sheetData>
  <mergeCells count="28"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  <mergeCell ref="A115:I115"/>
    <mergeCell ref="A15:I15"/>
    <mergeCell ref="A28:I28"/>
    <mergeCell ref="A46:I46"/>
    <mergeCell ref="A56:I56"/>
    <mergeCell ref="A88:I88"/>
    <mergeCell ref="A92:I92"/>
    <mergeCell ref="A109:I109"/>
    <mergeCell ref="B110:G110"/>
    <mergeCell ref="B111:G111"/>
    <mergeCell ref="A113:I113"/>
    <mergeCell ref="A114:I114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2019-01-30T13:06:56Z</cp:lastPrinted>
  <dcterms:created xsi:type="dcterms:W3CDTF">2016-03-25T08:33:47Z</dcterms:created>
  <dcterms:modified xsi:type="dcterms:W3CDTF">2019-01-30T13:09:33Z</dcterms:modified>
</cp:coreProperties>
</file>