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 activeTab="6"/>
  </bookViews>
  <sheets>
    <sheet name="01.18" sheetId="17" r:id="rId1"/>
    <sheet name="02.18" sheetId="18" r:id="rId2"/>
    <sheet name="03.18" sheetId="19" r:id="rId3"/>
    <sheet name="04.18" sheetId="20" r:id="rId4"/>
    <sheet name="05.18" sheetId="21" r:id="rId5"/>
    <sheet name="06.18" sheetId="22" r:id="rId6"/>
    <sheet name="07.18" sheetId="23" r:id="rId7"/>
    <sheet name="08.18" sheetId="24" r:id="rId8"/>
    <sheet name="09.18" sheetId="25" r:id="rId9"/>
    <sheet name="10.18" sheetId="26" r:id="rId10"/>
    <sheet name="11.18" sheetId="27" r:id="rId11"/>
    <sheet name="12.18" sheetId="28" r:id="rId12"/>
  </sheets>
  <definedNames>
    <definedName name="_xlnm._FilterDatabase" localSheetId="0" hidden="1">'01.18'!$I$12:$I$61</definedName>
    <definedName name="_xlnm._FilterDatabase" localSheetId="1" hidden="1">'02.18'!$I$12:$I$61</definedName>
    <definedName name="_xlnm._FilterDatabase" localSheetId="2" hidden="1">'03.18'!$I$12:$I$56</definedName>
    <definedName name="_xlnm.Print_Area" localSheetId="0">'01.18'!$A$1:$I$119</definedName>
    <definedName name="_xlnm.Print_Area" localSheetId="1">'02.18'!$A$1:$I$110</definedName>
    <definedName name="_xlnm.Print_Area" localSheetId="2">'03.18'!$A$1:$I$116</definedName>
  </definedNames>
  <calcPr calcId="124519"/>
</workbook>
</file>

<file path=xl/calcChain.xml><?xml version="1.0" encoding="utf-8"?>
<calcChain xmlns="http://schemas.openxmlformats.org/spreadsheetml/2006/main">
  <c r="I105" i="28"/>
  <c r="I103"/>
  <c r="I102"/>
  <c r="I101"/>
  <c r="I100"/>
  <c r="I99"/>
  <c r="I98"/>
  <c r="I97"/>
  <c r="I96"/>
  <c r="I95"/>
  <c r="I89"/>
  <c r="I94"/>
  <c r="I93"/>
  <c r="I92"/>
  <c r="I91"/>
  <c r="I85"/>
  <c r="I45"/>
  <c r="F88"/>
  <c r="I88" s="1"/>
  <c r="F87"/>
  <c r="H87" s="1"/>
  <c r="H85"/>
  <c r="I83"/>
  <c r="H83"/>
  <c r="F81"/>
  <c r="H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I66"/>
  <c r="F66"/>
  <c r="H66" s="1"/>
  <c r="H64"/>
  <c r="F64"/>
  <c r="I64" s="1"/>
  <c r="F63"/>
  <c r="H63" s="1"/>
  <c r="H61"/>
  <c r="F60"/>
  <c r="I60" s="1"/>
  <c r="I57"/>
  <c r="F57"/>
  <c r="H57" s="1"/>
  <c r="I56"/>
  <c r="H56"/>
  <c r="I55"/>
  <c r="F55"/>
  <c r="H55" s="1"/>
  <c r="I54"/>
  <c r="F54"/>
  <c r="H54" s="1"/>
  <c r="I53"/>
  <c r="H53"/>
  <c r="F53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H45"/>
  <c r="F44"/>
  <c r="H44" s="1"/>
  <c r="F43"/>
  <c r="I43" s="1"/>
  <c r="H42"/>
  <c r="H41"/>
  <c r="F41"/>
  <c r="I41" s="1"/>
  <c r="F40"/>
  <c r="H40" s="1"/>
  <c r="I39"/>
  <c r="H39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I26"/>
  <c r="H26"/>
  <c r="I25"/>
  <c r="F25"/>
  <c r="H25" s="1"/>
  <c r="I24"/>
  <c r="F24"/>
  <c r="H24" s="1"/>
  <c r="I23"/>
  <c r="F23"/>
  <c r="H23" s="1"/>
  <c r="I22"/>
  <c r="F22"/>
  <c r="H22" s="1"/>
  <c r="F21"/>
  <c r="H21" s="1"/>
  <c r="F20"/>
  <c r="I20" s="1"/>
  <c r="I19"/>
  <c r="F19"/>
  <c r="H19" s="1"/>
  <c r="E18"/>
  <c r="F18" s="1"/>
  <c r="H17"/>
  <c r="F17"/>
  <c r="I17" s="1"/>
  <c r="F16"/>
  <c r="H16" s="1"/>
  <c r="I45" i="27"/>
  <c r="I91"/>
  <c r="I92" s="1"/>
  <c r="F88"/>
  <c r="I88" s="1"/>
  <c r="F87"/>
  <c r="H87" s="1"/>
  <c r="H85"/>
  <c r="I83"/>
  <c r="H83"/>
  <c r="F81"/>
  <c r="I81" s="1"/>
  <c r="F79"/>
  <c r="I79" s="1"/>
  <c r="H78"/>
  <c r="F77"/>
  <c r="H77" s="1"/>
  <c r="F76"/>
  <c r="H76" s="1"/>
  <c r="H75"/>
  <c r="I73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I66"/>
  <c r="F66"/>
  <c r="H66" s="1"/>
  <c r="F64"/>
  <c r="I64" s="1"/>
  <c r="F63"/>
  <c r="H63" s="1"/>
  <c r="H61"/>
  <c r="F60"/>
  <c r="I60" s="1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H45"/>
  <c r="F44"/>
  <c r="I44" s="1"/>
  <c r="F43"/>
  <c r="I43" s="1"/>
  <c r="H42"/>
  <c r="F41"/>
  <c r="I41" s="1"/>
  <c r="F40"/>
  <c r="I40" s="1"/>
  <c r="I39"/>
  <c r="H39"/>
  <c r="H37"/>
  <c r="H36"/>
  <c r="H35"/>
  <c r="F35"/>
  <c r="I35" s="1"/>
  <c r="F34"/>
  <c r="I34" s="1"/>
  <c r="F33"/>
  <c r="I33" s="1"/>
  <c r="F32"/>
  <c r="I32" s="1"/>
  <c r="F31"/>
  <c r="I31" s="1"/>
  <c r="F28"/>
  <c r="I28" s="1"/>
  <c r="F27"/>
  <c r="I27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F20"/>
  <c r="I20" s="1"/>
  <c r="I19"/>
  <c r="F19"/>
  <c r="H19" s="1"/>
  <c r="E18"/>
  <c r="F18" s="1"/>
  <c r="I18" s="1"/>
  <c r="F17"/>
  <c r="I17" s="1"/>
  <c r="F16"/>
  <c r="I16" s="1"/>
  <c r="I91" i="26"/>
  <c r="I89"/>
  <c r="I101"/>
  <c r="I100"/>
  <c r="I99"/>
  <c r="I98"/>
  <c r="I97"/>
  <c r="I96"/>
  <c r="I95"/>
  <c r="I94"/>
  <c r="I93"/>
  <c r="I92"/>
  <c r="H91"/>
  <c r="F88"/>
  <c r="H88" s="1"/>
  <c r="H89" s="1"/>
  <c r="H87"/>
  <c r="F87"/>
  <c r="I87" s="1"/>
  <c r="H85"/>
  <c r="I83"/>
  <c r="H83"/>
  <c r="H81"/>
  <c r="F81"/>
  <c r="I81" s="1"/>
  <c r="F79"/>
  <c r="H79" s="1"/>
  <c r="H78"/>
  <c r="F77"/>
  <c r="H77" s="1"/>
  <c r="F76"/>
  <c r="H76" s="1"/>
  <c r="H75"/>
  <c r="I73"/>
  <c r="H73"/>
  <c r="F73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I66"/>
  <c r="H66"/>
  <c r="F66"/>
  <c r="F64"/>
  <c r="H64" s="1"/>
  <c r="F63"/>
  <c r="H63" s="1"/>
  <c r="H61"/>
  <c r="F60"/>
  <c r="H60" s="1"/>
  <c r="I57"/>
  <c r="F57"/>
  <c r="H57" s="1"/>
  <c r="I56"/>
  <c r="H56"/>
  <c r="I55"/>
  <c r="F55"/>
  <c r="H55" s="1"/>
  <c r="I54"/>
  <c r="H54"/>
  <c r="F54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H48"/>
  <c r="F48"/>
  <c r="F46"/>
  <c r="H46" s="1"/>
  <c r="I45"/>
  <c r="H45"/>
  <c r="H44"/>
  <c r="F44"/>
  <c r="I44" s="1"/>
  <c r="F43"/>
  <c r="H43" s="1"/>
  <c r="H42"/>
  <c r="F41"/>
  <c r="H41" s="1"/>
  <c r="F40"/>
  <c r="I40" s="1"/>
  <c r="I39"/>
  <c r="H39"/>
  <c r="H37"/>
  <c r="H36"/>
  <c r="H35"/>
  <c r="F35"/>
  <c r="I35" s="1"/>
  <c r="H34"/>
  <c r="F34"/>
  <c r="I34" s="1"/>
  <c r="F33"/>
  <c r="H33" s="1"/>
  <c r="H32"/>
  <c r="F32"/>
  <c r="I32" s="1"/>
  <c r="F31"/>
  <c r="H31" s="1"/>
  <c r="H28"/>
  <c r="F28"/>
  <c r="I28" s="1"/>
  <c r="F27"/>
  <c r="H27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F18"/>
  <c r="H18" s="1"/>
  <c r="E18"/>
  <c r="F17"/>
  <c r="H17" s="1"/>
  <c r="H16"/>
  <c r="F16"/>
  <c r="I16" s="1"/>
  <c r="I89" i="25"/>
  <c r="I99"/>
  <c r="I89" i="24"/>
  <c r="I66" i="25"/>
  <c r="I66" i="24"/>
  <c r="I98" i="25"/>
  <c r="H43" i="28" l="1"/>
  <c r="H46"/>
  <c r="H88"/>
  <c r="H89" s="1"/>
  <c r="I44"/>
  <c r="H27"/>
  <c r="H79"/>
  <c r="H60"/>
  <c r="H33"/>
  <c r="H31"/>
  <c r="H20"/>
  <c r="I18"/>
  <c r="H18"/>
  <c r="I16"/>
  <c r="I21"/>
  <c r="I28"/>
  <c r="I32"/>
  <c r="I34"/>
  <c r="I40"/>
  <c r="I81"/>
  <c r="I87"/>
  <c r="H16" i="27"/>
  <c r="H40"/>
  <c r="H44"/>
  <c r="H81"/>
  <c r="H88"/>
  <c r="H89" s="1"/>
  <c r="H34"/>
  <c r="H32"/>
  <c r="H28"/>
  <c r="H21"/>
  <c r="H17"/>
  <c r="H18"/>
  <c r="H20"/>
  <c r="H27"/>
  <c r="H31"/>
  <c r="H33"/>
  <c r="H41"/>
  <c r="H43"/>
  <c r="H46"/>
  <c r="H60"/>
  <c r="H64"/>
  <c r="H79"/>
  <c r="I87"/>
  <c r="H21" i="26"/>
  <c r="H40"/>
  <c r="I17"/>
  <c r="I18"/>
  <c r="I20"/>
  <c r="I27"/>
  <c r="I31"/>
  <c r="I33"/>
  <c r="I41"/>
  <c r="I43"/>
  <c r="I46"/>
  <c r="I60"/>
  <c r="I64"/>
  <c r="I79"/>
  <c r="I88"/>
  <c r="I73" i="25"/>
  <c r="I92"/>
  <c r="I91"/>
  <c r="H91"/>
  <c r="H88"/>
  <c r="H89" s="1"/>
  <c r="F88"/>
  <c r="I88" s="1"/>
  <c r="F87"/>
  <c r="I87" s="1"/>
  <c r="H85"/>
  <c r="I83"/>
  <c r="H83"/>
  <c r="F81"/>
  <c r="I81" s="1"/>
  <c r="F79"/>
  <c r="H79" s="1"/>
  <c r="H78"/>
  <c r="F77"/>
  <c r="H77" s="1"/>
  <c r="F76"/>
  <c r="H76" s="1"/>
  <c r="H75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H64" s="1"/>
  <c r="F63"/>
  <c r="H63" s="1"/>
  <c r="H61"/>
  <c r="F60"/>
  <c r="H60" s="1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I45"/>
  <c r="H45"/>
  <c r="F44"/>
  <c r="I44" s="1"/>
  <c r="F43"/>
  <c r="I43" s="1"/>
  <c r="H42"/>
  <c r="F41"/>
  <c r="I41" s="1"/>
  <c r="F40"/>
  <c r="I40" s="1"/>
  <c r="I39"/>
  <c r="H39"/>
  <c r="H37"/>
  <c r="H36"/>
  <c r="H35"/>
  <c r="F35"/>
  <c r="I35" s="1"/>
  <c r="F34"/>
  <c r="I34" s="1"/>
  <c r="F33"/>
  <c r="I33" s="1"/>
  <c r="F32"/>
  <c r="I32" s="1"/>
  <c r="H31"/>
  <c r="F31"/>
  <c r="I31" s="1"/>
  <c r="F28"/>
  <c r="I28" s="1"/>
  <c r="H27"/>
  <c r="F27"/>
  <c r="I27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H20"/>
  <c r="F20"/>
  <c r="I20" s="1"/>
  <c r="I19"/>
  <c r="F19"/>
  <c r="H19" s="1"/>
  <c r="E18"/>
  <c r="F18" s="1"/>
  <c r="H17"/>
  <c r="F17"/>
  <c r="I17" s="1"/>
  <c r="F16"/>
  <c r="I16" s="1"/>
  <c r="I98" i="24"/>
  <c r="I97"/>
  <c r="I94"/>
  <c r="I93"/>
  <c r="I92"/>
  <c r="I91"/>
  <c r="H91"/>
  <c r="H88"/>
  <c r="H89" s="1"/>
  <c r="F88"/>
  <c r="I88" s="1"/>
  <c r="F87"/>
  <c r="H87" s="1"/>
  <c r="H85"/>
  <c r="I83"/>
  <c r="H83"/>
  <c r="H81"/>
  <c r="F81"/>
  <c r="I81" s="1"/>
  <c r="F79"/>
  <c r="I79" s="1"/>
  <c r="H78"/>
  <c r="F77"/>
  <c r="H77" s="1"/>
  <c r="F76"/>
  <c r="H76" s="1"/>
  <c r="H75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I64" s="1"/>
  <c r="F63"/>
  <c r="H63" s="1"/>
  <c r="H61"/>
  <c r="F60"/>
  <c r="I60" s="1"/>
  <c r="I57"/>
  <c r="H57"/>
  <c r="F57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I45"/>
  <c r="H45"/>
  <c r="F44"/>
  <c r="I44" s="1"/>
  <c r="F43"/>
  <c r="I43" s="1"/>
  <c r="H42"/>
  <c r="F41"/>
  <c r="I41" s="1"/>
  <c r="F40"/>
  <c r="I40" s="1"/>
  <c r="I39"/>
  <c r="H39"/>
  <c r="H37"/>
  <c r="H36"/>
  <c r="H35"/>
  <c r="F35"/>
  <c r="I35" s="1"/>
  <c r="H34"/>
  <c r="F34"/>
  <c r="I34" s="1"/>
  <c r="F33"/>
  <c r="I33" s="1"/>
  <c r="H32"/>
  <c r="F32"/>
  <c r="I32" s="1"/>
  <c r="F31"/>
  <c r="I31" s="1"/>
  <c r="H28"/>
  <c r="F28"/>
  <c r="I28" s="1"/>
  <c r="F27"/>
  <c r="I27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F18"/>
  <c r="I18" s="1"/>
  <c r="E18"/>
  <c r="F17"/>
  <c r="I17" s="1"/>
  <c r="H16"/>
  <c r="F16"/>
  <c r="I16" s="1"/>
  <c r="I82" i="18"/>
  <c r="I57" i="17"/>
  <c r="I89" i="27" l="1"/>
  <c r="I94" s="1"/>
  <c r="I103" i="26"/>
  <c r="H46" i="25"/>
  <c r="H43"/>
  <c r="H41"/>
  <c r="H33"/>
  <c r="H18"/>
  <c r="I18"/>
  <c r="H16"/>
  <c r="H21"/>
  <c r="H28"/>
  <c r="H32"/>
  <c r="H34"/>
  <c r="H40"/>
  <c r="H44"/>
  <c r="I60"/>
  <c r="I64"/>
  <c r="I79"/>
  <c r="I101" s="1"/>
  <c r="H81"/>
  <c r="H87"/>
  <c r="H44" i="24"/>
  <c r="H40"/>
  <c r="H21"/>
  <c r="I20"/>
  <c r="H17"/>
  <c r="H18"/>
  <c r="H27"/>
  <c r="H31"/>
  <c r="H33"/>
  <c r="H41"/>
  <c r="H43"/>
  <c r="H46"/>
  <c r="H60"/>
  <c r="H64"/>
  <c r="H79"/>
  <c r="I87"/>
  <c r="I100" s="1"/>
  <c r="I89" i="19"/>
  <c r="I97" i="23" l="1"/>
  <c r="I89"/>
  <c r="I92"/>
  <c r="I96"/>
  <c r="I95"/>
  <c r="I94"/>
  <c r="I93"/>
  <c r="I91"/>
  <c r="H91"/>
  <c r="F88"/>
  <c r="H88" s="1"/>
  <c r="H89" s="1"/>
  <c r="H87"/>
  <c r="F87"/>
  <c r="I87" s="1"/>
  <c r="H85"/>
  <c r="I83"/>
  <c r="H83"/>
  <c r="F81"/>
  <c r="I81" s="1"/>
  <c r="F79"/>
  <c r="H79" s="1"/>
  <c r="H78"/>
  <c r="F77"/>
  <c r="H77" s="1"/>
  <c r="F76"/>
  <c r="H76" s="1"/>
  <c r="H75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H64" s="1"/>
  <c r="F63"/>
  <c r="H63" s="1"/>
  <c r="H61"/>
  <c r="F60"/>
  <c r="H60" s="1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H46" s="1"/>
  <c r="I45"/>
  <c r="H45"/>
  <c r="F44"/>
  <c r="I44" s="1"/>
  <c r="F43"/>
  <c r="H43" s="1"/>
  <c r="H42"/>
  <c r="F41"/>
  <c r="H41" s="1"/>
  <c r="F40"/>
  <c r="I40" s="1"/>
  <c r="I39"/>
  <c r="H39"/>
  <c r="H37"/>
  <c r="H36"/>
  <c r="H35"/>
  <c r="F35"/>
  <c r="I35" s="1"/>
  <c r="F34"/>
  <c r="I34" s="1"/>
  <c r="F33"/>
  <c r="H33" s="1"/>
  <c r="H32"/>
  <c r="F32"/>
  <c r="I32" s="1"/>
  <c r="F31"/>
  <c r="H31" s="1"/>
  <c r="F28"/>
  <c r="I28" s="1"/>
  <c r="F27"/>
  <c r="H27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F18"/>
  <c r="H18" s="1"/>
  <c r="E18"/>
  <c r="F17"/>
  <c r="H17" s="1"/>
  <c r="F16"/>
  <c r="I16" s="1"/>
  <c r="I95" i="17"/>
  <c r="I86" i="18"/>
  <c r="H28" i="23" l="1"/>
  <c r="H34"/>
  <c r="H81"/>
  <c r="H44"/>
  <c r="H40"/>
  <c r="H21"/>
  <c r="H16"/>
  <c r="I17"/>
  <c r="I18"/>
  <c r="I20"/>
  <c r="I27"/>
  <c r="I31"/>
  <c r="I33"/>
  <c r="I41"/>
  <c r="I43"/>
  <c r="I46"/>
  <c r="I60"/>
  <c r="I64"/>
  <c r="I79"/>
  <c r="I88"/>
  <c r="I94" i="20"/>
  <c r="I98" i="21"/>
  <c r="I89" i="22"/>
  <c r="I98"/>
  <c r="I97"/>
  <c r="I96"/>
  <c r="I95"/>
  <c r="I94"/>
  <c r="I93"/>
  <c r="I92"/>
  <c r="I91"/>
  <c r="H91"/>
  <c r="H88"/>
  <c r="H89" s="1"/>
  <c r="F88"/>
  <c r="I88" s="1"/>
  <c r="F87"/>
  <c r="I87" s="1"/>
  <c r="H85"/>
  <c r="I83"/>
  <c r="H83"/>
  <c r="F81"/>
  <c r="I81" s="1"/>
  <c r="F79"/>
  <c r="H79" s="1"/>
  <c r="H78"/>
  <c r="F77"/>
  <c r="H77" s="1"/>
  <c r="F76"/>
  <c r="H76" s="1"/>
  <c r="H75"/>
  <c r="F73"/>
  <c r="H73" s="1"/>
  <c r="I72"/>
  <c r="F72"/>
  <c r="H72" s="1"/>
  <c r="I71"/>
  <c r="F71"/>
  <c r="H71" s="1"/>
  <c r="I70"/>
  <c r="F70"/>
  <c r="H70" s="1"/>
  <c r="I69"/>
  <c r="F69"/>
  <c r="H69" s="1"/>
  <c r="I68"/>
  <c r="F68"/>
  <c r="H68" s="1"/>
  <c r="F67"/>
  <c r="H67" s="1"/>
  <c r="F66"/>
  <c r="H66" s="1"/>
  <c r="F64"/>
  <c r="H64" s="1"/>
  <c r="F63"/>
  <c r="H63" s="1"/>
  <c r="H61"/>
  <c r="F60"/>
  <c r="H60" s="1"/>
  <c r="I57"/>
  <c r="F57"/>
  <c r="H57" s="1"/>
  <c r="I56"/>
  <c r="H56"/>
  <c r="I55"/>
  <c r="F55"/>
  <c r="H55" s="1"/>
  <c r="I54"/>
  <c r="F54"/>
  <c r="H54" s="1"/>
  <c r="I53"/>
  <c r="F53"/>
  <c r="H53" s="1"/>
  <c r="I52"/>
  <c r="F52"/>
  <c r="H52" s="1"/>
  <c r="I51"/>
  <c r="F51"/>
  <c r="H51" s="1"/>
  <c r="I50"/>
  <c r="F50"/>
  <c r="H50" s="1"/>
  <c r="I49"/>
  <c r="F49"/>
  <c r="H49" s="1"/>
  <c r="I48"/>
  <c r="F48"/>
  <c r="H48" s="1"/>
  <c r="F46"/>
  <c r="I46" s="1"/>
  <c r="I45"/>
  <c r="H45"/>
  <c r="F44"/>
  <c r="I44" s="1"/>
  <c r="F43"/>
  <c r="I43" s="1"/>
  <c r="H42"/>
  <c r="F41"/>
  <c r="I41" s="1"/>
  <c r="F40"/>
  <c r="I40" s="1"/>
  <c r="I39"/>
  <c r="H39"/>
  <c r="H37"/>
  <c r="H36"/>
  <c r="H35"/>
  <c r="F35"/>
  <c r="I35" s="1"/>
  <c r="F34"/>
  <c r="I34" s="1"/>
  <c r="F33"/>
  <c r="I33" s="1"/>
  <c r="F32"/>
  <c r="I32" s="1"/>
  <c r="H31"/>
  <c r="F31"/>
  <c r="I31" s="1"/>
  <c r="F28"/>
  <c r="I28" s="1"/>
  <c r="H27"/>
  <c r="F27"/>
  <c r="I27" s="1"/>
  <c r="I26"/>
  <c r="H26"/>
  <c r="I25"/>
  <c r="F25"/>
  <c r="H25" s="1"/>
  <c r="I24"/>
  <c r="F24"/>
  <c r="H24" s="1"/>
  <c r="I23"/>
  <c r="F23"/>
  <c r="H23" s="1"/>
  <c r="I22"/>
  <c r="F22"/>
  <c r="H22" s="1"/>
  <c r="F21"/>
  <c r="I21" s="1"/>
  <c r="H20"/>
  <c r="F20"/>
  <c r="I20" s="1"/>
  <c r="I19"/>
  <c r="F19"/>
  <c r="H19" s="1"/>
  <c r="E18"/>
  <c r="F18" s="1"/>
  <c r="H17"/>
  <c r="F17"/>
  <c r="I17" s="1"/>
  <c r="F16"/>
  <c r="I16" s="1"/>
  <c r="I92" i="21"/>
  <c r="I97"/>
  <c r="I96"/>
  <c r="I95"/>
  <c r="I94"/>
  <c r="I72"/>
  <c r="I71"/>
  <c r="I70"/>
  <c r="I69"/>
  <c r="I68"/>
  <c r="I56"/>
  <c r="I55"/>
  <c r="I54"/>
  <c r="I53"/>
  <c r="I52"/>
  <c r="I51"/>
  <c r="I50"/>
  <c r="I49"/>
  <c r="I48"/>
  <c r="I26"/>
  <c r="I25"/>
  <c r="I24"/>
  <c r="I23"/>
  <c r="I22"/>
  <c r="I19"/>
  <c r="I93"/>
  <c r="I91"/>
  <c r="H91"/>
  <c r="F88"/>
  <c r="I88" s="1"/>
  <c r="F87"/>
  <c r="I87" s="1"/>
  <c r="H85"/>
  <c r="I83"/>
  <c r="H83"/>
  <c r="F81"/>
  <c r="I81" s="1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I64" s="1"/>
  <c r="F63"/>
  <c r="H63" s="1"/>
  <c r="H61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6"/>
  <c r="I46" s="1"/>
  <c r="I45"/>
  <c r="H45"/>
  <c r="F44"/>
  <c r="I44" s="1"/>
  <c r="F43"/>
  <c r="I43" s="1"/>
  <c r="H42"/>
  <c r="F41"/>
  <c r="I41" s="1"/>
  <c r="F40"/>
  <c r="I40" s="1"/>
  <c r="I39"/>
  <c r="H39"/>
  <c r="H37"/>
  <c r="H36"/>
  <c r="H35"/>
  <c r="F35"/>
  <c r="I35" s="1"/>
  <c r="F34"/>
  <c r="I34" s="1"/>
  <c r="F33"/>
  <c r="I33" s="1"/>
  <c r="F32"/>
  <c r="I32" s="1"/>
  <c r="F31"/>
  <c r="I31" s="1"/>
  <c r="F28"/>
  <c r="I28" s="1"/>
  <c r="F27"/>
  <c r="I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H17" s="1"/>
  <c r="F16"/>
  <c r="I16" s="1"/>
  <c r="I99" i="23" l="1"/>
  <c r="H46" i="22"/>
  <c r="H43"/>
  <c r="H41"/>
  <c r="H33"/>
  <c r="H18"/>
  <c r="I18"/>
  <c r="H16"/>
  <c r="H21"/>
  <c r="H28"/>
  <c r="H32"/>
  <c r="H34"/>
  <c r="H40"/>
  <c r="H44"/>
  <c r="I60"/>
  <c r="I64"/>
  <c r="I79"/>
  <c r="I100" s="1"/>
  <c r="H81"/>
  <c r="H87"/>
  <c r="H20" i="21"/>
  <c r="H27"/>
  <c r="H33"/>
  <c r="H16"/>
  <c r="H31"/>
  <c r="H64"/>
  <c r="H88"/>
  <c r="H89" s="1"/>
  <c r="H60"/>
  <c r="H41"/>
  <c r="H43"/>
  <c r="H46"/>
  <c r="I17"/>
  <c r="H18"/>
  <c r="H21"/>
  <c r="H28"/>
  <c r="H32"/>
  <c r="H34"/>
  <c r="H40"/>
  <c r="H44"/>
  <c r="I79"/>
  <c r="H81"/>
  <c r="H87"/>
  <c r="I89" i="20"/>
  <c r="I89" i="21" l="1"/>
  <c r="I100" s="1"/>
  <c r="I93" i="20" l="1"/>
  <c r="I92"/>
  <c r="I57"/>
  <c r="I91"/>
  <c r="H91"/>
  <c r="H88"/>
  <c r="H89" s="1"/>
  <c r="F88"/>
  <c r="I88" s="1"/>
  <c r="F87"/>
  <c r="I87" s="1"/>
  <c r="H85"/>
  <c r="I83"/>
  <c r="H83"/>
  <c r="F81"/>
  <c r="I81" s="1"/>
  <c r="H79"/>
  <c r="F79"/>
  <c r="I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I64" s="1"/>
  <c r="F63"/>
  <c r="H63" s="1"/>
  <c r="H61"/>
  <c r="F60"/>
  <c r="I60" s="1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6"/>
  <c r="I46" s="1"/>
  <c r="I45"/>
  <c r="H45"/>
  <c r="H44"/>
  <c r="F44"/>
  <c r="I44" s="1"/>
  <c r="F43"/>
  <c r="I43" s="1"/>
  <c r="H42"/>
  <c r="F41"/>
  <c r="I41" s="1"/>
  <c r="H40"/>
  <c r="F40"/>
  <c r="I40" s="1"/>
  <c r="I39"/>
  <c r="H39"/>
  <c r="H37"/>
  <c r="H36"/>
  <c r="H35"/>
  <c r="F35"/>
  <c r="I35" s="1"/>
  <c r="F34"/>
  <c r="I34" s="1"/>
  <c r="F33"/>
  <c r="I33" s="1"/>
  <c r="F32"/>
  <c r="I32" s="1"/>
  <c r="F31"/>
  <c r="I31" s="1"/>
  <c r="H28"/>
  <c r="F28"/>
  <c r="I28" s="1"/>
  <c r="F27"/>
  <c r="I27" s="1"/>
  <c r="I26"/>
  <c r="H26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H17"/>
  <c r="F17"/>
  <c r="I17" s="1"/>
  <c r="F16"/>
  <c r="I16" s="1"/>
  <c r="I91" i="19"/>
  <c r="F87"/>
  <c r="H87" s="1"/>
  <c r="I88"/>
  <c r="F88"/>
  <c r="H88" s="1"/>
  <c r="H85"/>
  <c r="I45"/>
  <c r="H83"/>
  <c r="F81"/>
  <c r="H81" s="1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3" s="1"/>
  <c r="H61"/>
  <c r="F60"/>
  <c r="H60" s="1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6"/>
  <c r="H46" s="1"/>
  <c r="H45"/>
  <c r="F44"/>
  <c r="H44" s="1"/>
  <c r="F43"/>
  <c r="H43" s="1"/>
  <c r="H42"/>
  <c r="F41"/>
  <c r="H41" s="1"/>
  <c r="F40"/>
  <c r="H40" s="1"/>
  <c r="H39"/>
  <c r="F28"/>
  <c r="H28" s="1"/>
  <c r="H37"/>
  <c r="H36"/>
  <c r="F27"/>
  <c r="H27" s="1"/>
  <c r="H35"/>
  <c r="F35"/>
  <c r="I35" s="1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H32" i="20" l="1"/>
  <c r="H34"/>
  <c r="H21"/>
  <c r="H18"/>
  <c r="I18"/>
  <c r="I96" s="1"/>
  <c r="H16"/>
  <c r="H20"/>
  <c r="H27"/>
  <c r="H31"/>
  <c r="H33"/>
  <c r="H41"/>
  <c r="H43"/>
  <c r="H46"/>
  <c r="H60"/>
  <c r="H64"/>
  <c r="H81"/>
  <c r="H87"/>
  <c r="I60" i="19"/>
  <c r="I79"/>
  <c r="I64"/>
  <c r="I81"/>
  <c r="I43"/>
  <c r="I40"/>
  <c r="I46"/>
  <c r="I41"/>
  <c r="I44"/>
  <c r="I28"/>
  <c r="I27"/>
  <c r="I34"/>
  <c r="I33"/>
  <c r="I32"/>
  <c r="I43" i="18" l="1"/>
  <c r="I42"/>
  <c r="I43" i="17"/>
  <c r="I42"/>
  <c r="I85" i="18" l="1"/>
  <c r="H85"/>
  <c r="I84"/>
  <c r="H84"/>
  <c r="F61"/>
  <c r="I94" i="17"/>
  <c r="F94"/>
  <c r="H94" s="1"/>
  <c r="I93"/>
  <c r="F93"/>
  <c r="H93" s="1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F61"/>
  <c r="H61" s="1"/>
  <c r="I83" i="19" l="1"/>
  <c r="H91"/>
  <c r="I87"/>
  <c r="I21"/>
  <c r="I17"/>
  <c r="I53" i="18"/>
  <c r="E81"/>
  <c r="F81" s="1"/>
  <c r="F80"/>
  <c r="H80" s="1"/>
  <c r="H78"/>
  <c r="H76"/>
  <c r="H74"/>
  <c r="H73"/>
  <c r="H72"/>
  <c r="I70"/>
  <c r="H70"/>
  <c r="F69"/>
  <c r="I69" s="1"/>
  <c r="F68"/>
  <c r="H68" s="1"/>
  <c r="F67"/>
  <c r="I67" s="1"/>
  <c r="F66"/>
  <c r="H66" s="1"/>
  <c r="F65"/>
  <c r="I65" s="1"/>
  <c r="H64"/>
  <c r="H63"/>
  <c r="H61"/>
  <c r="H60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F40"/>
  <c r="I40" s="1"/>
  <c r="F39"/>
  <c r="H39" s="1"/>
  <c r="I38"/>
  <c r="H38"/>
  <c r="H36"/>
  <c r="H35"/>
  <c r="H34"/>
  <c r="F34"/>
  <c r="I34" s="1"/>
  <c r="I33"/>
  <c r="H33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70" i="17"/>
  <c r="I33"/>
  <c r="E81"/>
  <c r="F80"/>
  <c r="I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I61"/>
  <c r="H60"/>
  <c r="H59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I41" s="1"/>
  <c r="F40"/>
  <c r="H40" s="1"/>
  <c r="F39"/>
  <c r="I39" s="1"/>
  <c r="I38"/>
  <c r="H38"/>
  <c r="F27"/>
  <c r="I27" s="1"/>
  <c r="H36"/>
  <c r="H35"/>
  <c r="F26"/>
  <c r="H26" s="1"/>
  <c r="H34"/>
  <c r="F34"/>
  <c r="I34" s="1"/>
  <c r="H33"/>
  <c r="F32"/>
  <c r="H32" s="1"/>
  <c r="F31"/>
  <c r="H31" s="1"/>
  <c r="F30"/>
  <c r="H30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18" i="19" l="1"/>
  <c r="H89"/>
  <c r="I16"/>
  <c r="I20"/>
  <c r="I26"/>
  <c r="I31"/>
  <c r="I39"/>
  <c r="I51" i="18"/>
  <c r="H69"/>
  <c r="I52"/>
  <c r="I18"/>
  <c r="H18"/>
  <c r="H81"/>
  <c r="H82" s="1"/>
  <c r="I81"/>
  <c r="I16"/>
  <c r="H17"/>
  <c r="I20"/>
  <c r="H21"/>
  <c r="I26"/>
  <c r="H27"/>
  <c r="I30"/>
  <c r="H31"/>
  <c r="I32"/>
  <c r="I39"/>
  <c r="H40"/>
  <c r="I41"/>
  <c r="H42"/>
  <c r="I50"/>
  <c r="H57"/>
  <c r="I61"/>
  <c r="H65"/>
  <c r="I66"/>
  <c r="H67"/>
  <c r="I68"/>
  <c r="I80"/>
  <c r="I68" i="17"/>
  <c r="I66"/>
  <c r="I65"/>
  <c r="I69"/>
  <c r="I67"/>
  <c r="I30"/>
  <c r="I32"/>
  <c r="I31"/>
  <c r="H80"/>
  <c r="F81"/>
  <c r="H81" s="1"/>
  <c r="H82" s="1"/>
  <c r="H20"/>
  <c r="H16"/>
  <c r="H77"/>
  <c r="H17"/>
  <c r="H18"/>
  <c r="H21"/>
  <c r="I26"/>
  <c r="H27"/>
  <c r="H39"/>
  <c r="I40"/>
  <c r="H41"/>
  <c r="I50"/>
  <c r="I81"/>
  <c r="I94" i="19" l="1"/>
  <c r="I82" i="17"/>
  <c r="I97" s="1"/>
  <c r="I88" i="18"/>
  <c r="H77"/>
</calcChain>
</file>

<file path=xl/sharedStrings.xml><?xml version="1.0" encoding="utf-8"?>
<sst xmlns="http://schemas.openxmlformats.org/spreadsheetml/2006/main" count="2852" uniqueCount="281">
  <si>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</si>
  <si>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</si>
  <si>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</si>
  <si>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</si>
  <si>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</si>
  <si>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</si>
  <si>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</si>
  <si>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</si>
  <si>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</si>
  <si>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</si>
  <si>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</si>
  <si>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</si>
  <si>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</si>
  <si>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</si>
  <si>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</si>
  <si>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</si>
  <si>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</si>
  <si>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</si>
  <si>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</si>
  <si>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</si>
  <si>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</si>
  <si>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</si>
  <si>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</si>
  <si>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</si>
  <si>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</si>
  <si>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</si>
  <si>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</si>
  <si>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</si>
  <si>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</si>
  <si>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</si>
  <si>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</si>
  <si>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</si>
  <si>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</si>
  <si>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</si>
  <si>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</si>
  <si>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</si>
  <si>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</si>
  <si>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</si>
  <si>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</si>
  <si>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</si>
  <si>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</si>
  <si>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</si>
  <si>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</si>
  <si>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</si>
  <si>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</si>
  <si>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</si>
  <si>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</si>
  <si>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</si>
  <si>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</si>
  <si>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</si>
  <si>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</si>
  <si>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</si>
  <si>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</si>
  <si>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</si>
  <si>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</si>
  <si>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</si>
  <si>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</si>
  <si>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</si>
  <si>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</si>
  <si>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</si>
  <si>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</si>
  <si>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</si>
  <si>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</si>
  <si>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</si>
  <si>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</si>
  <si>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</si>
  <si>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</si>
  <si>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</si>
  <si>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</si>
  <si>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</si>
  <si>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</si>
  <si>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</si>
  <si>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</si>
  <si>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</si>
  <si>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</si>
  <si>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</si>
  <si>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</si>
  <si>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</si>
  <si>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</si>
  <si>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</si>
  <si>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</si>
  <si>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</si>
  <si>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</si>
  <si>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</si>
  <si>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</si>
  <si>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</si>
  <si>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</si>
  <si>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</si>
  <si>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</si>
  <si>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</si>
  <si>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</si>
  <si>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</si>
  <si>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</si>
  <si>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</si>
  <si>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</si>
  <si>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</si>
  <si>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</si>
  <si>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</si>
  <si>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</si>
  <si>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</si>
  <si>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</si>
  <si>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</si>
  <si>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</si>
  <si>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</si>
  <si>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</si>
  <si>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</si>
  <si>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</si>
  <si>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</si>
  <si>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</si>
  <si>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</si>
  <si>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</si>
  <si>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</si>
  <si>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</si>
  <si>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</si>
  <si>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</si>
  <si>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</si>
  <si>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</si>
  <si>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</si>
  <si>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</si>
  <si>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</si>
  <si>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</si>
  <si>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</si>
  <si>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</si>
  <si>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Прочистка каналов</t>
  </si>
  <si>
    <t>Очистка края кровли от слежавшегося снега со сбрасыванием сосулек (10% от S кровли и козырьки)</t>
  </si>
  <si>
    <t xml:space="preserve"> </t>
  </si>
  <si>
    <t>Очистка урн от мусора</t>
  </si>
  <si>
    <t>10 м2</t>
  </si>
  <si>
    <t>Снятие показаний эл.счетчика коммунального назначения</t>
  </si>
  <si>
    <t xml:space="preserve">1 раз в год  </t>
  </si>
  <si>
    <t>20 раз за сезон</t>
  </si>
  <si>
    <t>50 раз за сезон</t>
  </si>
  <si>
    <t>Осмотр шиферной кровли</t>
  </si>
  <si>
    <t>Очистка подвала от чердака</t>
  </si>
  <si>
    <t>Очистка подвала от мусора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</si>
  <si>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ул.Строительная пгт.Ярега
</t>
  </si>
  <si>
    <t>1 шт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</si>
  <si>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</si>
  <si>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</si>
  <si>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</si>
  <si>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</si>
  <si>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</si>
  <si>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по мере необходимости</t>
  </si>
  <si>
    <t>Смена арматуры - вентилей и клапанов обратных муфтовых диаметром до 20 мм</t>
  </si>
  <si>
    <t>Работа автовышки</t>
  </si>
  <si>
    <t>маш/час</t>
  </si>
  <si>
    <t>Смена арматуры - вентилей и клапанов обратных муфтовых диаметром до 32 мм</t>
  </si>
  <si>
    <t>Устройство хомута диаметром до 50 мм</t>
  </si>
  <si>
    <t>5 раз в год</t>
  </si>
  <si>
    <t>АКТ №2</t>
  </si>
  <si>
    <t>АКТ №3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</si>
  <si>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д.11</t>
    </r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</si>
  <si>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29.12.2012г.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</si>
  <si>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156 раз в год</t>
  </si>
  <si>
    <t>104 раза в год</t>
  </si>
  <si>
    <t xml:space="preserve">24 раза в год </t>
  </si>
  <si>
    <t xml:space="preserve">ежедневно </t>
  </si>
  <si>
    <t>Итого затраты за месяц</t>
  </si>
  <si>
    <t>Заделка "шахты" после работ ВДИС</t>
  </si>
  <si>
    <t>Смена трубопроводов на полипропиленовые трубы PN25 диаметром 20 мм</t>
  </si>
  <si>
    <t>за период с 01.01.2018 г. по 31.01.2018 г.</t>
  </si>
  <si>
    <t>Смена трубопроводов на полипропиленовые трубы PN25 диаметром до 32 мм</t>
  </si>
  <si>
    <t>1м</t>
  </si>
  <si>
    <t>Смена светодиодных светильников в.о.</t>
  </si>
  <si>
    <t>Ремонт потолочного перекрытия</t>
  </si>
  <si>
    <t>руб.</t>
  </si>
  <si>
    <t>Ремонт штукатурки внутренних стен по камню и бетону цементно-известковым раствором площадью до 1 м2 толщиной слоя до 20 мм</t>
  </si>
  <si>
    <t>за период с 01.02.2018 г. по 28.02.2018 г.</t>
  </si>
  <si>
    <t>за период с 01.03.2018 г. по 31.03.2018 г.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</si>
  <si>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</si>
  <si>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Мытье лестничных площадок и маршей 1-5 этаж.</t>
  </si>
  <si>
    <t xml:space="preserve">2 раза в год     </t>
  </si>
  <si>
    <t>Влажная протирка шкафов для щитов и слаботочн.ус.</t>
  </si>
  <si>
    <t>52 раза в сезон</t>
  </si>
  <si>
    <t>78 раз за сезон</t>
  </si>
  <si>
    <t>155 раз в год</t>
  </si>
  <si>
    <t>30 раз за сезон</t>
  </si>
  <si>
    <t>Вывоз снега с придомовой территории</t>
  </si>
  <si>
    <t>1м3</t>
  </si>
  <si>
    <t>35 раз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</si>
  <si>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</si>
  <si>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</si>
  <si>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</si>
  <si>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</si>
  <si>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от мусора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</si>
  <si>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</si>
  <si>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</si>
  <si>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светодиодных светильников н.о.</t>
  </si>
  <si>
    <t>Снятие показаний с общедомовых приборов учёта эл.энергии и хол.воды</t>
  </si>
  <si>
    <t>Водоснабжение, канализация</t>
  </si>
  <si>
    <t>ТО внутренних сетей водопровода и канализации</t>
  </si>
  <si>
    <t>руб/м2 в мес</t>
  </si>
  <si>
    <t>III. Содержание общего имущества МКД</t>
  </si>
  <si>
    <t>IV. Прочие услуги</t>
  </si>
  <si>
    <t>АКТ №4</t>
  </si>
  <si>
    <t>за период с 01.04.2018 г. по 30.04.2018 г.</t>
  </si>
  <si>
    <t>Внеплановый осмотр электросетей,арматуры и электооборудования на лестничных клетках</t>
  </si>
  <si>
    <t>Внеплановый осмотр вводных электрических щитков</t>
  </si>
  <si>
    <t>АКТ №5</t>
  </si>
  <si>
    <t>за период с 01.05.2018 г. по 31.05.2018 г.</t>
  </si>
  <si>
    <t>Смена дверных приборов /замки навесные)</t>
  </si>
  <si>
    <t>Ремонт групповых щитков на лестничной клетке без ремонта автоматов</t>
  </si>
  <si>
    <t>Ремонт силового предохранительного шкафа (без стоимости материалов)</t>
  </si>
  <si>
    <t>Внеплановая проверка ветканалов</t>
  </si>
  <si>
    <t>за период с 01.06.2018 г. по 30.06.2018 г.</t>
  </si>
  <si>
    <t>Очистка канализационной сети внутренней</t>
  </si>
  <si>
    <t>м</t>
  </si>
  <si>
    <t>*17</t>
  </si>
  <si>
    <t>*17-справочно</t>
  </si>
  <si>
    <t>2. Всего за период с 01.06.2018 по 30.06.2018 выполнено работ (оказано услуг) на общую сумму: 63532,68 руб.</t>
  </si>
  <si>
    <t>(шестьдесят три тысячи пятьсот тридцать два рубля 68 копеек)</t>
  </si>
  <si>
    <t>2. Всего за период с 01.05.2018 по 31.05.2018 выполнено работ (оказано услуг) на общую сумму: 194220,80 руб.</t>
  </si>
  <si>
    <t>(сто девяносто четыре рубля двести двадцать рублей 80 копеек)</t>
  </si>
  <si>
    <t>*39</t>
  </si>
  <si>
    <t>*39-справочно</t>
  </si>
  <si>
    <t>*21</t>
  </si>
  <si>
    <t>*21-справочно</t>
  </si>
  <si>
    <t>2. Всего за период с 01.04.2018 по 30.04.2018 выполнено работ (оказано услуг) на общую сумму: 77718,40 руб.</t>
  </si>
  <si>
    <t>(семьдесят семь тысяч семьсот восемнадцать рублей 40 копеек)</t>
  </si>
  <si>
    <t>*24</t>
  </si>
  <si>
    <t>*24-справочно</t>
  </si>
  <si>
    <t>АКТ №6</t>
  </si>
  <si>
    <t>ООО «Движение»</t>
  </si>
  <si>
    <t>АКТ №7</t>
  </si>
  <si>
    <t>за период с 01.07.2018 г. по 31.07.2018 г.</t>
  </si>
  <si>
    <r>
      <t xml:space="preserve">    Собственники помещений в многоквартирном доме, расположенном по адресу:  пгт.Ярега, ул.Строительная,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14.02.2018г.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</si>
  <si>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Установка хомута д=до 50 мм</t>
  </si>
  <si>
    <t>Подключение и отключение сварочного аппарата</t>
  </si>
  <si>
    <t>Ремонт вентильных кранов д=40 со снятием с места</t>
  </si>
  <si>
    <t>2. Всего за период с 01.07.2018 по 31.07.2018 выполнено работ (оказано услуг) на общую сумму: 65254,93 руб.</t>
  </si>
  <si>
    <t>(шестьдесят пять тысяч двести пятьдесят четыре рубля 93 копейки)</t>
  </si>
  <si>
    <t>*19</t>
  </si>
  <si>
    <t>*19-справочно</t>
  </si>
  <si>
    <t>2. Всего за период с 01.03.2018 по 31.03.2018 выполнено работ (оказано услуг) на общую сумму: 67032,44 руб.</t>
  </si>
  <si>
    <t>(шестьдесят семь тысяч тридцать два рубля 44 копейки)</t>
  </si>
  <si>
    <t>2. Всего за период с 01.01.2018 по 31.01.2018 выполнено работ (оказано услуг) на общую сумму: 73617,51 руб.</t>
  </si>
  <si>
    <t>(семьдесят три тысячи шестьсот семьнадцать рублей 51 копейка)</t>
  </si>
  <si>
    <t>2. Всего за период с 01.02.2018 по 28.02.2018 выполнено работ (оказано услуг) на общую сумму: 48944,56 руб.</t>
  </si>
  <si>
    <t>( сорок восемь тысяч девятьсот сорок четыре рубля 56 копеек)</t>
  </si>
  <si>
    <t>АКТ №8</t>
  </si>
  <si>
    <t>за период с 01.08.2018 г. по 31.08.2018 г.</t>
  </si>
  <si>
    <t>Заделка слуховых окон фанерой</t>
  </si>
  <si>
    <t>*18</t>
  </si>
  <si>
    <t>*18-справочно</t>
  </si>
  <si>
    <t>за период с 01.09.2018 г. по 30.09.2018 г.</t>
  </si>
  <si>
    <t>АКТ №9</t>
  </si>
  <si>
    <t>2. Всего за период с 01.08.2018 по 31.08.2018 выполнено работ (оказано услуг) на общую сумму: 74488,27 руб.</t>
  </si>
  <si>
    <t>(семьдесят четыре тысячи четыреста восемьдесят восемь рублей 27 копеек)</t>
  </si>
  <si>
    <t>*25</t>
  </si>
  <si>
    <t>*25-справочно</t>
  </si>
  <si>
    <t>2. Всего за период с 01.09.2018 по 30.09.2018 выполнено работ (оказано услуг) на общую сумму: 72473,27 руб.</t>
  </si>
  <si>
    <t>(семьдесят две тысячи четыреста семьдесят три рубля 27 копеек)</t>
  </si>
  <si>
    <t>АКТ №10</t>
  </si>
  <si>
    <t>за период с 01.10.2018 г. по 31.10.2018 г.</t>
  </si>
  <si>
    <t>Разборка шахты для работ ВДИС</t>
  </si>
  <si>
    <t>1 мЗ</t>
  </si>
  <si>
    <t>Заделка шахты после работ ВДИС (кв. 47 и 27, под. №1)</t>
  </si>
  <si>
    <t>Оштукатуривание шахты</t>
  </si>
  <si>
    <t>Работа автопогрузчика</t>
  </si>
  <si>
    <t>Погрузка  строительного мусора</t>
  </si>
  <si>
    <t>мЗ</t>
  </si>
  <si>
    <t>2. Всего за период с 01.10.2018 по 31.10.2018 выполнено работ (оказано услуг) на общую сумму: 74047,23 руб.</t>
  </si>
  <si>
    <t>(семьдесят четыре тысячи сорок семь рублей 23 копейки)</t>
  </si>
  <si>
    <t>АКТ №11</t>
  </si>
  <si>
    <t>за период с 01.11.2018 г. по 30.11.2018 г.</t>
  </si>
  <si>
    <t>2. Всего за период с 01.11.2018 по 30.11.2018 выполнено работ (оказано услуг) на общую сумму: 51709,91 руб.</t>
  </si>
  <si>
    <t>(пятьдесят одна тысяча семьсот девять рублей 91 копейка)</t>
  </si>
  <si>
    <t>за период с 01.12.2018 г. по 31.12.2018 г.</t>
  </si>
  <si>
    <t>АКТ №12</t>
  </si>
  <si>
    <t>Смена обоев улучшенных</t>
  </si>
  <si>
    <t>Разборка оснований покрытия полов - простильных полов</t>
  </si>
  <si>
    <t>Смена дощатых полов с добавлением новых досок до 25%</t>
  </si>
  <si>
    <t>Устройство (смена) оснований под покрытие пола из древесноволокнистых плит насухо два слоя плошадью, м2 до 20</t>
  </si>
  <si>
    <t>Устройство (смена) покрытий из линолеума насухо</t>
  </si>
  <si>
    <t>Ремонт штукатурки внутренних стен по камню известковым раствором площадью до 10 м2 толщиной слоя до 20 мм</t>
  </si>
  <si>
    <t>Утепление трубопроводов в каналах и коробах минеральной ватой</t>
  </si>
  <si>
    <t>I МЗ</t>
  </si>
  <si>
    <t>Штукатурная смесь ротбант</t>
  </si>
  <si>
    <t>30 кг</t>
  </si>
  <si>
    <t>2. Всего за период с 01.12.2018 по 31.12.2018 выполнено работ (оказано услуг) на общую сумму: 85495,30 руб.</t>
  </si>
  <si>
    <t>(восемьдесят пять тысяч четыреста девяносто пять рублей 30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</si>
</sst>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4" fontId="11" fillId="2" borderId="1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4" fontId="20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2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B100" sqref="B100: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86</v>
      </c>
      <c r="I1" s="29"/>
      <c r="J1" s="1"/>
      <c r="K1" s="1"/>
      <c r="L1" s="1"/>
      <c r="M1" s="1"/>
    </row>
    <row r="2" spans="1:13" ht="15.75">
      <c r="A2" s="31" t="s">
        <v>63</v>
      </c>
      <c r="J2" s="2"/>
      <c r="K2" s="2"/>
      <c r="L2" s="2"/>
      <c r="M2" s="2"/>
    </row>
    <row r="3" spans="1:13" ht="15.75" customHeight="1">
      <c r="A3" s="237" t="s">
        <v>141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160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43131</v>
      </c>
      <c r="J6" s="2"/>
      <c r="K6" s="2"/>
      <c r="L6" s="2"/>
      <c r="M6" s="2"/>
    </row>
    <row r="7" spans="1:13" ht="15.75">
      <c r="B7" s="58"/>
      <c r="C7" s="58"/>
      <c r="D7" s="5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152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  <c r="J15" s="8"/>
      <c r="K15" s="8"/>
      <c r="L15" s="8"/>
      <c r="M15" s="8"/>
    </row>
    <row r="16" spans="1:13" ht="15.75" customHeight="1">
      <c r="A16" s="32">
        <v>1</v>
      </c>
      <c r="B16" s="69" t="s">
        <v>87</v>
      </c>
      <c r="C16" s="70" t="s">
        <v>88</v>
      </c>
      <c r="D16" s="69" t="s">
        <v>153</v>
      </c>
      <c r="E16" s="71">
        <v>66</v>
      </c>
      <c r="F16" s="72">
        <f>SUM(E16*156/100)</f>
        <v>102.96</v>
      </c>
      <c r="G16" s="72">
        <v>175.38</v>
      </c>
      <c r="H16" s="73">
        <f t="shared" ref="H16:H25" si="0">SUM(F16*G16/1000)</f>
        <v>18.057124799999997</v>
      </c>
      <c r="I16" s="13">
        <f>F16/12*G16</f>
        <v>1504.7603999999999</v>
      </c>
      <c r="J16" s="24"/>
      <c r="K16" s="8"/>
      <c r="L16" s="8"/>
      <c r="M16" s="8"/>
    </row>
    <row r="17" spans="1:13" ht="15.75" customHeight="1">
      <c r="A17" s="32">
        <v>2</v>
      </c>
      <c r="B17" s="69" t="s">
        <v>118</v>
      </c>
      <c r="C17" s="70" t="s">
        <v>88</v>
      </c>
      <c r="D17" s="69" t="s">
        <v>154</v>
      </c>
      <c r="E17" s="71">
        <v>264</v>
      </c>
      <c r="F17" s="72">
        <f>SUM(E17*104/100)</f>
        <v>274.56</v>
      </c>
      <c r="G17" s="72">
        <v>175.38</v>
      </c>
      <c r="H17" s="73">
        <f t="shared" si="0"/>
        <v>48.152332799999996</v>
      </c>
      <c r="I17" s="13">
        <f>F17/12*G17</f>
        <v>4012.6943999999999</v>
      </c>
      <c r="J17" s="25"/>
      <c r="K17" s="8"/>
      <c r="L17" s="8"/>
      <c r="M17" s="8"/>
    </row>
    <row r="18" spans="1:13" ht="15.75" customHeight="1">
      <c r="A18" s="32">
        <v>3</v>
      </c>
      <c r="B18" s="69" t="s">
        <v>119</v>
      </c>
      <c r="C18" s="70" t="s">
        <v>88</v>
      </c>
      <c r="D18" s="69" t="s">
        <v>155</v>
      </c>
      <c r="E18" s="71">
        <f>SUM(E16+E17)</f>
        <v>330</v>
      </c>
      <c r="F18" s="72">
        <f>SUM(E18*24/100)</f>
        <v>79.2</v>
      </c>
      <c r="G18" s="72">
        <v>504.5</v>
      </c>
      <c r="H18" s="73">
        <f t="shared" si="0"/>
        <v>39.956400000000002</v>
      </c>
      <c r="I18" s="13">
        <f>F18/12*G18</f>
        <v>3329.7000000000003</v>
      </c>
      <c r="J18" s="25"/>
      <c r="K18" s="8"/>
      <c r="L18" s="8"/>
      <c r="M18" s="8"/>
    </row>
    <row r="19" spans="1:13" ht="15.75" hidden="1" customHeight="1">
      <c r="A19" s="32"/>
      <c r="B19" s="69" t="s">
        <v>95</v>
      </c>
      <c r="C19" s="70" t="s">
        <v>96</v>
      </c>
      <c r="D19" s="69" t="s">
        <v>97</v>
      </c>
      <c r="E19" s="71">
        <v>28.16</v>
      </c>
      <c r="F19" s="72">
        <f>SUM(E19/10)</f>
        <v>2.8159999999999998</v>
      </c>
      <c r="G19" s="72">
        <v>170.16</v>
      </c>
      <c r="H19" s="73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69" t="s">
        <v>98</v>
      </c>
      <c r="C20" s="70" t="s">
        <v>88</v>
      </c>
      <c r="D20" s="69" t="s">
        <v>120</v>
      </c>
      <c r="E20" s="71">
        <v>14</v>
      </c>
      <c r="F20" s="72">
        <f>SUM(E20*12/100)</f>
        <v>1.68</v>
      </c>
      <c r="G20" s="72">
        <v>217.88</v>
      </c>
      <c r="H20" s="73">
        <f t="shared" si="0"/>
        <v>0.36603839999999999</v>
      </c>
      <c r="I20" s="13">
        <f>F20/12*G20</f>
        <v>30.503199999999996</v>
      </c>
      <c r="J20" s="25"/>
      <c r="K20" s="8"/>
      <c r="L20" s="8"/>
      <c r="M20" s="8"/>
    </row>
    <row r="21" spans="1:13" ht="15.75" customHeight="1">
      <c r="A21" s="32">
        <v>5</v>
      </c>
      <c r="B21" s="69" t="s">
        <v>99</v>
      </c>
      <c r="C21" s="70" t="s">
        <v>88</v>
      </c>
      <c r="D21" s="69" t="s">
        <v>30</v>
      </c>
      <c r="E21" s="71">
        <v>3.6</v>
      </c>
      <c r="F21" s="72">
        <f>SUM(E21*12/100)</f>
        <v>0.43200000000000005</v>
      </c>
      <c r="G21" s="72">
        <v>216.12</v>
      </c>
      <c r="H21" s="73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9" t="s">
        <v>100</v>
      </c>
      <c r="C22" s="70" t="s">
        <v>53</v>
      </c>
      <c r="D22" s="69" t="s">
        <v>97</v>
      </c>
      <c r="E22" s="71">
        <v>357</v>
      </c>
      <c r="F22" s="72">
        <f>SUM(E22/100)</f>
        <v>3.57</v>
      </c>
      <c r="G22" s="72">
        <v>269.26</v>
      </c>
      <c r="H22" s="73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9" t="s">
        <v>101</v>
      </c>
      <c r="C23" s="70" t="s">
        <v>53</v>
      </c>
      <c r="D23" s="69" t="s">
        <v>97</v>
      </c>
      <c r="E23" s="74">
        <v>48.3</v>
      </c>
      <c r="F23" s="72">
        <f>SUM(E23/100)</f>
        <v>0.48299999999999998</v>
      </c>
      <c r="G23" s="72">
        <v>44.29</v>
      </c>
      <c r="H23" s="73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9" t="s">
        <v>102</v>
      </c>
      <c r="C24" s="70" t="s">
        <v>53</v>
      </c>
      <c r="D24" s="69" t="s">
        <v>129</v>
      </c>
      <c r="E24" s="71">
        <v>20</v>
      </c>
      <c r="F24" s="72">
        <f>E24/100</f>
        <v>0.2</v>
      </c>
      <c r="G24" s="72">
        <v>389.72</v>
      </c>
      <c r="H24" s="73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9" t="s">
        <v>103</v>
      </c>
      <c r="C25" s="70" t="s">
        <v>53</v>
      </c>
      <c r="D25" s="69" t="s">
        <v>97</v>
      </c>
      <c r="E25" s="71">
        <v>8.5</v>
      </c>
      <c r="F25" s="72">
        <f>SUM(E25/100)</f>
        <v>8.5000000000000006E-2</v>
      </c>
      <c r="G25" s="72">
        <v>520.79999999999995</v>
      </c>
      <c r="H25" s="73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6</v>
      </c>
      <c r="B26" s="69" t="s">
        <v>65</v>
      </c>
      <c r="C26" s="70" t="s">
        <v>33</v>
      </c>
      <c r="D26" s="69" t="s">
        <v>156</v>
      </c>
      <c r="E26" s="71">
        <v>0.1</v>
      </c>
      <c r="F26" s="72">
        <f>SUM(E26*365)</f>
        <v>36.5</v>
      </c>
      <c r="G26" s="72">
        <v>147.03</v>
      </c>
      <c r="H26" s="73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7</v>
      </c>
      <c r="B27" s="77" t="s">
        <v>23</v>
      </c>
      <c r="C27" s="70" t="s">
        <v>24</v>
      </c>
      <c r="D27" s="69" t="s">
        <v>156</v>
      </c>
      <c r="E27" s="71">
        <v>3382.7</v>
      </c>
      <c r="F27" s="72">
        <f>SUM(E27*12)</f>
        <v>40592.399999999994</v>
      </c>
      <c r="G27" s="72">
        <v>4.42</v>
      </c>
      <c r="H27" s="73">
        <f>SUM(F27*G27/1000)</f>
        <v>179.41840799999997</v>
      </c>
      <c r="I27" s="13">
        <f>F27/12*G27</f>
        <v>14951.533999999998</v>
      </c>
      <c r="J27" s="26"/>
    </row>
    <row r="28" spans="1:13" ht="15.75" customHeight="1">
      <c r="A28" s="242" t="s">
        <v>85</v>
      </c>
      <c r="B28" s="242"/>
      <c r="C28" s="242"/>
      <c r="D28" s="242"/>
      <c r="E28" s="242"/>
      <c r="F28" s="242"/>
      <c r="G28" s="242"/>
      <c r="H28" s="242"/>
      <c r="I28" s="242"/>
      <c r="J28" s="25"/>
      <c r="K28" s="8"/>
      <c r="L28" s="8"/>
      <c r="M28" s="8"/>
    </row>
    <row r="29" spans="1:13" ht="15.75" hidden="1" customHeight="1">
      <c r="A29" s="32"/>
      <c r="B29" s="93" t="s">
        <v>28</v>
      </c>
      <c r="C29" s="70"/>
      <c r="D29" s="69"/>
      <c r="E29" s="71"/>
      <c r="F29" s="72"/>
      <c r="G29" s="72"/>
      <c r="H29" s="73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9" t="s">
        <v>107</v>
      </c>
      <c r="C30" s="70" t="s">
        <v>90</v>
      </c>
      <c r="D30" s="69" t="s">
        <v>104</v>
      </c>
      <c r="E30" s="72">
        <v>667.1</v>
      </c>
      <c r="F30" s="72">
        <f>SUM(E30*52/1000)</f>
        <v>34.689200000000007</v>
      </c>
      <c r="G30" s="72">
        <v>155.88999999999999</v>
      </c>
      <c r="H30" s="73">
        <f t="shared" ref="H30:H36" si="1">SUM(F30*G30/1000)</f>
        <v>5.4076993880000011</v>
      </c>
      <c r="I30" s="13">
        <f t="shared" ref="I30:I34" si="2">F30/6*G30</f>
        <v>901.28323133333345</v>
      </c>
      <c r="J30" s="25"/>
      <c r="K30" s="8"/>
      <c r="L30" s="8"/>
      <c r="M30" s="8"/>
    </row>
    <row r="31" spans="1:13" ht="31.5" hidden="1" customHeight="1">
      <c r="A31" s="32">
        <v>9</v>
      </c>
      <c r="B31" s="69" t="s">
        <v>121</v>
      </c>
      <c r="C31" s="70" t="s">
        <v>90</v>
      </c>
      <c r="D31" s="69" t="s">
        <v>105</v>
      </c>
      <c r="E31" s="72">
        <v>457.48</v>
      </c>
      <c r="F31" s="72">
        <f>SUM(E31*78/1000)</f>
        <v>35.683440000000004</v>
      </c>
      <c r="G31" s="72">
        <v>258.63</v>
      </c>
      <c r="H31" s="73">
        <f t="shared" si="1"/>
        <v>9.2288080872000009</v>
      </c>
      <c r="I31" s="13">
        <f t="shared" si="2"/>
        <v>1538.1346812000002</v>
      </c>
      <c r="J31" s="25"/>
      <c r="K31" s="8"/>
      <c r="L31" s="8"/>
      <c r="M31" s="8"/>
    </row>
    <row r="32" spans="1:13" ht="15.75" hidden="1" customHeight="1">
      <c r="A32" s="32"/>
      <c r="B32" s="69" t="s">
        <v>27</v>
      </c>
      <c r="C32" s="70" t="s">
        <v>90</v>
      </c>
      <c r="D32" s="69" t="s">
        <v>54</v>
      </c>
      <c r="E32" s="72">
        <v>667.1</v>
      </c>
      <c r="F32" s="72">
        <f>SUM(E32/1000)</f>
        <v>0.66710000000000003</v>
      </c>
      <c r="G32" s="72">
        <v>3020.33</v>
      </c>
      <c r="H32" s="73">
        <f t="shared" si="1"/>
        <v>2.0148621430000002</v>
      </c>
      <c r="I32" s="13">
        <f>F32*G32</f>
        <v>2014.8621430000001</v>
      </c>
      <c r="J32" s="25"/>
      <c r="K32" s="8"/>
      <c r="L32" s="8"/>
      <c r="M32" s="8"/>
    </row>
    <row r="33" spans="1:14" ht="15.75" hidden="1" customHeight="1">
      <c r="A33" s="32">
        <v>10</v>
      </c>
      <c r="B33" s="69" t="s">
        <v>126</v>
      </c>
      <c r="C33" s="70" t="s">
        <v>41</v>
      </c>
      <c r="D33" s="69" t="s">
        <v>64</v>
      </c>
      <c r="E33" s="72">
        <v>1</v>
      </c>
      <c r="F33" s="72">
        <v>1.55</v>
      </c>
      <c r="G33" s="72">
        <v>1302.02</v>
      </c>
      <c r="H33" s="73">
        <f>G33*F33/1000</f>
        <v>2.0181309999999999</v>
      </c>
      <c r="I33" s="13">
        <f t="shared" si="2"/>
        <v>336.35516666666672</v>
      </c>
      <c r="J33" s="25"/>
      <c r="K33" s="8"/>
      <c r="L33" s="8"/>
      <c r="M33" s="8"/>
    </row>
    <row r="34" spans="1:14" ht="15.75" hidden="1" customHeight="1">
      <c r="A34" s="32">
        <v>11</v>
      </c>
      <c r="B34" s="69" t="s">
        <v>106</v>
      </c>
      <c r="C34" s="70" t="s">
        <v>31</v>
      </c>
      <c r="D34" s="69" t="s">
        <v>64</v>
      </c>
      <c r="E34" s="76">
        <v>0.33333333333333331</v>
      </c>
      <c r="F34" s="72">
        <f>155/3</f>
        <v>51.666666666666664</v>
      </c>
      <c r="G34" s="72">
        <v>56.69</v>
      </c>
      <c r="H34" s="73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69" t="s">
        <v>66</v>
      </c>
      <c r="C35" s="70" t="s">
        <v>33</v>
      </c>
      <c r="D35" s="69" t="s">
        <v>68</v>
      </c>
      <c r="E35" s="71"/>
      <c r="F35" s="72">
        <v>3</v>
      </c>
      <c r="G35" s="72">
        <v>191.32</v>
      </c>
      <c r="H35" s="73">
        <f t="shared" si="1"/>
        <v>0.57396000000000003</v>
      </c>
      <c r="I35" s="13">
        <v>0</v>
      </c>
      <c r="J35" s="26"/>
    </row>
    <row r="36" spans="1:14" ht="15.75" hidden="1" customHeight="1">
      <c r="A36" s="32"/>
      <c r="B36" s="69" t="s">
        <v>67</v>
      </c>
      <c r="C36" s="70" t="s">
        <v>32</v>
      </c>
      <c r="D36" s="69" t="s">
        <v>68</v>
      </c>
      <c r="E36" s="71"/>
      <c r="F36" s="72">
        <v>2</v>
      </c>
      <c r="G36" s="72">
        <v>1136.33</v>
      </c>
      <c r="H36" s="73">
        <f t="shared" si="1"/>
        <v>2.2726599999999997</v>
      </c>
      <c r="I36" s="13">
        <v>0</v>
      </c>
      <c r="J36" s="26"/>
    </row>
    <row r="37" spans="1:14" ht="15.75" customHeight="1">
      <c r="A37" s="32"/>
      <c r="B37" s="93" t="s">
        <v>5</v>
      </c>
      <c r="C37" s="70"/>
      <c r="D37" s="69"/>
      <c r="E37" s="71"/>
      <c r="F37" s="72"/>
      <c r="G37" s="72"/>
      <c r="H37" s="73" t="s">
        <v>125</v>
      </c>
      <c r="I37" s="13"/>
      <c r="J37" s="26"/>
    </row>
    <row r="38" spans="1:14" ht="15.75" customHeight="1">
      <c r="A38" s="32">
        <v>8</v>
      </c>
      <c r="B38" s="69" t="s">
        <v>26</v>
      </c>
      <c r="C38" s="70" t="s">
        <v>32</v>
      </c>
      <c r="D38" s="69"/>
      <c r="E38" s="71"/>
      <c r="F38" s="72">
        <v>10</v>
      </c>
      <c r="G38" s="72">
        <v>1527.22</v>
      </c>
      <c r="H38" s="73">
        <f t="shared" ref="H38:H43" si="3">SUM(F38*G38/1000)</f>
        <v>15.272200000000002</v>
      </c>
      <c r="I38" s="13">
        <f t="shared" ref="I38:I41" si="4">F38/6*G38</f>
        <v>2545.3666666666668</v>
      </c>
      <c r="J38" s="26"/>
    </row>
    <row r="39" spans="1:14" ht="15.75" customHeight="1">
      <c r="A39" s="32">
        <v>9</v>
      </c>
      <c r="B39" s="69" t="s">
        <v>108</v>
      </c>
      <c r="C39" s="70" t="s">
        <v>29</v>
      </c>
      <c r="D39" s="69" t="s">
        <v>130</v>
      </c>
      <c r="E39" s="71">
        <v>457.48</v>
      </c>
      <c r="F39" s="72">
        <f>E39*20/1000</f>
        <v>9.1495999999999995</v>
      </c>
      <c r="G39" s="72">
        <v>2102.71</v>
      </c>
      <c r="H39" s="73">
        <f t="shared" si="3"/>
        <v>19.238955416</v>
      </c>
      <c r="I39" s="13">
        <f t="shared" si="4"/>
        <v>3206.492569333333</v>
      </c>
      <c r="J39" s="26"/>
      <c r="L39" s="19"/>
      <c r="M39" s="20"/>
      <c r="N39" s="21"/>
    </row>
    <row r="40" spans="1:14" ht="15.75" customHeight="1">
      <c r="A40" s="32">
        <v>10</v>
      </c>
      <c r="B40" s="69" t="s">
        <v>69</v>
      </c>
      <c r="C40" s="70" t="s">
        <v>29</v>
      </c>
      <c r="D40" s="69" t="s">
        <v>89</v>
      </c>
      <c r="E40" s="72">
        <v>107.36</v>
      </c>
      <c r="F40" s="72">
        <f>SUM(E40*155/1000)</f>
        <v>16.640799999999999</v>
      </c>
      <c r="G40" s="72">
        <v>350.75</v>
      </c>
      <c r="H40" s="73">
        <f t="shared" si="3"/>
        <v>5.8367605999999999</v>
      </c>
      <c r="I40" s="13">
        <f t="shared" si="4"/>
        <v>972.79343333333316</v>
      </c>
      <c r="J40" s="26"/>
      <c r="L40" s="19"/>
      <c r="M40" s="20"/>
      <c r="N40" s="21"/>
    </row>
    <row r="41" spans="1:14" ht="48" customHeight="1">
      <c r="A41" s="32">
        <v>11</v>
      </c>
      <c r="B41" s="69" t="s">
        <v>83</v>
      </c>
      <c r="C41" s="70" t="s">
        <v>90</v>
      </c>
      <c r="D41" s="69" t="s">
        <v>131</v>
      </c>
      <c r="E41" s="72">
        <v>24</v>
      </c>
      <c r="F41" s="72">
        <f>SUM(E41*50/1000)</f>
        <v>1.2</v>
      </c>
      <c r="G41" s="72">
        <v>5803.28</v>
      </c>
      <c r="H41" s="73">
        <f t="shared" si="3"/>
        <v>6.9639359999999995</v>
      </c>
      <c r="I41" s="13">
        <f t="shared" si="4"/>
        <v>1160.6559999999999</v>
      </c>
      <c r="J41" s="26"/>
      <c r="L41" s="19"/>
      <c r="M41" s="20"/>
      <c r="N41" s="21"/>
    </row>
    <row r="42" spans="1:14" ht="15.75" customHeight="1">
      <c r="A42" s="32">
        <v>12</v>
      </c>
      <c r="B42" s="69" t="s">
        <v>91</v>
      </c>
      <c r="C42" s="70" t="s">
        <v>90</v>
      </c>
      <c r="D42" s="69" t="s">
        <v>70</v>
      </c>
      <c r="E42" s="72">
        <v>123.36</v>
      </c>
      <c r="F42" s="72">
        <f>SUM(E42*45/1000)</f>
        <v>5.5511999999999997</v>
      </c>
      <c r="G42" s="72">
        <v>428.7</v>
      </c>
      <c r="H42" s="73">
        <f t="shared" si="3"/>
        <v>2.3797994399999998</v>
      </c>
      <c r="I42" s="13">
        <f>F42/7.5*G42</f>
        <v>317.30659199999997</v>
      </c>
      <c r="J42" s="26"/>
      <c r="L42" s="19"/>
      <c r="M42" s="20"/>
      <c r="N42" s="21"/>
    </row>
    <row r="43" spans="1:14" ht="15.75" customHeight="1">
      <c r="A43" s="32">
        <v>13</v>
      </c>
      <c r="B43" s="69" t="s">
        <v>71</v>
      </c>
      <c r="C43" s="70" t="s">
        <v>33</v>
      </c>
      <c r="D43" s="69"/>
      <c r="E43" s="71"/>
      <c r="F43" s="72">
        <v>0.9</v>
      </c>
      <c r="G43" s="72">
        <v>798</v>
      </c>
      <c r="H43" s="73">
        <f t="shared" si="3"/>
        <v>0.71820000000000006</v>
      </c>
      <c r="I43" s="13">
        <f>F43/7.5*G43</f>
        <v>95.76</v>
      </c>
      <c r="J43" s="26"/>
      <c r="L43" s="19"/>
      <c r="M43" s="20"/>
      <c r="N43" s="21"/>
    </row>
    <row r="44" spans="1:14" ht="15.75" customHeight="1">
      <c r="A44" s="243" t="s">
        <v>137</v>
      </c>
      <c r="B44" s="244"/>
      <c r="C44" s="244"/>
      <c r="D44" s="244"/>
      <c r="E44" s="244"/>
      <c r="F44" s="244"/>
      <c r="G44" s="244"/>
      <c r="H44" s="244"/>
      <c r="I44" s="245"/>
      <c r="J44" s="26"/>
      <c r="L44" s="19"/>
      <c r="M44" s="20"/>
      <c r="N44" s="21"/>
    </row>
    <row r="45" spans="1:14" ht="15.75" hidden="1" customHeight="1">
      <c r="A45" s="32"/>
      <c r="B45" s="69" t="s">
        <v>132</v>
      </c>
      <c r="C45" s="70" t="s">
        <v>90</v>
      </c>
      <c r="D45" s="69" t="s">
        <v>43</v>
      </c>
      <c r="E45" s="71">
        <v>1197.75</v>
      </c>
      <c r="F45" s="72">
        <f>SUM(E45*2/1000)</f>
        <v>2.3955000000000002</v>
      </c>
      <c r="G45" s="13">
        <v>809.74</v>
      </c>
      <c r="H45" s="73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9" t="s">
        <v>36</v>
      </c>
      <c r="C46" s="70" t="s">
        <v>90</v>
      </c>
      <c r="D46" s="69" t="s">
        <v>43</v>
      </c>
      <c r="E46" s="71">
        <v>52</v>
      </c>
      <c r="F46" s="72">
        <f>E46*2/1000</f>
        <v>0.104</v>
      </c>
      <c r="G46" s="13">
        <v>457.4</v>
      </c>
      <c r="H46" s="73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9" t="s">
        <v>37</v>
      </c>
      <c r="C47" s="70" t="s">
        <v>90</v>
      </c>
      <c r="D47" s="69" t="s">
        <v>43</v>
      </c>
      <c r="E47" s="71">
        <v>1056.5999999999999</v>
      </c>
      <c r="F47" s="72">
        <f>SUM(E47*2/1000)</f>
        <v>2.1132</v>
      </c>
      <c r="G47" s="13">
        <v>579.48</v>
      </c>
      <c r="H47" s="73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9" t="s">
        <v>38</v>
      </c>
      <c r="C48" s="70" t="s">
        <v>90</v>
      </c>
      <c r="D48" s="69" t="s">
        <v>43</v>
      </c>
      <c r="E48" s="71">
        <v>2582</v>
      </c>
      <c r="F48" s="72">
        <f>SUM(E48*2/1000)</f>
        <v>5.1639999999999997</v>
      </c>
      <c r="G48" s="13">
        <v>606.77</v>
      </c>
      <c r="H48" s="73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9" t="s">
        <v>34</v>
      </c>
      <c r="C49" s="70" t="s">
        <v>35</v>
      </c>
      <c r="D49" s="69" t="s">
        <v>43</v>
      </c>
      <c r="E49" s="71">
        <v>1676.85</v>
      </c>
      <c r="F49" s="72">
        <f>SUM(E49*2/100)</f>
        <v>33.536999999999999</v>
      </c>
      <c r="G49" s="13">
        <v>72.81</v>
      </c>
      <c r="H49" s="73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14</v>
      </c>
      <c r="B50" s="69" t="s">
        <v>57</v>
      </c>
      <c r="C50" s="70" t="s">
        <v>90</v>
      </c>
      <c r="D50" s="69" t="s">
        <v>148</v>
      </c>
      <c r="E50" s="71">
        <v>1916.4</v>
      </c>
      <c r="F50" s="72">
        <f>SUM(E50*5/1000)</f>
        <v>9.5820000000000007</v>
      </c>
      <c r="G50" s="13">
        <v>1213.55</v>
      </c>
      <c r="H50" s="73">
        <f t="shared" si="5"/>
        <v>11.628236100000001</v>
      </c>
      <c r="I50" s="13">
        <f>F50/5*G50</f>
        <v>2325.6472199999998</v>
      </c>
      <c r="J50" s="26"/>
      <c r="L50" s="19"/>
      <c r="M50" s="20"/>
      <c r="N50" s="21"/>
    </row>
    <row r="51" spans="1:22" ht="31.5" hidden="1" customHeight="1">
      <c r="A51" s="32"/>
      <c r="B51" s="69" t="s">
        <v>92</v>
      </c>
      <c r="C51" s="70" t="s">
        <v>90</v>
      </c>
      <c r="D51" s="69" t="s">
        <v>43</v>
      </c>
      <c r="E51" s="71">
        <v>1916.4</v>
      </c>
      <c r="F51" s="72">
        <f>SUM(E51*2/1000)</f>
        <v>3.8328000000000002</v>
      </c>
      <c r="G51" s="13">
        <v>1213.55</v>
      </c>
      <c r="H51" s="73">
        <f t="shared" si="5"/>
        <v>4.65129444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69" t="s">
        <v>93</v>
      </c>
      <c r="C52" s="70" t="s">
        <v>39</v>
      </c>
      <c r="D52" s="69" t="s">
        <v>43</v>
      </c>
      <c r="E52" s="71">
        <v>20</v>
      </c>
      <c r="F52" s="72">
        <f>SUM(E52*2/100)</f>
        <v>0.4</v>
      </c>
      <c r="G52" s="13">
        <v>2730.49</v>
      </c>
      <c r="H52" s="73">
        <f t="shared" si="5"/>
        <v>1.0921959999999999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69" t="s">
        <v>40</v>
      </c>
      <c r="C53" s="70" t="s">
        <v>41</v>
      </c>
      <c r="D53" s="69" t="s">
        <v>43</v>
      </c>
      <c r="E53" s="71">
        <v>1</v>
      </c>
      <c r="F53" s="72">
        <v>0.02</v>
      </c>
      <c r="G53" s="13">
        <v>5652.13</v>
      </c>
      <c r="H53" s="73">
        <f t="shared" si="5"/>
        <v>0.11304260000000001</v>
      </c>
      <c r="I53" s="13">
        <v>0</v>
      </c>
      <c r="J53" s="26"/>
      <c r="L53" s="19"/>
      <c r="M53" s="20"/>
      <c r="N53" s="21"/>
    </row>
    <row r="54" spans="1:22" ht="15.75" hidden="1" customHeight="1">
      <c r="A54" s="32">
        <v>15</v>
      </c>
      <c r="B54" s="69" t="s">
        <v>42</v>
      </c>
      <c r="C54" s="70" t="s">
        <v>109</v>
      </c>
      <c r="D54" s="69" t="s">
        <v>72</v>
      </c>
      <c r="E54" s="71">
        <v>120</v>
      </c>
      <c r="F54" s="72">
        <f>SUM(E54)*3</f>
        <v>360</v>
      </c>
      <c r="G54" s="13">
        <v>65.67</v>
      </c>
      <c r="H54" s="73">
        <f t="shared" si="5"/>
        <v>23.641200000000001</v>
      </c>
      <c r="I54" s="13">
        <f>E54*G54</f>
        <v>7880.4000000000005</v>
      </c>
      <c r="J54" s="26"/>
      <c r="L54" s="19"/>
      <c r="M54" s="20"/>
      <c r="N54" s="21"/>
    </row>
    <row r="55" spans="1:22" ht="15.75" customHeight="1">
      <c r="A55" s="243" t="s">
        <v>138</v>
      </c>
      <c r="B55" s="244"/>
      <c r="C55" s="244"/>
      <c r="D55" s="244"/>
      <c r="E55" s="244"/>
      <c r="F55" s="244"/>
      <c r="G55" s="244"/>
      <c r="H55" s="244"/>
      <c r="I55" s="245"/>
      <c r="J55" s="26"/>
      <c r="L55" s="19"/>
      <c r="M55" s="20"/>
      <c r="N55" s="21"/>
    </row>
    <row r="56" spans="1:22" ht="15.75" customHeight="1">
      <c r="A56" s="32"/>
      <c r="B56" s="93" t="s">
        <v>44</v>
      </c>
      <c r="C56" s="70"/>
      <c r="D56" s="69"/>
      <c r="E56" s="71"/>
      <c r="F56" s="72"/>
      <c r="G56" s="72"/>
      <c r="H56" s="73"/>
      <c r="I56" s="13"/>
      <c r="J56" s="26"/>
      <c r="L56" s="19"/>
      <c r="M56" s="20"/>
      <c r="N56" s="21"/>
    </row>
    <row r="57" spans="1:22" ht="31.5" customHeight="1">
      <c r="A57" s="32">
        <v>15</v>
      </c>
      <c r="B57" s="69" t="s">
        <v>124</v>
      </c>
      <c r="C57" s="70" t="s">
        <v>88</v>
      </c>
      <c r="D57" s="187" t="s">
        <v>96</v>
      </c>
      <c r="E57" s="71">
        <v>131.77500000000001</v>
      </c>
      <c r="F57" s="72">
        <f>SUM(E57*6/100)</f>
        <v>7.9065000000000012</v>
      </c>
      <c r="G57" s="13">
        <v>1547.28</v>
      </c>
      <c r="H57" s="73">
        <f>SUM(F57*G57/1000)</f>
        <v>12.233569320000003</v>
      </c>
      <c r="I57" s="13">
        <f>G57*0.1</f>
        <v>154.72800000000001</v>
      </c>
      <c r="J57" s="26"/>
      <c r="L57" s="19"/>
      <c r="M57" s="20"/>
      <c r="N57" s="21"/>
    </row>
    <row r="58" spans="1:22" ht="15.75" customHeight="1">
      <c r="A58" s="32"/>
      <c r="B58" s="94" t="s">
        <v>45</v>
      </c>
      <c r="C58" s="78"/>
      <c r="D58" s="79"/>
      <c r="E58" s="80"/>
      <c r="F58" s="82"/>
      <c r="G58" s="13"/>
      <c r="H58" s="83"/>
      <c r="I58" s="13"/>
      <c r="J58" s="26"/>
      <c r="L58" s="19"/>
      <c r="M58" s="20"/>
      <c r="N58" s="21"/>
    </row>
    <row r="59" spans="1:22" ht="15.75" hidden="1" customHeight="1">
      <c r="A59" s="32"/>
      <c r="B59" s="79" t="s">
        <v>133</v>
      </c>
      <c r="C59" s="78" t="s">
        <v>53</v>
      </c>
      <c r="D59" s="79" t="s">
        <v>54</v>
      </c>
      <c r="E59" s="80">
        <v>890</v>
      </c>
      <c r="F59" s="82">
        <v>8.9</v>
      </c>
      <c r="G59" s="13">
        <v>793.61</v>
      </c>
      <c r="H59" s="83">
        <f>F59*G59/1000</f>
        <v>7.0631290000000009</v>
      </c>
      <c r="I59" s="13">
        <v>0</v>
      </c>
      <c r="J59" s="26"/>
      <c r="L59" s="19"/>
    </row>
    <row r="60" spans="1:22" ht="15.75" hidden="1" customHeight="1">
      <c r="A60" s="32"/>
      <c r="B60" s="79" t="s">
        <v>134</v>
      </c>
      <c r="C60" s="78" t="s">
        <v>53</v>
      </c>
      <c r="D60" s="79" t="s">
        <v>54</v>
      </c>
      <c r="E60" s="80">
        <v>890</v>
      </c>
      <c r="F60" s="82">
        <v>8.9</v>
      </c>
      <c r="G60" s="13">
        <v>793.61</v>
      </c>
      <c r="H60" s="83">
        <f>F60*G60/1000</f>
        <v>7.0631290000000009</v>
      </c>
      <c r="I60" s="13">
        <v>0</v>
      </c>
    </row>
    <row r="61" spans="1:22" ht="15.75" customHeight="1">
      <c r="A61" s="32">
        <v>16</v>
      </c>
      <c r="B61" s="52" t="s">
        <v>122</v>
      </c>
      <c r="C61" s="101" t="s">
        <v>25</v>
      </c>
      <c r="D61" s="52" t="s">
        <v>30</v>
      </c>
      <c r="E61" s="98">
        <v>160</v>
      </c>
      <c r="F61" s="99">
        <f>E61*12</f>
        <v>1920</v>
      </c>
      <c r="G61" s="102">
        <v>1.2</v>
      </c>
      <c r="H61" s="100">
        <f>F61*G61/1000</f>
        <v>2.3039999999999998</v>
      </c>
      <c r="I61" s="13">
        <f>F61/12*G61</f>
        <v>192</v>
      </c>
    </row>
    <row r="62" spans="1:22" ht="15.75" hidden="1" customHeight="1">
      <c r="A62" s="32"/>
      <c r="B62" s="94" t="s">
        <v>46</v>
      </c>
      <c r="C62" s="78"/>
      <c r="D62" s="79"/>
      <c r="E62" s="80"/>
      <c r="F62" s="81"/>
      <c r="G62" s="81"/>
      <c r="H62" s="82" t="s">
        <v>125</v>
      </c>
      <c r="I62" s="13"/>
    </row>
    <row r="63" spans="1:22" ht="15.75" hidden="1" customHeight="1">
      <c r="A63" s="32"/>
      <c r="B63" s="14" t="s">
        <v>47</v>
      </c>
      <c r="C63" s="16" t="s">
        <v>109</v>
      </c>
      <c r="D63" s="14" t="s">
        <v>142</v>
      </c>
      <c r="E63" s="18">
        <v>15</v>
      </c>
      <c r="F63" s="72">
        <v>15</v>
      </c>
      <c r="G63" s="13">
        <v>222.4</v>
      </c>
      <c r="H63" s="84">
        <f t="shared" ref="H63:H76" si="6">SUM(F63*G63/1000)</f>
        <v>3.3359999999999999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4" t="s">
        <v>48</v>
      </c>
      <c r="C64" s="16" t="s">
        <v>109</v>
      </c>
      <c r="D64" s="14" t="s">
        <v>142</v>
      </c>
      <c r="E64" s="18">
        <v>8</v>
      </c>
      <c r="F64" s="72">
        <v>8</v>
      </c>
      <c r="G64" s="13">
        <v>76.25</v>
      </c>
      <c r="H64" s="84">
        <f t="shared" si="6"/>
        <v>0.61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4" t="s">
        <v>49</v>
      </c>
      <c r="C65" s="16" t="s">
        <v>111</v>
      </c>
      <c r="D65" s="14" t="s">
        <v>54</v>
      </c>
      <c r="E65" s="71">
        <v>14220</v>
      </c>
      <c r="F65" s="13">
        <f>SUM(E65/100)</f>
        <v>142.19999999999999</v>
      </c>
      <c r="G65" s="13">
        <v>212.15</v>
      </c>
      <c r="H65" s="84">
        <f t="shared" si="6"/>
        <v>30.167729999999999</v>
      </c>
      <c r="I65" s="13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" t="s">
        <v>50</v>
      </c>
      <c r="C66" s="16" t="s">
        <v>112</v>
      </c>
      <c r="D66" s="14"/>
      <c r="E66" s="71">
        <v>14220</v>
      </c>
      <c r="F66" s="13">
        <f>SUM(E66/1000)</f>
        <v>14.22</v>
      </c>
      <c r="G66" s="13">
        <v>165.21</v>
      </c>
      <c r="H66" s="84">
        <f t="shared" si="6"/>
        <v>2.3492861999999999</v>
      </c>
      <c r="I66" s="13">
        <f t="shared" ref="I66:I70" si="7">F66*G66</f>
        <v>2349.2862</v>
      </c>
      <c r="J66" s="5"/>
      <c r="K66" s="5"/>
      <c r="L66" s="5"/>
      <c r="M66" s="5"/>
      <c r="N66" s="5"/>
      <c r="O66" s="5"/>
      <c r="P66" s="5"/>
      <c r="Q66" s="5"/>
      <c r="R66" s="219"/>
      <c r="S66" s="219"/>
      <c r="T66" s="219"/>
      <c r="U66" s="219"/>
    </row>
    <row r="67" spans="1:21" ht="15.75" hidden="1" customHeight="1">
      <c r="A67" s="32"/>
      <c r="B67" s="14" t="s">
        <v>51</v>
      </c>
      <c r="C67" s="16" t="s">
        <v>78</v>
      </c>
      <c r="D67" s="14" t="s">
        <v>54</v>
      </c>
      <c r="E67" s="71">
        <v>2260</v>
      </c>
      <c r="F67" s="13">
        <f>SUM(E67/100)</f>
        <v>22.6</v>
      </c>
      <c r="G67" s="13">
        <v>2074.63</v>
      </c>
      <c r="H67" s="84">
        <f t="shared" si="6"/>
        <v>46.886638000000005</v>
      </c>
      <c r="I67" s="13">
        <f t="shared" si="7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85" t="s">
        <v>113</v>
      </c>
      <c r="C68" s="16" t="s">
        <v>33</v>
      </c>
      <c r="D68" s="14"/>
      <c r="E68" s="71">
        <v>11</v>
      </c>
      <c r="F68" s="13">
        <f>SUM(E68)</f>
        <v>11</v>
      </c>
      <c r="G68" s="13">
        <v>45.32</v>
      </c>
      <c r="H68" s="84">
        <f t="shared" si="6"/>
        <v>0.49851999999999996</v>
      </c>
      <c r="I68" s="13">
        <f t="shared" si="7"/>
        <v>498.52</v>
      </c>
    </row>
    <row r="69" spans="1:21" ht="15.75" hidden="1" customHeight="1">
      <c r="A69" s="32"/>
      <c r="B69" s="85" t="s">
        <v>114</v>
      </c>
      <c r="C69" s="16" t="s">
        <v>33</v>
      </c>
      <c r="D69" s="14"/>
      <c r="E69" s="71">
        <v>11</v>
      </c>
      <c r="F69" s="13">
        <f>SUM(E69)</f>
        <v>11</v>
      </c>
      <c r="G69" s="13">
        <v>42.28</v>
      </c>
      <c r="H69" s="84">
        <f t="shared" si="6"/>
        <v>0.46508000000000005</v>
      </c>
      <c r="I69" s="13">
        <f t="shared" si="7"/>
        <v>465.08000000000004</v>
      </c>
    </row>
    <row r="70" spans="1:21" ht="15.75" hidden="1" customHeight="1">
      <c r="A70" s="32"/>
      <c r="B70" s="14" t="s">
        <v>58</v>
      </c>
      <c r="C70" s="16" t="s">
        <v>59</v>
      </c>
      <c r="D70" s="14" t="s">
        <v>54</v>
      </c>
      <c r="E70" s="18">
        <v>8</v>
      </c>
      <c r="F70" s="72">
        <v>8</v>
      </c>
      <c r="G70" s="13">
        <v>49.88</v>
      </c>
      <c r="H70" s="84">
        <f t="shared" si="6"/>
        <v>0.39904000000000001</v>
      </c>
      <c r="I70" s="13">
        <f t="shared" si="7"/>
        <v>399.04</v>
      </c>
    </row>
    <row r="71" spans="1:21" ht="15.75" hidden="1" customHeight="1">
      <c r="A71" s="32"/>
      <c r="B71" s="59" t="s">
        <v>73</v>
      </c>
      <c r="C71" s="16"/>
      <c r="D71" s="14"/>
      <c r="E71" s="18"/>
      <c r="F71" s="13"/>
      <c r="G71" s="13"/>
      <c r="H71" s="84" t="s">
        <v>125</v>
      </c>
      <c r="I71" s="13"/>
    </row>
    <row r="72" spans="1:21" ht="15.75" hidden="1" customHeight="1">
      <c r="A72" s="32"/>
      <c r="B72" s="14" t="s">
        <v>74</v>
      </c>
      <c r="C72" s="16" t="s">
        <v>76</v>
      </c>
      <c r="D72" s="14"/>
      <c r="E72" s="18">
        <v>2</v>
      </c>
      <c r="F72" s="13">
        <v>0.2</v>
      </c>
      <c r="G72" s="13">
        <v>501.62</v>
      </c>
      <c r="H72" s="84">
        <f t="shared" si="6"/>
        <v>0.10032400000000001</v>
      </c>
      <c r="I72" s="13">
        <v>0</v>
      </c>
    </row>
    <row r="73" spans="1:21" ht="15.75" hidden="1" customHeight="1">
      <c r="A73" s="32"/>
      <c r="B73" s="14" t="s">
        <v>75</v>
      </c>
      <c r="C73" s="16" t="s">
        <v>31</v>
      </c>
      <c r="D73" s="14"/>
      <c r="E73" s="18">
        <v>1</v>
      </c>
      <c r="F73" s="63">
        <v>1</v>
      </c>
      <c r="G73" s="13">
        <v>852.99</v>
      </c>
      <c r="H73" s="84">
        <f>F73*G73/1000</f>
        <v>0.85299000000000003</v>
      </c>
      <c r="I73" s="13">
        <v>0</v>
      </c>
    </row>
    <row r="74" spans="1:21" ht="15.75" hidden="1" customHeight="1">
      <c r="A74" s="32"/>
      <c r="B74" s="14" t="s">
        <v>116</v>
      </c>
      <c r="C74" s="16" t="s">
        <v>31</v>
      </c>
      <c r="D74" s="14"/>
      <c r="E74" s="18">
        <v>1</v>
      </c>
      <c r="F74" s="13">
        <v>1</v>
      </c>
      <c r="G74" s="13">
        <v>358.51</v>
      </c>
      <c r="H74" s="84">
        <f>G74*F74/1000</f>
        <v>0.35851</v>
      </c>
      <c r="I74" s="13">
        <v>0</v>
      </c>
    </row>
    <row r="75" spans="1:21" ht="15.75" hidden="1" customHeight="1">
      <c r="A75" s="32"/>
      <c r="B75" s="87" t="s">
        <v>77</v>
      </c>
      <c r="C75" s="16"/>
      <c r="D75" s="14"/>
      <c r="E75" s="18"/>
      <c r="F75" s="13"/>
      <c r="G75" s="13" t="s">
        <v>125</v>
      </c>
      <c r="H75" s="84" t="s">
        <v>125</v>
      </c>
      <c r="I75" s="13"/>
    </row>
    <row r="76" spans="1:21" ht="15.75" hidden="1" customHeight="1">
      <c r="A76" s="32"/>
      <c r="B76" s="46" t="s">
        <v>123</v>
      </c>
      <c r="C76" s="16" t="s">
        <v>78</v>
      </c>
      <c r="D76" s="14"/>
      <c r="E76" s="18"/>
      <c r="F76" s="13">
        <v>0.1</v>
      </c>
      <c r="G76" s="13">
        <v>2759.44</v>
      </c>
      <c r="H76" s="84">
        <f t="shared" si="6"/>
        <v>0.27594400000000002</v>
      </c>
      <c r="I76" s="13">
        <v>0</v>
      </c>
    </row>
    <row r="77" spans="1:21" ht="15.75" hidden="1" customHeight="1">
      <c r="A77" s="32"/>
      <c r="B77" s="97" t="s">
        <v>94</v>
      </c>
      <c r="C77" s="97"/>
      <c r="D77" s="97"/>
      <c r="E77" s="97"/>
      <c r="F77" s="97"/>
      <c r="G77" s="75"/>
      <c r="H77" s="88">
        <f>SUM(H57:H76)</f>
        <v>114.96388952</v>
      </c>
      <c r="I77" s="75"/>
    </row>
    <row r="78" spans="1:21" ht="15.75" hidden="1" customHeight="1">
      <c r="A78" s="32"/>
      <c r="B78" s="95" t="s">
        <v>115</v>
      </c>
      <c r="C78" s="23"/>
      <c r="D78" s="22"/>
      <c r="E78" s="64"/>
      <c r="F78" s="96">
        <v>1</v>
      </c>
      <c r="G78" s="13">
        <v>10966.5</v>
      </c>
      <c r="H78" s="84">
        <f>G78*F78/1000</f>
        <v>10.9665</v>
      </c>
      <c r="I78" s="13">
        <v>0</v>
      </c>
    </row>
    <row r="79" spans="1:21" ht="15.75" customHeight="1">
      <c r="A79" s="220" t="s">
        <v>139</v>
      </c>
      <c r="B79" s="221"/>
      <c r="C79" s="221"/>
      <c r="D79" s="221"/>
      <c r="E79" s="221"/>
      <c r="F79" s="221"/>
      <c r="G79" s="221"/>
      <c r="H79" s="221"/>
      <c r="I79" s="222"/>
    </row>
    <row r="80" spans="1:21" ht="15.75" customHeight="1">
      <c r="A80" s="32">
        <v>17</v>
      </c>
      <c r="B80" s="69" t="s">
        <v>117</v>
      </c>
      <c r="C80" s="16" t="s">
        <v>55</v>
      </c>
      <c r="D80" s="62" t="s">
        <v>56</v>
      </c>
      <c r="E80" s="13">
        <v>3382.7</v>
      </c>
      <c r="F80" s="13">
        <f>SUM(E80*12)</f>
        <v>40592.399999999994</v>
      </c>
      <c r="G80" s="13">
        <v>2.1</v>
      </c>
      <c r="H80" s="84">
        <f>SUM(F80*G80/1000)</f>
        <v>85.244039999999998</v>
      </c>
      <c r="I80" s="13">
        <f>F80/12*G80</f>
        <v>7103.6699999999992</v>
      </c>
    </row>
    <row r="81" spans="1:9" ht="31.5" customHeight="1">
      <c r="A81" s="32">
        <v>18</v>
      </c>
      <c r="B81" s="14" t="s">
        <v>79</v>
      </c>
      <c r="C81" s="16"/>
      <c r="D81" s="62" t="s">
        <v>56</v>
      </c>
      <c r="E81" s="71">
        <f>E80</f>
        <v>3382.7</v>
      </c>
      <c r="F81" s="13">
        <f>E81*12</f>
        <v>40592.399999999994</v>
      </c>
      <c r="G81" s="13">
        <v>1.63</v>
      </c>
      <c r="H81" s="84">
        <f>F81*G81/1000</f>
        <v>66.165611999999982</v>
      </c>
      <c r="I81" s="13">
        <f>F81/12*G81</f>
        <v>5513.8009999999986</v>
      </c>
    </row>
    <row r="82" spans="1:9" ht="15.75" customHeight="1">
      <c r="A82" s="32"/>
      <c r="B82" s="39" t="s">
        <v>81</v>
      </c>
      <c r="C82" s="87"/>
      <c r="D82" s="86"/>
      <c r="E82" s="75"/>
      <c r="F82" s="75"/>
      <c r="G82" s="75"/>
      <c r="H82" s="88">
        <f>H81</f>
        <v>66.165611999999982</v>
      </c>
      <c r="I82" s="75">
        <f>I16+I17+I18+I20+I21+I26+I27+I38+I39+I40+I41+I42+I43+I50+I57+I61+I80+I81</f>
        <v>47872.410051333332</v>
      </c>
    </row>
    <row r="83" spans="1:9" ht="15.75" customHeight="1">
      <c r="A83" s="234" t="s">
        <v>61</v>
      </c>
      <c r="B83" s="235"/>
      <c r="C83" s="235"/>
      <c r="D83" s="235"/>
      <c r="E83" s="235"/>
      <c r="F83" s="235"/>
      <c r="G83" s="235"/>
      <c r="H83" s="235"/>
      <c r="I83" s="236"/>
    </row>
    <row r="84" spans="1:9" ht="31.5" customHeight="1">
      <c r="A84" s="32">
        <v>19</v>
      </c>
      <c r="B84" s="51" t="s">
        <v>146</v>
      </c>
      <c r="C84" s="53" t="s">
        <v>136</v>
      </c>
      <c r="D84" s="14"/>
      <c r="E84" s="18"/>
      <c r="F84" s="13">
        <v>1</v>
      </c>
      <c r="G84" s="13">
        <v>835.68</v>
      </c>
      <c r="H84" s="84">
        <f t="shared" ref="H84:H89" si="8">G84*F84/1000</f>
        <v>0.83567999999999998</v>
      </c>
      <c r="I84" s="13">
        <f>G84</f>
        <v>835.68</v>
      </c>
    </row>
    <row r="85" spans="1:9" ht="31.5" customHeight="1">
      <c r="A85" s="32">
        <v>20</v>
      </c>
      <c r="B85" s="51" t="s">
        <v>143</v>
      </c>
      <c r="C85" s="53" t="s">
        <v>136</v>
      </c>
      <c r="D85" s="14"/>
      <c r="E85" s="18"/>
      <c r="F85" s="13">
        <v>4</v>
      </c>
      <c r="G85" s="13">
        <v>613.44000000000005</v>
      </c>
      <c r="H85" s="84">
        <f t="shared" si="8"/>
        <v>2.4537600000000004</v>
      </c>
      <c r="I85" s="13">
        <f>G85*2</f>
        <v>1226.8800000000001</v>
      </c>
    </row>
    <row r="86" spans="1:9" ht="31.5" customHeight="1">
      <c r="A86" s="32">
        <v>21</v>
      </c>
      <c r="B86" s="51" t="s">
        <v>161</v>
      </c>
      <c r="C86" s="53" t="s">
        <v>162</v>
      </c>
      <c r="D86" s="46"/>
      <c r="E86" s="13"/>
      <c r="F86" s="13">
        <v>1</v>
      </c>
      <c r="G86" s="13">
        <v>1365</v>
      </c>
      <c r="H86" s="84">
        <f t="shared" si="8"/>
        <v>1.365</v>
      </c>
      <c r="I86" s="89">
        <f>G86*1</f>
        <v>1365</v>
      </c>
    </row>
    <row r="87" spans="1:9" ht="15.75" customHeight="1">
      <c r="A87" s="32">
        <v>22</v>
      </c>
      <c r="B87" s="51" t="s">
        <v>147</v>
      </c>
      <c r="C87" s="53" t="s">
        <v>84</v>
      </c>
      <c r="D87" s="14"/>
      <c r="E87" s="18"/>
      <c r="F87" s="13">
        <v>1</v>
      </c>
      <c r="G87" s="13">
        <v>203.68</v>
      </c>
      <c r="H87" s="84">
        <f t="shared" si="8"/>
        <v>0.20368</v>
      </c>
      <c r="I87" s="13">
        <f>G87</f>
        <v>203.68</v>
      </c>
    </row>
    <row r="88" spans="1:9" ht="31.5" customHeight="1">
      <c r="A88" s="32">
        <v>23</v>
      </c>
      <c r="B88" s="92" t="s">
        <v>159</v>
      </c>
      <c r="C88" s="32" t="s">
        <v>82</v>
      </c>
      <c r="D88" s="14"/>
      <c r="E88" s="18"/>
      <c r="F88" s="13">
        <v>1</v>
      </c>
      <c r="G88" s="13">
        <v>1187</v>
      </c>
      <c r="H88" s="84">
        <f t="shared" si="8"/>
        <v>1.1870000000000001</v>
      </c>
      <c r="I88" s="13">
        <f>G88</f>
        <v>1187</v>
      </c>
    </row>
    <row r="89" spans="1:9" ht="15.75" customHeight="1">
      <c r="A89" s="32" t="s">
        <v>219</v>
      </c>
      <c r="B89" s="51" t="s">
        <v>128</v>
      </c>
      <c r="C89" s="68" t="s">
        <v>109</v>
      </c>
      <c r="D89" s="79"/>
      <c r="E89" s="80"/>
      <c r="F89" s="81">
        <v>122</v>
      </c>
      <c r="G89" s="89">
        <v>55.55</v>
      </c>
      <c r="H89" s="84">
        <f t="shared" si="8"/>
        <v>6.777099999999999</v>
      </c>
      <c r="I89" s="89">
        <f>G89*61</f>
        <v>3388.5499999999997</v>
      </c>
    </row>
    <row r="90" spans="1:9" ht="15.75" customHeight="1">
      <c r="A90" s="32">
        <v>25</v>
      </c>
      <c r="B90" s="51" t="s">
        <v>163</v>
      </c>
      <c r="C90" s="53" t="s">
        <v>109</v>
      </c>
      <c r="D90" s="46"/>
      <c r="E90" s="13"/>
      <c r="F90" s="13">
        <v>1</v>
      </c>
      <c r="G90" s="13">
        <v>1126.2</v>
      </c>
      <c r="H90" s="84">
        <f>G90*F90/1000</f>
        <v>1.1262000000000001</v>
      </c>
      <c r="I90" s="89">
        <f>G90</f>
        <v>1126.2</v>
      </c>
    </row>
    <row r="91" spans="1:9" ht="15.75" customHeight="1">
      <c r="A91" s="32">
        <v>26</v>
      </c>
      <c r="B91" s="51" t="s">
        <v>144</v>
      </c>
      <c r="C91" s="53" t="s">
        <v>145</v>
      </c>
      <c r="D91" s="90"/>
      <c r="E91" s="18"/>
      <c r="F91" s="91">
        <v>1</v>
      </c>
      <c r="G91" s="13">
        <v>1645</v>
      </c>
      <c r="H91" s="84">
        <f>G91*F91/1000</f>
        <v>1.645</v>
      </c>
      <c r="I91" s="13">
        <f>G91</f>
        <v>1645</v>
      </c>
    </row>
    <row r="92" spans="1:9" ht="15.75" customHeight="1">
      <c r="A92" s="32">
        <v>27</v>
      </c>
      <c r="B92" s="51" t="s">
        <v>164</v>
      </c>
      <c r="C92" s="53" t="s">
        <v>165</v>
      </c>
      <c r="D92" s="103"/>
      <c r="E92" s="104"/>
      <c r="F92" s="105">
        <v>1</v>
      </c>
      <c r="G92" s="89">
        <v>15567</v>
      </c>
      <c r="H92" s="84">
        <f t="shared" ref="H92:H93" si="9">G92*F92/1000</f>
        <v>15.567</v>
      </c>
      <c r="I92" s="89">
        <f>G92</f>
        <v>15567</v>
      </c>
    </row>
    <row r="93" spans="1:9" ht="15.75" customHeight="1">
      <c r="A93" s="32">
        <v>28</v>
      </c>
      <c r="B93" s="92" t="s">
        <v>158</v>
      </c>
      <c r="C93" s="32" t="s">
        <v>96</v>
      </c>
      <c r="D93" s="90"/>
      <c r="E93" s="18"/>
      <c r="F93" s="91">
        <f>0.6/10</f>
        <v>0.06</v>
      </c>
      <c r="G93" s="13">
        <v>30674.95</v>
      </c>
      <c r="H93" s="84">
        <f t="shared" si="9"/>
        <v>1.840497</v>
      </c>
      <c r="I93" s="13">
        <f>G93*0.06</f>
        <v>1840.4970000000001</v>
      </c>
    </row>
    <row r="94" spans="1:9" ht="47.25" customHeight="1">
      <c r="A94" s="32">
        <v>29</v>
      </c>
      <c r="B94" s="51" t="s">
        <v>166</v>
      </c>
      <c r="C94" s="53" t="s">
        <v>127</v>
      </c>
      <c r="D94" s="14"/>
      <c r="E94" s="18"/>
      <c r="F94" s="13">
        <f>0.7/10</f>
        <v>6.9999999999999993E-2</v>
      </c>
      <c r="G94" s="13">
        <v>10688.06</v>
      </c>
      <c r="H94" s="84">
        <f>G94*F94/1000</f>
        <v>0.74816419999999995</v>
      </c>
      <c r="I94" s="89">
        <f>G94*0.07</f>
        <v>748.16420000000005</v>
      </c>
    </row>
    <row r="95" spans="1:9" ht="15.75" customHeight="1">
      <c r="A95" s="32"/>
      <c r="B95" s="44" t="s">
        <v>52</v>
      </c>
      <c r="C95" s="40"/>
      <c r="D95" s="47"/>
      <c r="E95" s="40">
        <v>1</v>
      </c>
      <c r="F95" s="40"/>
      <c r="G95" s="40"/>
      <c r="H95" s="40"/>
      <c r="I95" s="34">
        <f>SUM(I84:I94)-I89</f>
        <v>25745.101199999997</v>
      </c>
    </row>
    <row r="96" spans="1:9" ht="15.75" customHeight="1">
      <c r="A96" s="32"/>
      <c r="B96" s="46" t="s">
        <v>80</v>
      </c>
      <c r="C96" s="15"/>
      <c r="D96" s="15"/>
      <c r="E96" s="41"/>
      <c r="F96" s="41"/>
      <c r="G96" s="42"/>
      <c r="H96" s="42"/>
      <c r="I96" s="17">
        <v>0</v>
      </c>
    </row>
    <row r="97" spans="1:9" ht="15.75" customHeight="1">
      <c r="A97" s="48"/>
      <c r="B97" s="45" t="s">
        <v>157</v>
      </c>
      <c r="C97" s="35"/>
      <c r="D97" s="35"/>
      <c r="E97" s="35"/>
      <c r="F97" s="35"/>
      <c r="G97" s="35"/>
      <c r="H97" s="35"/>
      <c r="I97" s="43">
        <f>I82+I95</f>
        <v>73617.51125133333</v>
      </c>
    </row>
    <row r="98" spans="1:9" ht="15.75" customHeight="1">
      <c r="A98" s="231" t="s">
        <v>220</v>
      </c>
      <c r="B98" s="232"/>
      <c r="C98" s="232"/>
      <c r="D98" s="232"/>
      <c r="E98" s="232"/>
      <c r="F98" s="232"/>
      <c r="G98" s="232"/>
      <c r="H98" s="232"/>
      <c r="I98" s="232"/>
    </row>
    <row r="99" spans="1:9" ht="15.75" customHeight="1">
      <c r="A99" s="223" t="s">
        <v>235</v>
      </c>
      <c r="B99" s="223"/>
      <c r="C99" s="223"/>
      <c r="D99" s="223"/>
      <c r="E99" s="223"/>
      <c r="F99" s="223"/>
      <c r="G99" s="223"/>
      <c r="H99" s="223"/>
      <c r="I99" s="223"/>
    </row>
    <row r="100" spans="1:9" ht="15.75" customHeight="1">
      <c r="A100" s="61"/>
      <c r="B100" s="224" t="s">
        <v>236</v>
      </c>
      <c r="C100" s="224"/>
      <c r="D100" s="224"/>
      <c r="E100" s="224"/>
      <c r="F100" s="224"/>
      <c r="G100" s="224"/>
      <c r="H100" s="67"/>
      <c r="I100" s="3"/>
    </row>
    <row r="101" spans="1:9">
      <c r="A101" s="49"/>
      <c r="B101" s="225" t="s">
        <v>6</v>
      </c>
      <c r="C101" s="225"/>
      <c r="D101" s="225"/>
      <c r="E101" s="225"/>
      <c r="F101" s="225"/>
      <c r="G101" s="225"/>
      <c r="H101" s="27"/>
      <c r="I101" s="50"/>
    </row>
    <row r="102" spans="1:9" ht="15.75" customHeight="1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 ht="15.75" customHeight="1">
      <c r="A103" s="226" t="s">
        <v>7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15.75" customHeight="1">
      <c r="A104" s="226" t="s">
        <v>8</v>
      </c>
      <c r="B104" s="226"/>
      <c r="C104" s="226"/>
      <c r="D104" s="226"/>
      <c r="E104" s="226"/>
      <c r="F104" s="226"/>
      <c r="G104" s="226"/>
      <c r="H104" s="226"/>
      <c r="I104" s="226"/>
    </row>
    <row r="105" spans="1:9" ht="15.75" customHeight="1">
      <c r="A105" s="227" t="s">
        <v>62</v>
      </c>
      <c r="B105" s="227"/>
      <c r="C105" s="227"/>
      <c r="D105" s="227"/>
      <c r="E105" s="227"/>
      <c r="F105" s="227"/>
      <c r="G105" s="227"/>
      <c r="H105" s="227"/>
      <c r="I105" s="227"/>
    </row>
    <row r="106" spans="1:9" ht="15.75" customHeight="1">
      <c r="A106" s="11"/>
    </row>
    <row r="107" spans="1:9" ht="15.75" customHeight="1">
      <c r="A107" s="228" t="s">
        <v>9</v>
      </c>
      <c r="B107" s="228"/>
      <c r="C107" s="228"/>
      <c r="D107" s="228"/>
      <c r="E107" s="228"/>
      <c r="F107" s="228"/>
      <c r="G107" s="228"/>
      <c r="H107" s="228"/>
      <c r="I107" s="228"/>
    </row>
    <row r="108" spans="1:9" ht="15.75" customHeight="1">
      <c r="A108" s="4"/>
    </row>
    <row r="109" spans="1:9" ht="15.75" customHeight="1">
      <c r="B109" s="58" t="s">
        <v>10</v>
      </c>
      <c r="C109" s="229" t="s">
        <v>140</v>
      </c>
      <c r="D109" s="229"/>
      <c r="E109" s="229"/>
      <c r="F109" s="65"/>
      <c r="I109" s="56"/>
    </row>
    <row r="110" spans="1:9" ht="15.75" customHeight="1">
      <c r="A110" s="57"/>
      <c r="C110" s="225" t="s">
        <v>11</v>
      </c>
      <c r="D110" s="225"/>
      <c r="E110" s="225"/>
      <c r="F110" s="27"/>
      <c r="I110" s="55" t="s">
        <v>12</v>
      </c>
    </row>
    <row r="111" spans="1:9" ht="15.75" customHeight="1">
      <c r="A111" s="28"/>
      <c r="C111" s="12"/>
      <c r="D111" s="12"/>
      <c r="G111" s="12"/>
      <c r="H111" s="12"/>
    </row>
    <row r="112" spans="1:9" ht="15.75">
      <c r="B112" s="58" t="s">
        <v>13</v>
      </c>
      <c r="C112" s="230"/>
      <c r="D112" s="230"/>
      <c r="E112" s="230"/>
      <c r="F112" s="66"/>
      <c r="I112" s="56"/>
    </row>
    <row r="113" spans="1:9">
      <c r="A113" s="57"/>
      <c r="C113" s="219" t="s">
        <v>11</v>
      </c>
      <c r="D113" s="219"/>
      <c r="E113" s="219"/>
      <c r="F113" s="57"/>
      <c r="I113" s="55" t="s">
        <v>12</v>
      </c>
    </row>
    <row r="114" spans="1:9" ht="15.75" customHeight="1">
      <c r="A114" s="4" t="s">
        <v>14</v>
      </c>
    </row>
    <row r="115" spans="1:9" ht="15.75" customHeight="1">
      <c r="A115" s="217" t="s">
        <v>15</v>
      </c>
      <c r="B115" s="217"/>
      <c r="C115" s="217"/>
      <c r="D115" s="217"/>
      <c r="E115" s="217"/>
      <c r="F115" s="217"/>
      <c r="G115" s="217"/>
      <c r="H115" s="217"/>
      <c r="I115" s="217"/>
    </row>
    <row r="116" spans="1:9" ht="45" customHeight="1">
      <c r="A116" s="218" t="s">
        <v>16</v>
      </c>
      <c r="B116" s="218"/>
      <c r="C116" s="218"/>
      <c r="D116" s="218"/>
      <c r="E116" s="218"/>
      <c r="F116" s="218"/>
      <c r="G116" s="218"/>
      <c r="H116" s="218"/>
      <c r="I116" s="218"/>
    </row>
    <row r="117" spans="1:9" ht="30" customHeight="1">
      <c r="A117" s="218" t="s">
        <v>17</v>
      </c>
      <c r="B117" s="218"/>
      <c r="C117" s="218"/>
      <c r="D117" s="218"/>
      <c r="E117" s="218"/>
      <c r="F117" s="218"/>
      <c r="G117" s="218"/>
      <c r="H117" s="218"/>
      <c r="I117" s="218"/>
    </row>
    <row r="118" spans="1:9" ht="30" customHeight="1">
      <c r="A118" s="218" t="s">
        <v>21</v>
      </c>
      <c r="B118" s="218"/>
      <c r="C118" s="218"/>
      <c r="D118" s="218"/>
      <c r="E118" s="218"/>
      <c r="F118" s="218"/>
      <c r="G118" s="218"/>
      <c r="H118" s="218"/>
      <c r="I118" s="218"/>
    </row>
    <row r="119" spans="1:9" ht="15" customHeight="1">
      <c r="A119" s="218" t="s">
        <v>20</v>
      </c>
      <c r="B119" s="218"/>
      <c r="C119" s="218"/>
      <c r="D119" s="218"/>
      <c r="E119" s="218"/>
      <c r="F119" s="218"/>
      <c r="G119" s="218"/>
      <c r="H119" s="218"/>
      <c r="I119" s="218"/>
    </row>
  </sheetData>
  <autoFilter ref="I12:I61"/>
  <mergeCells count="30">
    <mergeCell ref="A14:I14"/>
    <mergeCell ref="A83:I83"/>
    <mergeCell ref="A3:I3"/>
    <mergeCell ref="A4:I4"/>
    <mergeCell ref="A5:I5"/>
    <mergeCell ref="A8:I8"/>
    <mergeCell ref="A10:I10"/>
    <mergeCell ref="A15:I15"/>
    <mergeCell ref="A28:I28"/>
    <mergeCell ref="A44:I44"/>
    <mergeCell ref="A55:I55"/>
    <mergeCell ref="R66:U66"/>
    <mergeCell ref="C113:E113"/>
    <mergeCell ref="A79:I79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98:I98"/>
    <mergeCell ref="A115:I115"/>
    <mergeCell ref="A116:I116"/>
    <mergeCell ref="A117:I117"/>
    <mergeCell ref="A118:I118"/>
    <mergeCell ref="A119:I119"/>
  </mergeCells>
  <pageMargins left="0.70866141732283472" right="0.70866141732283472" top="0.27559055118110237" bottom="0.27559055118110237" header="0.31496062992125984" footer="0.31496062992125984"/>
  <pageSetup paperSize="9" scale="57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5"/>
  <sheetViews>
    <sheetView workbookViewId="0">
      <selection sqref="A1:I126"/>
    </sheetView>
  </sheetViews>
  <sheetFormatPr defaultRowHeight="15"/>
  <cols>
    <col min="1" max="1" width="12" customWidth="1"/>
    <col min="2" max="2" width="43.7109375" customWidth="1"/>
    <col min="3" max="3" width="17.5703125" customWidth="1"/>
    <col min="4" max="4" width="17.28515625" customWidth="1"/>
    <col min="5" max="6" width="0" hidden="1" customWidth="1"/>
    <col min="7" max="7" width="19.28515625" customWidth="1"/>
    <col min="8" max="8" width="0" hidden="1" customWidth="1"/>
    <col min="9" max="9" width="19" customWidth="1"/>
  </cols>
  <sheetData>
    <row r="1" spans="1:9" ht="15.75">
      <c r="A1" s="30" t="s">
        <v>222</v>
      </c>
      <c r="I1" s="29"/>
    </row>
    <row r="2" spans="1:9" ht="15.75">
      <c r="A2" s="31" t="s">
        <v>63</v>
      </c>
    </row>
    <row r="3" spans="1:9" ht="15.75">
      <c r="A3" s="237" t="s">
        <v>252</v>
      </c>
      <c r="B3" s="237"/>
      <c r="C3" s="237"/>
      <c r="D3" s="237"/>
      <c r="E3" s="237"/>
      <c r="F3" s="237"/>
      <c r="G3" s="237"/>
      <c r="H3" s="237"/>
      <c r="I3" s="237"/>
    </row>
    <row r="4" spans="1:9" ht="33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253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196"/>
      <c r="C6" s="196"/>
      <c r="D6" s="196"/>
      <c r="E6" s="196"/>
      <c r="F6" s="196"/>
      <c r="G6" s="196"/>
      <c r="H6" s="196"/>
      <c r="I6" s="33">
        <v>43404</v>
      </c>
    </row>
    <row r="7" spans="1:9" ht="15.75">
      <c r="B7" s="199"/>
      <c r="C7" s="199"/>
      <c r="D7" s="199"/>
      <c r="E7" s="3"/>
      <c r="F7" s="3"/>
      <c r="G7" s="3"/>
      <c r="H7" s="3"/>
    </row>
    <row r="8" spans="1:9" ht="105.75" customHeight="1">
      <c r="A8" s="240" t="s">
        <v>225</v>
      </c>
      <c r="B8" s="240"/>
      <c r="C8" s="240"/>
      <c r="D8" s="240"/>
      <c r="E8" s="240"/>
      <c r="F8" s="240"/>
      <c r="G8" s="240"/>
      <c r="H8" s="240"/>
      <c r="I8" s="240"/>
    </row>
    <row r="9" spans="1:9" ht="15.75">
      <c r="A9" s="4"/>
    </row>
    <row r="10" spans="1:9" ht="90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28.5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 ht="29.25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 ht="31.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 ht="16.5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t="18" hidden="1" customHeight="1">
      <c r="A21" s="32">
        <v>5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 ht="16.5" hidden="1" customHeight="1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 ht="18.75" hidden="1" customHeight="1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 ht="20.25" hidden="1" customHeight="1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 ht="18.75" hidden="1" customHeight="1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t="16.5" hidden="1" customHeight="1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 ht="17.25" customHeight="1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t="18" customHeight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t="16.5" customHeight="1">
      <c r="A31" s="32">
        <v>7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5" customHeight="1">
      <c r="A32" s="32">
        <v>8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t="17.25" customHeight="1">
      <c r="A34" s="32">
        <v>9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t="15.75" customHeight="1">
      <c r="A35" s="32">
        <v>10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t="30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t="30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idden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t="30" hidden="1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30" hidden="1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30" hidden="1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t="30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60" hidden="1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t="30" hidden="1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 hidden="1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" hidden="1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idden="1">
      <c r="A48" s="32">
        <v>12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 ht="30" hidden="1">
      <c r="A50" s="32">
        <v>14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 hidden="1">
      <c r="A53" s="32">
        <v>17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47.25" customHeight="1">
      <c r="A54" s="32">
        <v>11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4.5" customHeight="1">
      <c r="A55" s="32">
        <v>12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 ht="16.5" customHeight="1">
      <c r="A56" s="32">
        <v>13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idden="1">
      <c r="A57" s="32">
        <v>11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138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45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t="30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 ht="15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 ht="13.5" customHeight="1">
      <c r="A64" s="32">
        <v>14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t="15.75" hidden="1" customHeight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t="30" hidden="1">
      <c r="A66" s="32">
        <v>19</v>
      </c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f>G66*4</f>
        <v>1213.4000000000001</v>
      </c>
    </row>
    <row r="67" spans="1:9" ht="30" hidden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idden="1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 ht="30" hidden="1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 hidden="1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 hidden="1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 ht="30" hidden="1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f>G73*3</f>
        <v>204.12</v>
      </c>
    </row>
    <row r="74" spans="1:9" ht="18" customHeight="1">
      <c r="A74" s="32"/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2.25" customHeight="1">
      <c r="A79" s="32">
        <v>15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ht="18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30" customHeight="1">
      <c r="A81" s="32">
        <v>16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5.5" hidden="1" customHeight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 ht="16.5" customHeight="1">
      <c r="A87" s="32">
        <v>17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6" customHeight="1">
      <c r="A88" s="32">
        <v>18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I88+I87+I81+I79+I64+I56+I55+I54+I35+I34+I32+I31+I28+I27+I20+I18+I17+I16</f>
        <v>69464.885225888866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30.75" customHeight="1">
      <c r="A91" s="32" t="s">
        <v>231</v>
      </c>
      <c r="B91" s="51" t="s">
        <v>128</v>
      </c>
      <c r="C91" s="164" t="s">
        <v>109</v>
      </c>
      <c r="D91" s="14"/>
      <c r="E91" s="165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>
      <c r="A92" s="32">
        <v>20</v>
      </c>
      <c r="B92" s="131" t="s">
        <v>226</v>
      </c>
      <c r="C92" s="132" t="s">
        <v>84</v>
      </c>
      <c r="D92" s="14"/>
      <c r="E92" s="64"/>
      <c r="F92" s="63"/>
      <c r="G92" s="36">
        <v>203.68</v>
      </c>
      <c r="H92" s="63"/>
      <c r="I92" s="89">
        <f>G92*1</f>
        <v>203.68</v>
      </c>
    </row>
    <row r="93" spans="1:9" ht="16.5" customHeight="1">
      <c r="A93" s="173">
        <v>21</v>
      </c>
      <c r="B93" s="131" t="s">
        <v>227</v>
      </c>
      <c r="C93" s="132" t="s">
        <v>109</v>
      </c>
      <c r="D93" s="19"/>
      <c r="E93" s="64"/>
      <c r="F93" s="63"/>
      <c r="G93" s="142">
        <v>197.48</v>
      </c>
      <c r="H93" s="63"/>
      <c r="I93" s="89">
        <f>G93*2</f>
        <v>394.96</v>
      </c>
    </row>
    <row r="94" spans="1:9">
      <c r="A94" s="32">
        <v>22</v>
      </c>
      <c r="B94" s="131" t="s">
        <v>254</v>
      </c>
      <c r="C94" s="132" t="s">
        <v>255</v>
      </c>
      <c r="D94" s="14"/>
      <c r="E94" s="64"/>
      <c r="F94" s="63"/>
      <c r="G94" s="142">
        <v>1463.75</v>
      </c>
      <c r="H94" s="63"/>
      <c r="I94" s="89">
        <f>G94*0.02</f>
        <v>29.275000000000002</v>
      </c>
    </row>
    <row r="95" spans="1:9" ht="30">
      <c r="A95" s="32">
        <v>23</v>
      </c>
      <c r="B95" s="188" t="s">
        <v>256</v>
      </c>
      <c r="C95" s="143" t="s">
        <v>96</v>
      </c>
      <c r="D95" s="14"/>
      <c r="E95" s="64"/>
      <c r="F95" s="63"/>
      <c r="G95" s="142">
        <v>42994.68</v>
      </c>
      <c r="H95" s="63"/>
      <c r="I95" s="89">
        <f>G95*0.05</f>
        <v>2149.7339999999999</v>
      </c>
    </row>
    <row r="96" spans="1:9">
      <c r="A96" s="32">
        <v>24</v>
      </c>
      <c r="B96" s="131" t="s">
        <v>257</v>
      </c>
      <c r="C96" s="132" t="s">
        <v>127</v>
      </c>
      <c r="D96" s="14"/>
      <c r="E96" s="64"/>
      <c r="F96" s="63"/>
      <c r="G96" s="142">
        <v>7987.62</v>
      </c>
      <c r="H96" s="63"/>
      <c r="I96" s="89">
        <f>G96*0.077</f>
        <v>615.04674</v>
      </c>
    </row>
    <row r="97" spans="1:9">
      <c r="A97" s="32">
        <v>25</v>
      </c>
      <c r="B97" s="131" t="s">
        <v>258</v>
      </c>
      <c r="C97" s="132" t="s">
        <v>183</v>
      </c>
      <c r="D97" s="14"/>
      <c r="E97" s="64"/>
      <c r="F97" s="63"/>
      <c r="G97" s="142">
        <v>1765</v>
      </c>
      <c r="H97" s="63"/>
      <c r="I97" s="89">
        <f>G97*0.5</f>
        <v>882.5</v>
      </c>
    </row>
    <row r="98" spans="1:9">
      <c r="A98" s="32">
        <v>26</v>
      </c>
      <c r="B98" s="174" t="s">
        <v>259</v>
      </c>
      <c r="C98" s="132" t="s">
        <v>260</v>
      </c>
      <c r="D98" s="14"/>
      <c r="E98" s="64"/>
      <c r="F98" s="63"/>
      <c r="G98" s="142">
        <v>253.69</v>
      </c>
      <c r="H98" s="63"/>
      <c r="I98" s="89">
        <f>G98*0.08</f>
        <v>20.295200000000001</v>
      </c>
    </row>
    <row r="99" spans="1:9">
      <c r="A99" s="32">
        <v>27</v>
      </c>
      <c r="B99" s="174" t="s">
        <v>200</v>
      </c>
      <c r="C99" s="132" t="s">
        <v>109</v>
      </c>
      <c r="D99" s="14"/>
      <c r="E99" s="64"/>
      <c r="F99" s="63"/>
      <c r="G99" s="142">
        <v>197.26</v>
      </c>
      <c r="H99" s="63"/>
      <c r="I99" s="89">
        <f>G99*1</f>
        <v>197.26</v>
      </c>
    </row>
    <row r="100" spans="1:9">
      <c r="A100" s="32">
        <v>28</v>
      </c>
      <c r="B100" s="131" t="s">
        <v>203</v>
      </c>
      <c r="C100" s="132" t="s">
        <v>109</v>
      </c>
      <c r="D100" s="14"/>
      <c r="E100" s="64"/>
      <c r="F100" s="63"/>
      <c r="G100" s="142">
        <v>89.59</v>
      </c>
      <c r="H100" s="63"/>
      <c r="I100" s="89">
        <f>G100*1</f>
        <v>89.59</v>
      </c>
    </row>
    <row r="101" spans="1:9" ht="17.25" customHeight="1">
      <c r="A101" s="32"/>
      <c r="B101" s="44" t="s">
        <v>52</v>
      </c>
      <c r="C101" s="40"/>
      <c r="D101" s="47"/>
      <c r="E101" s="40">
        <v>1</v>
      </c>
      <c r="F101" s="40"/>
      <c r="G101" s="40"/>
      <c r="H101" s="40"/>
      <c r="I101" s="34">
        <f>SUM(I92:I100)</f>
        <v>4582.34094</v>
      </c>
    </row>
    <row r="102" spans="1:9">
      <c r="A102" s="32"/>
      <c r="B102" s="46" t="s">
        <v>80</v>
      </c>
      <c r="C102" s="15"/>
      <c r="D102" s="15"/>
      <c r="E102" s="41"/>
      <c r="F102" s="41"/>
      <c r="G102" s="42"/>
      <c r="H102" s="42"/>
      <c r="I102" s="17">
        <v>0</v>
      </c>
    </row>
    <row r="103" spans="1:9">
      <c r="A103" s="48"/>
      <c r="B103" s="45" t="s">
        <v>157</v>
      </c>
      <c r="C103" s="35"/>
      <c r="D103" s="35"/>
      <c r="E103" s="35"/>
      <c r="F103" s="35"/>
      <c r="G103" s="35"/>
      <c r="H103" s="35"/>
      <c r="I103" s="43">
        <f>I89+I101</f>
        <v>74047.22616588886</v>
      </c>
    </row>
    <row r="104" spans="1:9">
      <c r="A104" s="231" t="s">
        <v>232</v>
      </c>
      <c r="B104" s="232"/>
      <c r="C104" s="232"/>
      <c r="D104" s="232"/>
      <c r="E104" s="232"/>
      <c r="F104" s="232"/>
      <c r="G104" s="232"/>
      <c r="H104" s="232"/>
      <c r="I104" s="232"/>
    </row>
    <row r="105" spans="1:9" ht="15.75">
      <c r="A105" s="223" t="s">
        <v>261</v>
      </c>
      <c r="B105" s="223"/>
      <c r="C105" s="223"/>
      <c r="D105" s="223"/>
      <c r="E105" s="223"/>
      <c r="F105" s="223"/>
      <c r="G105" s="223"/>
      <c r="H105" s="223"/>
      <c r="I105" s="223"/>
    </row>
    <row r="106" spans="1:9" ht="15.75">
      <c r="A106" s="61"/>
      <c r="B106" s="224" t="s">
        <v>262</v>
      </c>
      <c r="C106" s="224"/>
      <c r="D106" s="224"/>
      <c r="E106" s="224"/>
      <c r="F106" s="224"/>
      <c r="G106" s="224"/>
      <c r="H106" s="67"/>
      <c r="I106" s="3"/>
    </row>
    <row r="107" spans="1:9">
      <c r="A107" s="201"/>
      <c r="B107" s="225" t="s">
        <v>6</v>
      </c>
      <c r="C107" s="225"/>
      <c r="D107" s="225"/>
      <c r="E107" s="225"/>
      <c r="F107" s="225"/>
      <c r="G107" s="225"/>
      <c r="H107" s="27"/>
      <c r="I107" s="50"/>
    </row>
    <row r="108" spans="1:9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 ht="15.75">
      <c r="A109" s="226" t="s">
        <v>7</v>
      </c>
      <c r="B109" s="226"/>
      <c r="C109" s="226"/>
      <c r="D109" s="226"/>
      <c r="E109" s="226"/>
      <c r="F109" s="226"/>
      <c r="G109" s="226"/>
      <c r="H109" s="226"/>
      <c r="I109" s="226"/>
    </row>
    <row r="110" spans="1:9" ht="15.75">
      <c r="A110" s="226" t="s">
        <v>8</v>
      </c>
      <c r="B110" s="226"/>
      <c r="C110" s="226"/>
      <c r="D110" s="226"/>
      <c r="E110" s="226"/>
      <c r="F110" s="226"/>
      <c r="G110" s="226"/>
      <c r="H110" s="226"/>
      <c r="I110" s="226"/>
    </row>
    <row r="111" spans="1:9" ht="15.75">
      <c r="A111" s="227" t="s">
        <v>62</v>
      </c>
      <c r="B111" s="227"/>
      <c r="C111" s="227"/>
      <c r="D111" s="227"/>
      <c r="E111" s="227"/>
      <c r="F111" s="227"/>
      <c r="G111" s="227"/>
      <c r="H111" s="227"/>
      <c r="I111" s="227"/>
    </row>
    <row r="112" spans="1:9" ht="15.75">
      <c r="A112" s="11"/>
    </row>
    <row r="113" spans="1:9" ht="15.75">
      <c r="A113" s="228" t="s">
        <v>9</v>
      </c>
      <c r="B113" s="228"/>
      <c r="C113" s="228"/>
      <c r="D113" s="228"/>
      <c r="E113" s="228"/>
      <c r="F113" s="228"/>
      <c r="G113" s="228"/>
      <c r="H113" s="228"/>
      <c r="I113" s="228"/>
    </row>
    <row r="114" spans="1:9" ht="15.75">
      <c r="A114" s="4"/>
    </row>
    <row r="115" spans="1:9" ht="15.75">
      <c r="B115" s="199" t="s">
        <v>10</v>
      </c>
      <c r="C115" s="229" t="s">
        <v>140</v>
      </c>
      <c r="D115" s="229"/>
      <c r="E115" s="229"/>
      <c r="F115" s="65"/>
      <c r="I115" s="200"/>
    </row>
    <row r="116" spans="1:9">
      <c r="A116" s="197"/>
      <c r="C116" s="225" t="s">
        <v>11</v>
      </c>
      <c r="D116" s="225"/>
      <c r="E116" s="225"/>
      <c r="F116" s="27"/>
      <c r="I116" s="198" t="s">
        <v>12</v>
      </c>
    </row>
    <row r="117" spans="1:9" ht="15.75">
      <c r="A117" s="28"/>
      <c r="C117" s="12"/>
      <c r="D117" s="12"/>
      <c r="G117" s="12"/>
      <c r="H117" s="12"/>
    </row>
    <row r="118" spans="1:9" ht="15.75">
      <c r="B118" s="199" t="s">
        <v>13</v>
      </c>
      <c r="C118" s="230"/>
      <c r="D118" s="230"/>
      <c r="E118" s="230"/>
      <c r="F118" s="66"/>
      <c r="I118" s="200"/>
    </row>
    <row r="119" spans="1:9">
      <c r="A119" s="197"/>
      <c r="C119" s="219" t="s">
        <v>11</v>
      </c>
      <c r="D119" s="219"/>
      <c r="E119" s="219"/>
      <c r="F119" s="197"/>
      <c r="I119" s="198" t="s">
        <v>12</v>
      </c>
    </row>
    <row r="120" spans="1:9" ht="15.75">
      <c r="A120" s="4" t="s">
        <v>14</v>
      </c>
    </row>
    <row r="121" spans="1:9">
      <c r="A121" s="217" t="s">
        <v>15</v>
      </c>
      <c r="B121" s="217"/>
      <c r="C121" s="217"/>
      <c r="D121" s="217"/>
      <c r="E121" s="217"/>
      <c r="F121" s="217"/>
      <c r="G121" s="217"/>
      <c r="H121" s="217"/>
      <c r="I121" s="217"/>
    </row>
    <row r="122" spans="1:9" ht="41.25" customHeight="1">
      <c r="A122" s="218" t="s">
        <v>16</v>
      </c>
      <c r="B122" s="218"/>
      <c r="C122" s="218"/>
      <c r="D122" s="218"/>
      <c r="E122" s="218"/>
      <c r="F122" s="218"/>
      <c r="G122" s="218"/>
      <c r="H122" s="218"/>
      <c r="I122" s="218"/>
    </row>
    <row r="123" spans="1:9" ht="35.25" customHeight="1">
      <c r="A123" s="218" t="s">
        <v>17</v>
      </c>
      <c r="B123" s="218"/>
      <c r="C123" s="218"/>
      <c r="D123" s="218"/>
      <c r="E123" s="218"/>
      <c r="F123" s="218"/>
      <c r="G123" s="218"/>
      <c r="H123" s="218"/>
      <c r="I123" s="218"/>
    </row>
    <row r="124" spans="1:9" ht="35.25" customHeight="1">
      <c r="A124" s="218" t="s">
        <v>21</v>
      </c>
      <c r="B124" s="218"/>
      <c r="C124" s="218"/>
      <c r="D124" s="218"/>
      <c r="E124" s="218"/>
      <c r="F124" s="218"/>
      <c r="G124" s="218"/>
      <c r="H124" s="218"/>
      <c r="I124" s="218"/>
    </row>
    <row r="125" spans="1:9" ht="15.75">
      <c r="A125" s="218" t="s">
        <v>20</v>
      </c>
      <c r="B125" s="218"/>
      <c r="C125" s="218"/>
      <c r="D125" s="218"/>
      <c r="E125" s="218"/>
      <c r="F125" s="218"/>
      <c r="G125" s="218"/>
      <c r="H125" s="218"/>
      <c r="I125" s="218"/>
    </row>
  </sheetData>
  <mergeCells count="29">
    <mergeCell ref="A121:I121"/>
    <mergeCell ref="A122:I122"/>
    <mergeCell ref="A123:I123"/>
    <mergeCell ref="A124:I124"/>
    <mergeCell ref="A125:I125"/>
    <mergeCell ref="C119:E119"/>
    <mergeCell ref="A104:I104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B92" sqref="B92:I92"/>
    </sheetView>
  </sheetViews>
  <sheetFormatPr defaultRowHeight="15"/>
  <cols>
    <col min="1" max="1" width="11.140625" customWidth="1"/>
    <col min="2" max="2" width="54.5703125" customWidth="1"/>
    <col min="3" max="3" width="17.28515625" customWidth="1"/>
    <col min="4" max="4" width="17" customWidth="1"/>
    <col min="5" max="6" width="0" hidden="1" customWidth="1"/>
    <col min="7" max="7" width="15.85546875" customWidth="1"/>
    <col min="8" max="8" width="0" hidden="1" customWidth="1"/>
    <col min="9" max="9" width="17" customWidth="1"/>
  </cols>
  <sheetData>
    <row r="1" spans="1:9" ht="15.75">
      <c r="A1" s="30" t="s">
        <v>222</v>
      </c>
      <c r="I1" s="29"/>
    </row>
    <row r="2" spans="1:9" ht="15.75">
      <c r="A2" s="31" t="s">
        <v>63</v>
      </c>
    </row>
    <row r="3" spans="1:9" ht="15.75">
      <c r="A3" s="237" t="s">
        <v>263</v>
      </c>
      <c r="B3" s="237"/>
      <c r="C3" s="237"/>
      <c r="D3" s="237"/>
      <c r="E3" s="237"/>
      <c r="F3" s="237"/>
      <c r="G3" s="237"/>
      <c r="H3" s="237"/>
      <c r="I3" s="237"/>
    </row>
    <row r="4" spans="1:9" ht="35.25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264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206"/>
      <c r="C6" s="206"/>
      <c r="D6" s="206"/>
      <c r="E6" s="206"/>
      <c r="F6" s="206"/>
      <c r="G6" s="206"/>
      <c r="H6" s="206"/>
      <c r="I6" s="33">
        <v>43434</v>
      </c>
    </row>
    <row r="7" spans="1:9" ht="15.75">
      <c r="B7" s="204"/>
      <c r="C7" s="204"/>
      <c r="D7" s="204"/>
      <c r="E7" s="3"/>
      <c r="F7" s="3"/>
      <c r="G7" s="3"/>
      <c r="H7" s="3"/>
    </row>
    <row r="8" spans="1:9" ht="84.75" customHeight="1">
      <c r="A8" s="240" t="s">
        <v>225</v>
      </c>
      <c r="B8" s="240"/>
      <c r="C8" s="240"/>
      <c r="D8" s="240"/>
      <c r="E8" s="240"/>
      <c r="F8" s="240"/>
      <c r="G8" s="240"/>
      <c r="H8" s="240"/>
      <c r="I8" s="240"/>
    </row>
    <row r="9" spans="1:9" ht="15.75">
      <c r="A9" s="4"/>
    </row>
    <row r="10" spans="1:9" ht="76.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88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5.75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 ht="18.7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 ht="17.25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 hidden="1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 hidden="1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 hidden="1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 hidden="1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idden="1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 ht="18.75" customHeight="1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 hidden="1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idden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idden="1">
      <c r="A31" s="32">
        <v>7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30" hidden="1">
      <c r="A32" s="32">
        <v>8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t="30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t="30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t="19.5" customHeight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t="18.75" customHeight="1">
      <c r="A39" s="32">
        <v>6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19.5" customHeight="1">
      <c r="A40" s="32">
        <v>7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18" customHeight="1">
      <c r="A41" s="32">
        <v>8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t="30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45" customHeight="1">
      <c r="A43" s="32">
        <v>9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t="14.25" customHeight="1">
      <c r="A44" s="32">
        <v>10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(F44/7.5)*G44</f>
        <v>376.80645599999997</v>
      </c>
    </row>
    <row r="45" spans="1:9" ht="16.5" customHeight="1">
      <c r="A45" s="32">
        <v>11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(F45/7.5)*G45</f>
        <v>96.000000000000014</v>
      </c>
    </row>
    <row r="46" spans="1:9" ht="34.5" customHeight="1">
      <c r="A46" s="32">
        <v>12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 hidden="1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idden="1">
      <c r="A48" s="32">
        <v>12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 hidden="1">
      <c r="A53" s="32">
        <v>17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30" hidden="1">
      <c r="A54" s="32">
        <v>11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idden="1">
      <c r="A57" s="32">
        <v>11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192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30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t="30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 ht="20.25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 ht="18" customHeight="1">
      <c r="A64" s="32">
        <v>13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idden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t="30" hidden="1">
      <c r="A66" s="32">
        <v>19</v>
      </c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f>G66*4</f>
        <v>1213.4000000000001</v>
      </c>
    </row>
    <row r="67" spans="1:9" ht="30" hidden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idden="1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 hidden="1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 hidden="1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 hidden="1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 hidden="1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f>G73*3</f>
        <v>204.12</v>
      </c>
    </row>
    <row r="74" spans="1:9" ht="18.75" customHeight="1">
      <c r="A74" s="32"/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1.5" hidden="1" customHeight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3.75" customHeight="1">
      <c r="A79" s="32">
        <v>14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ht="16.5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15" customHeight="1">
      <c r="A81" s="32">
        <v>15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8.5" hidden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193</v>
      </c>
      <c r="B86" s="221"/>
      <c r="C86" s="221"/>
      <c r="D86" s="221"/>
      <c r="E86" s="221"/>
      <c r="F86" s="221"/>
      <c r="G86" s="221"/>
      <c r="H86" s="221"/>
      <c r="I86" s="222"/>
    </row>
    <row r="87" spans="1:9" ht="16.5" customHeight="1">
      <c r="A87" s="32">
        <v>16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3" customHeight="1">
      <c r="A88" s="32">
        <v>17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I88+I87+I81+I79+I64+I46+I45+I44+I43+I41+I40+I39+I27+I20+I18+I17+I16</f>
        <v>51506.231516666667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15" customHeight="1">
      <c r="A91" s="32">
        <v>18</v>
      </c>
      <c r="B91" s="131" t="s">
        <v>226</v>
      </c>
      <c r="C91" s="132" t="s">
        <v>84</v>
      </c>
      <c r="D91" s="14"/>
      <c r="E91" s="64"/>
      <c r="F91" s="63"/>
      <c r="G91" s="36">
        <v>203.68</v>
      </c>
      <c r="H91" s="63"/>
      <c r="I91" s="89">
        <f>G91*1</f>
        <v>203.68</v>
      </c>
    </row>
    <row r="92" spans="1:9" ht="15.7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f>SUM(I91:I91)</f>
        <v>203.68</v>
      </c>
    </row>
    <row r="93" spans="1:9">
      <c r="A93" s="32"/>
      <c r="B93" s="46" t="s">
        <v>80</v>
      </c>
      <c r="C93" s="15"/>
      <c r="D93" s="15"/>
      <c r="E93" s="41"/>
      <c r="F93" s="41"/>
      <c r="G93" s="42"/>
      <c r="H93" s="42"/>
      <c r="I93" s="17">
        <v>0</v>
      </c>
    </row>
    <row r="94" spans="1:9">
      <c r="A94" s="48"/>
      <c r="B94" s="45" t="s">
        <v>157</v>
      </c>
      <c r="C94" s="35"/>
      <c r="D94" s="35"/>
      <c r="E94" s="35"/>
      <c r="F94" s="35"/>
      <c r="G94" s="35"/>
      <c r="H94" s="35"/>
      <c r="I94" s="43">
        <f>I89+I92</f>
        <v>51709.911516666667</v>
      </c>
    </row>
    <row r="95" spans="1:9" ht="15.75">
      <c r="A95" s="223" t="s">
        <v>265</v>
      </c>
      <c r="B95" s="223"/>
      <c r="C95" s="223"/>
      <c r="D95" s="223"/>
      <c r="E95" s="223"/>
      <c r="F95" s="223"/>
      <c r="G95" s="223"/>
      <c r="H95" s="223"/>
      <c r="I95" s="223"/>
    </row>
    <row r="96" spans="1:9" ht="15.75">
      <c r="A96" s="61"/>
      <c r="B96" s="224" t="s">
        <v>266</v>
      </c>
      <c r="C96" s="224"/>
      <c r="D96" s="224"/>
      <c r="E96" s="224"/>
      <c r="F96" s="224"/>
      <c r="G96" s="224"/>
      <c r="H96" s="67"/>
      <c r="I96" s="3"/>
    </row>
    <row r="97" spans="1:9">
      <c r="A97" s="207"/>
      <c r="B97" s="225" t="s">
        <v>6</v>
      </c>
      <c r="C97" s="225"/>
      <c r="D97" s="225"/>
      <c r="E97" s="225"/>
      <c r="F97" s="225"/>
      <c r="G97" s="225"/>
      <c r="H97" s="27"/>
      <c r="I97" s="50"/>
    </row>
    <row r="98" spans="1:9">
      <c r="A98" s="54"/>
      <c r="B98" s="54"/>
      <c r="C98" s="54"/>
      <c r="D98" s="54"/>
      <c r="E98" s="54"/>
      <c r="F98" s="54"/>
      <c r="G98" s="54"/>
      <c r="H98" s="54"/>
      <c r="I98" s="54"/>
    </row>
    <row r="99" spans="1:9" ht="15.75">
      <c r="A99" s="226" t="s">
        <v>7</v>
      </c>
      <c r="B99" s="226"/>
      <c r="C99" s="226"/>
      <c r="D99" s="226"/>
      <c r="E99" s="226"/>
      <c r="F99" s="226"/>
      <c r="G99" s="226"/>
      <c r="H99" s="226"/>
      <c r="I99" s="226"/>
    </row>
    <row r="100" spans="1:9" ht="15.75">
      <c r="A100" s="226" t="s">
        <v>8</v>
      </c>
      <c r="B100" s="226"/>
      <c r="C100" s="226"/>
      <c r="D100" s="226"/>
      <c r="E100" s="226"/>
      <c r="F100" s="226"/>
      <c r="G100" s="226"/>
      <c r="H100" s="226"/>
      <c r="I100" s="226"/>
    </row>
    <row r="101" spans="1:9" ht="15.75">
      <c r="A101" s="227" t="s">
        <v>62</v>
      </c>
      <c r="B101" s="227"/>
      <c r="C101" s="227"/>
      <c r="D101" s="227"/>
      <c r="E101" s="227"/>
      <c r="F101" s="227"/>
      <c r="G101" s="227"/>
      <c r="H101" s="227"/>
      <c r="I101" s="227"/>
    </row>
    <row r="102" spans="1:9" ht="15.75">
      <c r="A102" s="11"/>
    </row>
    <row r="103" spans="1:9" ht="15.75">
      <c r="A103" s="228" t="s">
        <v>9</v>
      </c>
      <c r="B103" s="228"/>
      <c r="C103" s="228"/>
      <c r="D103" s="228"/>
      <c r="E103" s="228"/>
      <c r="F103" s="228"/>
      <c r="G103" s="228"/>
      <c r="H103" s="228"/>
      <c r="I103" s="228"/>
    </row>
    <row r="104" spans="1:9" ht="15.75">
      <c r="A104" s="4"/>
    </row>
    <row r="105" spans="1:9" ht="15.75">
      <c r="B105" s="204" t="s">
        <v>10</v>
      </c>
      <c r="C105" s="229" t="s">
        <v>140</v>
      </c>
      <c r="D105" s="229"/>
      <c r="E105" s="229"/>
      <c r="F105" s="65"/>
      <c r="I105" s="205"/>
    </row>
    <row r="106" spans="1:9">
      <c r="A106" s="202"/>
      <c r="C106" s="225" t="s">
        <v>11</v>
      </c>
      <c r="D106" s="225"/>
      <c r="E106" s="225"/>
      <c r="F106" s="27"/>
      <c r="I106" s="203" t="s">
        <v>12</v>
      </c>
    </row>
    <row r="107" spans="1:9" ht="15.75">
      <c r="A107" s="28"/>
      <c r="C107" s="12"/>
      <c r="D107" s="12"/>
      <c r="G107" s="12"/>
      <c r="H107" s="12"/>
    </row>
    <row r="108" spans="1:9" ht="15.75">
      <c r="B108" s="204" t="s">
        <v>13</v>
      </c>
      <c r="C108" s="230"/>
      <c r="D108" s="230"/>
      <c r="E108" s="230"/>
      <c r="F108" s="66"/>
      <c r="I108" s="205"/>
    </row>
    <row r="109" spans="1:9">
      <c r="A109" s="202"/>
      <c r="C109" s="219" t="s">
        <v>11</v>
      </c>
      <c r="D109" s="219"/>
      <c r="E109" s="219"/>
      <c r="F109" s="202"/>
      <c r="I109" s="203" t="s">
        <v>12</v>
      </c>
    </row>
    <row r="110" spans="1:9" ht="15.75">
      <c r="A110" s="4" t="s">
        <v>14</v>
      </c>
    </row>
    <row r="111" spans="1:9">
      <c r="A111" s="217" t="s">
        <v>15</v>
      </c>
      <c r="B111" s="217"/>
      <c r="C111" s="217"/>
      <c r="D111" s="217"/>
      <c r="E111" s="217"/>
      <c r="F111" s="217"/>
      <c r="G111" s="217"/>
      <c r="H111" s="217"/>
      <c r="I111" s="217"/>
    </row>
    <row r="112" spans="1:9" ht="42" customHeight="1">
      <c r="A112" s="218" t="s">
        <v>16</v>
      </c>
      <c r="B112" s="218"/>
      <c r="C112" s="218"/>
      <c r="D112" s="218"/>
      <c r="E112" s="218"/>
      <c r="F112" s="218"/>
      <c r="G112" s="218"/>
      <c r="H112" s="218"/>
      <c r="I112" s="218"/>
    </row>
    <row r="113" spans="1:9" ht="37.5" customHeight="1">
      <c r="A113" s="218" t="s">
        <v>17</v>
      </c>
      <c r="B113" s="218"/>
      <c r="C113" s="218"/>
      <c r="D113" s="218"/>
      <c r="E113" s="218"/>
      <c r="F113" s="218"/>
      <c r="G113" s="218"/>
      <c r="H113" s="218"/>
      <c r="I113" s="218"/>
    </row>
    <row r="114" spans="1:9" ht="33" customHeight="1">
      <c r="A114" s="218" t="s">
        <v>21</v>
      </c>
      <c r="B114" s="218"/>
      <c r="C114" s="218"/>
      <c r="D114" s="218"/>
      <c r="E114" s="218"/>
      <c r="F114" s="218"/>
      <c r="G114" s="218"/>
      <c r="H114" s="218"/>
      <c r="I114" s="218"/>
    </row>
    <row r="115" spans="1:9" ht="15.75">
      <c r="A115" s="218" t="s">
        <v>20</v>
      </c>
      <c r="B115" s="218"/>
      <c r="C115" s="218"/>
      <c r="D115" s="218"/>
      <c r="E115" s="218"/>
      <c r="F115" s="218"/>
      <c r="G115" s="218"/>
      <c r="H115" s="218"/>
      <c r="I115" s="218"/>
    </row>
  </sheetData>
  <mergeCells count="28"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  <mergeCell ref="C109:E10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111:I111"/>
    <mergeCell ref="A112:I112"/>
    <mergeCell ref="A113:I113"/>
    <mergeCell ref="A114:I114"/>
    <mergeCell ref="A115:I115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6"/>
  <sheetViews>
    <sheetView topLeftCell="A2" workbookViewId="0">
      <selection activeCell="B107" sqref="B107:G107"/>
    </sheetView>
  </sheetViews>
  <sheetFormatPr defaultRowHeight="15"/>
  <cols>
    <col min="1" max="1" width="12.85546875" customWidth="1"/>
    <col min="2" max="2" width="50.5703125" customWidth="1"/>
    <col min="3" max="4" width="15.7109375" customWidth="1"/>
    <col min="5" max="6" width="0" hidden="1" customWidth="1"/>
    <col min="7" max="7" width="15.140625" customWidth="1"/>
    <col min="8" max="8" width="0" hidden="1" customWidth="1"/>
    <col min="9" max="9" width="17.28515625" customWidth="1"/>
  </cols>
  <sheetData>
    <row r="1" spans="1:9" ht="15.75">
      <c r="A1" s="30" t="s">
        <v>222</v>
      </c>
      <c r="I1" s="29"/>
    </row>
    <row r="2" spans="1:9" ht="15.75">
      <c r="A2" s="31" t="s">
        <v>63</v>
      </c>
    </row>
    <row r="3" spans="1:9" ht="15.75">
      <c r="A3" s="237" t="s">
        <v>268</v>
      </c>
      <c r="B3" s="237"/>
      <c r="C3" s="237"/>
      <c r="D3" s="237"/>
      <c r="E3" s="237"/>
      <c r="F3" s="237"/>
      <c r="G3" s="237"/>
      <c r="H3" s="237"/>
      <c r="I3" s="237"/>
    </row>
    <row r="4" spans="1:9" ht="34.5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267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208"/>
      <c r="C6" s="208"/>
      <c r="D6" s="208"/>
      <c r="E6" s="208"/>
      <c r="F6" s="208"/>
      <c r="G6" s="208"/>
      <c r="H6" s="208"/>
      <c r="I6" s="33">
        <v>43465</v>
      </c>
    </row>
    <row r="7" spans="1:9" ht="15.75">
      <c r="B7" s="211"/>
      <c r="C7" s="211"/>
      <c r="D7" s="211"/>
      <c r="E7" s="3"/>
      <c r="F7" s="3"/>
      <c r="G7" s="3"/>
      <c r="H7" s="3"/>
    </row>
    <row r="8" spans="1:9" ht="102.75" customHeight="1">
      <c r="A8" s="240" t="s">
        <v>225</v>
      </c>
      <c r="B8" s="240"/>
      <c r="C8" s="240"/>
      <c r="D8" s="240"/>
      <c r="E8" s="240"/>
      <c r="F8" s="240"/>
      <c r="G8" s="240"/>
      <c r="H8" s="240"/>
      <c r="I8" s="240"/>
    </row>
    <row r="9" spans="1:9" ht="15.75">
      <c r="A9" s="4"/>
    </row>
    <row r="10" spans="1:9" ht="70.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7.25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 ht="14.25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 ht="18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t="19.5" hidden="1" customHeight="1">
      <c r="A21" s="32">
        <v>5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 ht="18" hidden="1" customHeight="1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 ht="18.75" hidden="1" customHeight="1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 ht="18.75" hidden="1" customHeight="1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 ht="19.5" hidden="1" customHeight="1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t="24" hidden="1" customHeight="1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 ht="18.75" customHeight="1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 hidden="1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idden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idden="1">
      <c r="A31" s="32">
        <v>7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5" hidden="1">
      <c r="A32" s="32">
        <v>8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idden="1">
      <c r="A34" s="32">
        <v>9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idden="1">
      <c r="A35" s="32">
        <v>10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t="30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t="30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t="18" customHeight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t="17.25" customHeight="1">
      <c r="A39" s="32">
        <v>6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18" customHeight="1">
      <c r="A40" s="32">
        <v>7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19.5" customHeight="1">
      <c r="A41" s="32">
        <v>8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t="30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49.5" customHeight="1">
      <c r="A43" s="32">
        <v>9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t="16.5" customHeight="1">
      <c r="A44" s="32">
        <v>10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 ht="14.25" customHeight="1">
      <c r="A45" s="32">
        <v>11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.75" customHeight="1">
      <c r="A46" s="32">
        <v>12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idden="1">
      <c r="A48" s="32">
        <v>12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13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 hidden="1">
      <c r="A50" s="32">
        <v>14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 hidden="1">
      <c r="A51" s="32">
        <v>15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 hidden="1">
      <c r="A52" s="32">
        <v>16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>
      <c r="A53" s="32">
        <v>13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45" hidden="1">
      <c r="A54" s="32">
        <v>11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0" hidden="1">
      <c r="A55" s="32">
        <v>12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 hidden="1">
      <c r="A56" s="32">
        <v>13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t="16.5" customHeight="1">
      <c r="A57" s="32">
        <v>14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138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30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t="30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 ht="18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 ht="15.75" customHeight="1">
      <c r="A64" s="32">
        <v>15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idden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t="30" hidden="1">
      <c r="A66" s="32">
        <v>19</v>
      </c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f>G66*4</f>
        <v>1213.4000000000001</v>
      </c>
    </row>
    <row r="67" spans="1:9" ht="30" hidden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idden="1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 hidden="1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 hidden="1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 hidden="1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 hidden="1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idden="1">
      <c r="A73" s="32">
        <v>20</v>
      </c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f>G73*3</f>
        <v>204.12</v>
      </c>
    </row>
    <row r="74" spans="1:9" ht="15.75" customHeight="1">
      <c r="A74" s="32"/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6" customHeight="1">
      <c r="A79" s="32">
        <v>16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ht="17.25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14.25" customHeight="1">
      <c r="A81" s="32">
        <v>17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9.25" customHeight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t="13.5" customHeight="1">
      <c r="A85" s="32">
        <v>18</v>
      </c>
      <c r="B85" s="114" t="s">
        <v>115</v>
      </c>
      <c r="C85" s="153"/>
      <c r="D85" s="154"/>
      <c r="E85" s="155"/>
      <c r="F85" s="37">
        <v>1</v>
      </c>
      <c r="G85" s="37">
        <v>2476</v>
      </c>
      <c r="H85" s="138">
        <f>G85*F85/1000</f>
        <v>2.476</v>
      </c>
      <c r="I85" s="13">
        <f>G85*1</f>
        <v>2476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 ht="18" customHeight="1">
      <c r="A87" s="32">
        <v>19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9" customHeight="1">
      <c r="A88" s="32">
        <v>20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I88+I87+I85+I81+I79+I64+I57+I53+I46+I45+I44+I43+I41+I40+I39+I27+I20+I18+I17+I16</f>
        <v>67962.414172666657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>
      <c r="A91" s="32">
        <v>21</v>
      </c>
      <c r="B91" s="131" t="s">
        <v>205</v>
      </c>
      <c r="C91" s="68" t="s">
        <v>206</v>
      </c>
      <c r="D91" s="14"/>
      <c r="E91" s="64"/>
      <c r="F91" s="63"/>
      <c r="G91" s="142">
        <v>134.12</v>
      </c>
      <c r="H91" s="63"/>
      <c r="I91" s="89">
        <f>G91*5</f>
        <v>670.6</v>
      </c>
    </row>
    <row r="92" spans="1:9">
      <c r="A92" s="32">
        <v>22</v>
      </c>
      <c r="B92" s="131" t="s">
        <v>227</v>
      </c>
      <c r="C92" s="132" t="s">
        <v>109</v>
      </c>
      <c r="D92" s="14"/>
      <c r="E92" s="64"/>
      <c r="F92" s="63"/>
      <c r="G92" s="142">
        <v>197.48</v>
      </c>
      <c r="H92" s="63"/>
      <c r="I92" s="89">
        <f>G92*1</f>
        <v>197.48</v>
      </c>
    </row>
    <row r="93" spans="1:9" ht="30">
      <c r="A93" s="32">
        <v>23</v>
      </c>
      <c r="B93" s="131" t="s">
        <v>201</v>
      </c>
      <c r="C93" s="132" t="s">
        <v>109</v>
      </c>
      <c r="D93" s="14"/>
      <c r="E93" s="64"/>
      <c r="F93" s="63"/>
      <c r="G93" s="142">
        <v>86.69</v>
      </c>
      <c r="H93" s="63"/>
      <c r="I93" s="89">
        <f>G93*2</f>
        <v>173.38</v>
      </c>
    </row>
    <row r="94" spans="1:9" ht="30">
      <c r="A94" s="32">
        <v>24</v>
      </c>
      <c r="B94" s="52" t="s">
        <v>196</v>
      </c>
      <c r="C94" s="101" t="s">
        <v>39</v>
      </c>
      <c r="D94" s="14"/>
      <c r="E94" s="64"/>
      <c r="F94" s="63"/>
      <c r="G94" s="36">
        <v>3724.37</v>
      </c>
      <c r="H94" s="63"/>
      <c r="I94" s="89">
        <f>G94*0.01</f>
        <v>37.243699999999997</v>
      </c>
    </row>
    <row r="95" spans="1:9">
      <c r="A95" s="32">
        <v>25</v>
      </c>
      <c r="B95" s="174" t="s">
        <v>269</v>
      </c>
      <c r="C95" s="214" t="s">
        <v>127</v>
      </c>
      <c r="D95" s="14"/>
      <c r="E95" s="64"/>
      <c r="F95" s="63"/>
      <c r="G95" s="36">
        <v>2232.31</v>
      </c>
      <c r="H95" s="63"/>
      <c r="I95" s="89">
        <f>G95*2.4</f>
        <v>5357.5439999999999</v>
      </c>
    </row>
    <row r="96" spans="1:9" ht="30">
      <c r="A96" s="32">
        <v>26</v>
      </c>
      <c r="B96" s="131" t="s">
        <v>270</v>
      </c>
      <c r="C96" s="132" t="s">
        <v>55</v>
      </c>
      <c r="D96" s="14"/>
      <c r="E96" s="64"/>
      <c r="F96" s="63"/>
      <c r="G96" s="36">
        <v>70.819999999999993</v>
      </c>
      <c r="H96" s="63"/>
      <c r="I96" s="89">
        <f>G96*1</f>
        <v>70.819999999999993</v>
      </c>
    </row>
    <row r="97" spans="1:9">
      <c r="A97" s="32">
        <v>27</v>
      </c>
      <c r="B97" s="174" t="s">
        <v>271</v>
      </c>
      <c r="C97" s="132" t="s">
        <v>55</v>
      </c>
      <c r="D97" s="14"/>
      <c r="E97" s="64"/>
      <c r="F97" s="63"/>
      <c r="G97" s="36">
        <v>560.32000000000005</v>
      </c>
      <c r="H97" s="63"/>
      <c r="I97" s="89">
        <f>G97*1</f>
        <v>560.32000000000005</v>
      </c>
    </row>
    <row r="98" spans="1:9" ht="45">
      <c r="A98" s="32">
        <v>28</v>
      </c>
      <c r="B98" s="131" t="s">
        <v>272</v>
      </c>
      <c r="C98" s="132" t="s">
        <v>55</v>
      </c>
      <c r="D98" s="14"/>
      <c r="E98" s="64"/>
      <c r="F98" s="63"/>
      <c r="G98" s="36">
        <v>162.27000000000001</v>
      </c>
      <c r="H98" s="63"/>
      <c r="I98" s="89">
        <f>G98*8.5</f>
        <v>1379.2950000000001</v>
      </c>
    </row>
    <row r="99" spans="1:9">
      <c r="A99" s="32">
        <v>29</v>
      </c>
      <c r="B99" s="174" t="s">
        <v>273</v>
      </c>
      <c r="C99" s="132" t="s">
        <v>55</v>
      </c>
      <c r="D99" s="14"/>
      <c r="E99" s="64"/>
      <c r="F99" s="63"/>
      <c r="G99" s="36">
        <v>352.49</v>
      </c>
      <c r="H99" s="63"/>
      <c r="I99" s="89">
        <f>G99*8.5</f>
        <v>2996.165</v>
      </c>
    </row>
    <row r="100" spans="1:9" ht="45">
      <c r="A100" s="32">
        <v>30</v>
      </c>
      <c r="B100" s="131" t="s">
        <v>274</v>
      </c>
      <c r="C100" s="132" t="s">
        <v>127</v>
      </c>
      <c r="D100" s="14"/>
      <c r="E100" s="64"/>
      <c r="F100" s="63"/>
      <c r="G100" s="36">
        <v>6643.05</v>
      </c>
      <c r="H100" s="63"/>
      <c r="I100" s="89">
        <f>G100*0.8</f>
        <v>5314.4400000000005</v>
      </c>
    </row>
    <row r="101" spans="1:9" ht="30">
      <c r="A101" s="32">
        <v>31</v>
      </c>
      <c r="B101" s="131" t="s">
        <v>275</v>
      </c>
      <c r="C101" s="151" t="s">
        <v>276</v>
      </c>
      <c r="D101" s="14"/>
      <c r="E101" s="64"/>
      <c r="F101" s="63"/>
      <c r="G101" s="36">
        <v>6312</v>
      </c>
      <c r="H101" s="63"/>
      <c r="I101" s="89">
        <f>G101*0.05</f>
        <v>315.60000000000002</v>
      </c>
    </row>
    <row r="102" spans="1:9" ht="17.25" customHeight="1">
      <c r="A102" s="173">
        <v>32</v>
      </c>
      <c r="B102" s="215" t="s">
        <v>277</v>
      </c>
      <c r="C102" s="216" t="s">
        <v>278</v>
      </c>
      <c r="D102" s="47"/>
      <c r="E102" s="40">
        <v>1</v>
      </c>
      <c r="F102" s="40"/>
      <c r="G102" s="36">
        <v>460</v>
      </c>
      <c r="H102" s="40"/>
      <c r="I102" s="18">
        <f>G102*1</f>
        <v>460</v>
      </c>
    </row>
    <row r="103" spans="1:9" ht="17.25" customHeight="1">
      <c r="A103" s="32"/>
      <c r="B103" s="44" t="s">
        <v>52</v>
      </c>
      <c r="C103" s="40"/>
      <c r="D103" s="47"/>
      <c r="E103" s="40">
        <v>1</v>
      </c>
      <c r="F103" s="40"/>
      <c r="G103" s="40"/>
      <c r="H103" s="40"/>
      <c r="I103" s="34">
        <f>SUM(I91:I102)</f>
        <v>17532.887699999999</v>
      </c>
    </row>
    <row r="104" spans="1:9">
      <c r="A104" s="32"/>
      <c r="B104" s="46" t="s">
        <v>80</v>
      </c>
      <c r="C104" s="15"/>
      <c r="D104" s="15"/>
      <c r="E104" s="41"/>
      <c r="F104" s="41"/>
      <c r="G104" s="42"/>
      <c r="H104" s="42"/>
      <c r="I104" s="17">
        <v>0</v>
      </c>
    </row>
    <row r="105" spans="1:9">
      <c r="A105" s="48"/>
      <c r="B105" s="45" t="s">
        <v>157</v>
      </c>
      <c r="C105" s="35"/>
      <c r="D105" s="35"/>
      <c r="E105" s="35"/>
      <c r="F105" s="35"/>
      <c r="G105" s="35"/>
      <c r="H105" s="35"/>
      <c r="I105" s="43">
        <f>I103+I89</f>
        <v>85495.301872666663</v>
      </c>
    </row>
    <row r="106" spans="1:9" ht="15.75">
      <c r="A106" s="223" t="s">
        <v>279</v>
      </c>
      <c r="B106" s="223"/>
      <c r="C106" s="223"/>
      <c r="D106" s="223"/>
      <c r="E106" s="223"/>
      <c r="F106" s="223"/>
      <c r="G106" s="223"/>
      <c r="H106" s="223"/>
      <c r="I106" s="223"/>
    </row>
    <row r="107" spans="1:9" ht="15.75">
      <c r="A107" s="61"/>
      <c r="B107" s="224" t="s">
        <v>280</v>
      </c>
      <c r="C107" s="224"/>
      <c r="D107" s="224"/>
      <c r="E107" s="224"/>
      <c r="F107" s="224"/>
      <c r="G107" s="224"/>
      <c r="H107" s="67"/>
      <c r="I107" s="3"/>
    </row>
    <row r="108" spans="1:9">
      <c r="A108" s="213"/>
      <c r="B108" s="225" t="s">
        <v>6</v>
      </c>
      <c r="C108" s="225"/>
      <c r="D108" s="225"/>
      <c r="E108" s="225"/>
      <c r="F108" s="225"/>
      <c r="G108" s="225"/>
      <c r="H108" s="27"/>
      <c r="I108" s="50"/>
    </row>
    <row r="109" spans="1:9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 ht="15.75">
      <c r="A110" s="226" t="s">
        <v>7</v>
      </c>
      <c r="B110" s="226"/>
      <c r="C110" s="226"/>
      <c r="D110" s="226"/>
      <c r="E110" s="226"/>
      <c r="F110" s="226"/>
      <c r="G110" s="226"/>
      <c r="H110" s="226"/>
      <c r="I110" s="226"/>
    </row>
    <row r="111" spans="1:9" ht="15.75">
      <c r="A111" s="226" t="s">
        <v>8</v>
      </c>
      <c r="B111" s="226"/>
      <c r="C111" s="226"/>
      <c r="D111" s="226"/>
      <c r="E111" s="226"/>
      <c r="F111" s="226"/>
      <c r="G111" s="226"/>
      <c r="H111" s="226"/>
      <c r="I111" s="226"/>
    </row>
    <row r="112" spans="1:9" ht="15.75">
      <c r="A112" s="227" t="s">
        <v>62</v>
      </c>
      <c r="B112" s="227"/>
      <c r="C112" s="227"/>
      <c r="D112" s="227"/>
      <c r="E112" s="227"/>
      <c r="F112" s="227"/>
      <c r="G112" s="227"/>
      <c r="H112" s="227"/>
      <c r="I112" s="227"/>
    </row>
    <row r="113" spans="1:9" ht="15.75">
      <c r="A113" s="11"/>
    </row>
    <row r="114" spans="1:9" ht="15.75">
      <c r="A114" s="228" t="s">
        <v>9</v>
      </c>
      <c r="B114" s="228"/>
      <c r="C114" s="228"/>
      <c r="D114" s="228"/>
      <c r="E114" s="228"/>
      <c r="F114" s="228"/>
      <c r="G114" s="228"/>
      <c r="H114" s="228"/>
      <c r="I114" s="228"/>
    </row>
    <row r="115" spans="1:9" ht="15.75">
      <c r="A115" s="4"/>
    </row>
    <row r="116" spans="1:9" ht="15.75">
      <c r="B116" s="211" t="s">
        <v>10</v>
      </c>
      <c r="C116" s="229" t="s">
        <v>140</v>
      </c>
      <c r="D116" s="229"/>
      <c r="E116" s="229"/>
      <c r="F116" s="65"/>
      <c r="I116" s="212"/>
    </row>
    <row r="117" spans="1:9">
      <c r="A117" s="209"/>
      <c r="C117" s="225" t="s">
        <v>11</v>
      </c>
      <c r="D117" s="225"/>
      <c r="E117" s="225"/>
      <c r="F117" s="27"/>
      <c r="I117" s="210" t="s">
        <v>12</v>
      </c>
    </row>
    <row r="118" spans="1:9" ht="15.75">
      <c r="A118" s="28"/>
      <c r="C118" s="12"/>
      <c r="D118" s="12"/>
      <c r="G118" s="12"/>
      <c r="H118" s="12"/>
    </row>
    <row r="119" spans="1:9" ht="15.75">
      <c r="B119" s="211" t="s">
        <v>13</v>
      </c>
      <c r="C119" s="230"/>
      <c r="D119" s="230"/>
      <c r="E119" s="230"/>
      <c r="F119" s="66"/>
      <c r="I119" s="212"/>
    </row>
    <row r="120" spans="1:9">
      <c r="A120" s="209"/>
      <c r="C120" s="219" t="s">
        <v>11</v>
      </c>
      <c r="D120" s="219"/>
      <c r="E120" s="219"/>
      <c r="F120" s="209"/>
      <c r="I120" s="210" t="s">
        <v>12</v>
      </c>
    </row>
    <row r="121" spans="1:9" ht="15.75">
      <c r="A121" s="4" t="s">
        <v>14</v>
      </c>
    </row>
    <row r="122" spans="1:9">
      <c r="A122" s="217" t="s">
        <v>15</v>
      </c>
      <c r="B122" s="217"/>
      <c r="C122" s="217"/>
      <c r="D122" s="217"/>
      <c r="E122" s="217"/>
      <c r="F122" s="217"/>
      <c r="G122" s="217"/>
      <c r="H122" s="217"/>
      <c r="I122" s="217"/>
    </row>
    <row r="123" spans="1:9" ht="45.75" customHeight="1">
      <c r="A123" s="218" t="s">
        <v>16</v>
      </c>
      <c r="B123" s="218"/>
      <c r="C123" s="218"/>
      <c r="D123" s="218"/>
      <c r="E123" s="218"/>
      <c r="F123" s="218"/>
      <c r="G123" s="218"/>
      <c r="H123" s="218"/>
      <c r="I123" s="218"/>
    </row>
    <row r="124" spans="1:9" ht="36" customHeight="1">
      <c r="A124" s="218" t="s">
        <v>17</v>
      </c>
      <c r="B124" s="218"/>
      <c r="C124" s="218"/>
      <c r="D124" s="218"/>
      <c r="E124" s="218"/>
      <c r="F124" s="218"/>
      <c r="G124" s="218"/>
      <c r="H124" s="218"/>
      <c r="I124" s="218"/>
    </row>
    <row r="125" spans="1:9" ht="35.25" customHeight="1">
      <c r="A125" s="218" t="s">
        <v>21</v>
      </c>
      <c r="B125" s="218"/>
      <c r="C125" s="218"/>
      <c r="D125" s="218"/>
      <c r="E125" s="218"/>
      <c r="F125" s="218"/>
      <c r="G125" s="218"/>
      <c r="H125" s="218"/>
      <c r="I125" s="218"/>
    </row>
    <row r="126" spans="1:9" ht="32.25" customHeight="1">
      <c r="A126" s="218" t="s">
        <v>20</v>
      </c>
      <c r="B126" s="218"/>
      <c r="C126" s="218"/>
      <c r="D126" s="218"/>
      <c r="E126" s="218"/>
      <c r="F126" s="218"/>
      <c r="G126" s="218"/>
      <c r="H126" s="218"/>
      <c r="I126" s="218"/>
    </row>
  </sheetData>
  <mergeCells count="28">
    <mergeCell ref="A123:I123"/>
    <mergeCell ref="A124:I124"/>
    <mergeCell ref="A125:I125"/>
    <mergeCell ref="A126:I126"/>
    <mergeCell ref="A114:I114"/>
    <mergeCell ref="C116:E116"/>
    <mergeCell ref="C117:E117"/>
    <mergeCell ref="C119:E119"/>
    <mergeCell ref="C120:E120"/>
    <mergeCell ref="A122:I122"/>
    <mergeCell ref="A112:I112"/>
    <mergeCell ref="A15:I15"/>
    <mergeCell ref="A29:I29"/>
    <mergeCell ref="A47:I47"/>
    <mergeCell ref="A58:I58"/>
    <mergeCell ref="A86:I86"/>
    <mergeCell ref="A90:I90"/>
    <mergeCell ref="A106:I106"/>
    <mergeCell ref="B107:G107"/>
    <mergeCell ref="B108:G108"/>
    <mergeCell ref="A110:I110"/>
    <mergeCell ref="A111:I111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B91" sqref="B91: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86</v>
      </c>
      <c r="I1" s="29"/>
      <c r="J1" s="1"/>
      <c r="K1" s="1"/>
      <c r="L1" s="1"/>
      <c r="M1" s="1"/>
    </row>
    <row r="2" spans="1:13" ht="15.75">
      <c r="A2" s="31" t="s">
        <v>63</v>
      </c>
      <c r="J2" s="2"/>
      <c r="K2" s="2"/>
      <c r="L2" s="2"/>
      <c r="M2" s="2"/>
    </row>
    <row r="3" spans="1:13" ht="15.75" customHeight="1">
      <c r="A3" s="237" t="s">
        <v>149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167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43159</v>
      </c>
      <c r="J6" s="2"/>
      <c r="K6" s="2"/>
      <c r="L6" s="2"/>
      <c r="M6" s="2"/>
    </row>
    <row r="7" spans="1:13" ht="15.75">
      <c r="B7" s="58"/>
      <c r="C7" s="58"/>
      <c r="D7" s="5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152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  <c r="J15" s="8"/>
      <c r="K15" s="8"/>
      <c r="L15" s="8"/>
      <c r="M15" s="8"/>
    </row>
    <row r="16" spans="1:13" ht="15.75" customHeight="1">
      <c r="A16" s="32">
        <v>1</v>
      </c>
      <c r="B16" s="69" t="s">
        <v>87</v>
      </c>
      <c r="C16" s="70" t="s">
        <v>88</v>
      </c>
      <c r="D16" s="69" t="s">
        <v>153</v>
      </c>
      <c r="E16" s="71">
        <v>66</v>
      </c>
      <c r="F16" s="72">
        <f>SUM(E16*156/100)</f>
        <v>102.96</v>
      </c>
      <c r="G16" s="72">
        <v>175.38</v>
      </c>
      <c r="H16" s="73">
        <f t="shared" ref="H16:H25" si="0">SUM(F16*G16/1000)</f>
        <v>18.057124799999997</v>
      </c>
      <c r="I16" s="13">
        <f>F16/12*G16</f>
        <v>1504.7603999999999</v>
      </c>
      <c r="J16" s="24"/>
      <c r="K16" s="8"/>
      <c r="L16" s="8"/>
      <c r="M16" s="8"/>
    </row>
    <row r="17" spans="1:13" ht="15.75" customHeight="1">
      <c r="A17" s="32">
        <v>2</v>
      </c>
      <c r="B17" s="69" t="s">
        <v>118</v>
      </c>
      <c r="C17" s="70" t="s">
        <v>88</v>
      </c>
      <c r="D17" s="69" t="s">
        <v>154</v>
      </c>
      <c r="E17" s="71">
        <v>264</v>
      </c>
      <c r="F17" s="72">
        <f>SUM(E17*104/100)</f>
        <v>274.56</v>
      </c>
      <c r="G17" s="72">
        <v>175.38</v>
      </c>
      <c r="H17" s="73">
        <f t="shared" si="0"/>
        <v>48.152332799999996</v>
      </c>
      <c r="I17" s="13">
        <f>F17/12*G17</f>
        <v>4012.6943999999999</v>
      </c>
      <c r="J17" s="25"/>
      <c r="K17" s="8"/>
      <c r="L17" s="8"/>
      <c r="M17" s="8"/>
    </row>
    <row r="18" spans="1:13" ht="15.75" customHeight="1">
      <c r="A18" s="32">
        <v>3</v>
      </c>
      <c r="B18" s="69" t="s">
        <v>119</v>
      </c>
      <c r="C18" s="70" t="s">
        <v>88</v>
      </c>
      <c r="D18" s="69" t="s">
        <v>155</v>
      </c>
      <c r="E18" s="71">
        <f>SUM(E16+E17)</f>
        <v>330</v>
      </c>
      <c r="F18" s="72">
        <f>SUM(E18*24/100)</f>
        <v>79.2</v>
      </c>
      <c r="G18" s="72">
        <v>504.5</v>
      </c>
      <c r="H18" s="73">
        <f t="shared" si="0"/>
        <v>39.956400000000002</v>
      </c>
      <c r="I18" s="13">
        <f>F18/12*G18</f>
        <v>3329.7000000000003</v>
      </c>
      <c r="J18" s="25"/>
      <c r="K18" s="8"/>
      <c r="L18" s="8"/>
      <c r="M18" s="8"/>
    </row>
    <row r="19" spans="1:13" ht="15.75" hidden="1" customHeight="1">
      <c r="A19" s="32"/>
      <c r="B19" s="69" t="s">
        <v>95</v>
      </c>
      <c r="C19" s="70" t="s">
        <v>96</v>
      </c>
      <c r="D19" s="69" t="s">
        <v>97</v>
      </c>
      <c r="E19" s="71">
        <v>28.16</v>
      </c>
      <c r="F19" s="72">
        <f>SUM(E19/10)</f>
        <v>2.8159999999999998</v>
      </c>
      <c r="G19" s="72">
        <v>170.16</v>
      </c>
      <c r="H19" s="73">
        <f t="shared" si="0"/>
        <v>0.47917055999999997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69" t="s">
        <v>98</v>
      </c>
      <c r="C20" s="70" t="s">
        <v>88</v>
      </c>
      <c r="D20" s="69" t="s">
        <v>120</v>
      </c>
      <c r="E20" s="71">
        <v>14</v>
      </c>
      <c r="F20" s="72">
        <f>SUM(E20*12/100)</f>
        <v>1.68</v>
      </c>
      <c r="G20" s="72">
        <v>217.88</v>
      </c>
      <c r="H20" s="73">
        <f t="shared" si="0"/>
        <v>0.36603839999999999</v>
      </c>
      <c r="I20" s="13">
        <f>F20/12*G20</f>
        <v>30.503199999999996</v>
      </c>
      <c r="J20" s="25"/>
      <c r="K20" s="8"/>
      <c r="L20" s="8"/>
      <c r="M20" s="8"/>
    </row>
    <row r="21" spans="1:13" ht="15.75" customHeight="1">
      <c r="A21" s="32">
        <v>5</v>
      </c>
      <c r="B21" s="69" t="s">
        <v>99</v>
      </c>
      <c r="C21" s="70" t="s">
        <v>88</v>
      </c>
      <c r="D21" s="69" t="s">
        <v>30</v>
      </c>
      <c r="E21" s="71">
        <v>3.6</v>
      </c>
      <c r="F21" s="72">
        <f>SUM(E21*12/100)</f>
        <v>0.43200000000000005</v>
      </c>
      <c r="G21" s="72">
        <v>216.12</v>
      </c>
      <c r="H21" s="73">
        <f t="shared" si="0"/>
        <v>9.3363840000000003E-2</v>
      </c>
      <c r="I21" s="13">
        <f>F21/12*G21</f>
        <v>7.7803200000000015</v>
      </c>
      <c r="J21" s="25"/>
      <c r="K21" s="8"/>
      <c r="L21" s="8"/>
      <c r="M21" s="8"/>
    </row>
    <row r="22" spans="1:13" ht="15.75" hidden="1" customHeight="1">
      <c r="A22" s="32"/>
      <c r="B22" s="69" t="s">
        <v>100</v>
      </c>
      <c r="C22" s="70" t="s">
        <v>53</v>
      </c>
      <c r="D22" s="69" t="s">
        <v>97</v>
      </c>
      <c r="E22" s="71">
        <v>357</v>
      </c>
      <c r="F22" s="72">
        <f>SUM(E22/100)</f>
        <v>3.57</v>
      </c>
      <c r="G22" s="72">
        <v>269.26</v>
      </c>
      <c r="H22" s="73">
        <f t="shared" si="0"/>
        <v>0.96125819999999984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69" t="s">
        <v>101</v>
      </c>
      <c r="C23" s="70" t="s">
        <v>53</v>
      </c>
      <c r="D23" s="69" t="s">
        <v>97</v>
      </c>
      <c r="E23" s="74">
        <v>48.3</v>
      </c>
      <c r="F23" s="72">
        <f>SUM(E23/100)</f>
        <v>0.48299999999999998</v>
      </c>
      <c r="G23" s="72">
        <v>44.29</v>
      </c>
      <c r="H23" s="73">
        <f t="shared" si="0"/>
        <v>2.1392069999999999E-2</v>
      </c>
      <c r="I23" s="13">
        <v>0</v>
      </c>
      <c r="J23" s="25"/>
      <c r="K23" s="8"/>
      <c r="L23" s="8"/>
      <c r="M23" s="8"/>
    </row>
    <row r="24" spans="1:13" ht="15.75" hidden="1" customHeight="1">
      <c r="A24" s="32"/>
      <c r="B24" s="69" t="s">
        <v>102</v>
      </c>
      <c r="C24" s="70" t="s">
        <v>53</v>
      </c>
      <c r="D24" s="69" t="s">
        <v>129</v>
      </c>
      <c r="E24" s="71">
        <v>20</v>
      </c>
      <c r="F24" s="72">
        <f>E24/100</f>
        <v>0.2</v>
      </c>
      <c r="G24" s="72">
        <v>389.72</v>
      </c>
      <c r="H24" s="73">
        <f t="shared" si="0"/>
        <v>7.7944000000000013E-2</v>
      </c>
      <c r="I24" s="13">
        <v>0</v>
      </c>
      <c r="J24" s="25"/>
      <c r="K24" s="8"/>
      <c r="L24" s="8"/>
      <c r="M24" s="8"/>
    </row>
    <row r="25" spans="1:13" ht="15.75" hidden="1" customHeight="1">
      <c r="A25" s="32"/>
      <c r="B25" s="69" t="s">
        <v>103</v>
      </c>
      <c r="C25" s="70" t="s">
        <v>53</v>
      </c>
      <c r="D25" s="69" t="s">
        <v>97</v>
      </c>
      <c r="E25" s="71">
        <v>8.5</v>
      </c>
      <c r="F25" s="72">
        <f>SUM(E25/100)</f>
        <v>8.5000000000000006E-2</v>
      </c>
      <c r="G25" s="72">
        <v>520.79999999999995</v>
      </c>
      <c r="H25" s="73">
        <f t="shared" si="0"/>
        <v>4.4268000000000002E-2</v>
      </c>
      <c r="I25" s="13">
        <v>0</v>
      </c>
      <c r="J25" s="25"/>
      <c r="K25" s="8"/>
      <c r="L25" s="8"/>
      <c r="M25" s="8"/>
    </row>
    <row r="26" spans="1:13" ht="15.75" customHeight="1">
      <c r="A26" s="32">
        <v>6</v>
      </c>
      <c r="B26" s="69" t="s">
        <v>65</v>
      </c>
      <c r="C26" s="70" t="s">
        <v>33</v>
      </c>
      <c r="D26" s="69" t="s">
        <v>156</v>
      </c>
      <c r="E26" s="71">
        <v>0.1</v>
      </c>
      <c r="F26" s="72">
        <f>SUM(E26*365)</f>
        <v>36.5</v>
      </c>
      <c r="G26" s="72">
        <v>147.03</v>
      </c>
      <c r="H26" s="73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7</v>
      </c>
      <c r="B27" s="77" t="s">
        <v>23</v>
      </c>
      <c r="C27" s="70" t="s">
        <v>24</v>
      </c>
      <c r="D27" s="69" t="s">
        <v>156</v>
      </c>
      <c r="E27" s="71">
        <v>3382.7</v>
      </c>
      <c r="F27" s="72">
        <f>SUM(E27*12)</f>
        <v>40592.399999999994</v>
      </c>
      <c r="G27" s="72">
        <v>4.42</v>
      </c>
      <c r="H27" s="73">
        <f>SUM(F27*G27/1000)</f>
        <v>179.41840799999997</v>
      </c>
      <c r="I27" s="13">
        <f>F27/12*G27</f>
        <v>14951.533999999998</v>
      </c>
      <c r="J27" s="26"/>
    </row>
    <row r="28" spans="1:13" ht="15.75" customHeight="1">
      <c r="A28" s="242" t="s">
        <v>85</v>
      </c>
      <c r="B28" s="242"/>
      <c r="C28" s="242"/>
      <c r="D28" s="242"/>
      <c r="E28" s="242"/>
      <c r="F28" s="242"/>
      <c r="G28" s="242"/>
      <c r="H28" s="242"/>
      <c r="I28" s="242"/>
      <c r="J28" s="25"/>
      <c r="K28" s="8"/>
      <c r="L28" s="8"/>
      <c r="M28" s="8"/>
    </row>
    <row r="29" spans="1:13" ht="15.75" hidden="1" customHeight="1">
      <c r="A29" s="32"/>
      <c r="B29" s="93" t="s">
        <v>28</v>
      </c>
      <c r="C29" s="70"/>
      <c r="D29" s="69"/>
      <c r="E29" s="71"/>
      <c r="F29" s="72"/>
      <c r="G29" s="72"/>
      <c r="H29" s="73"/>
      <c r="I29" s="13"/>
      <c r="J29" s="25"/>
      <c r="K29" s="8"/>
      <c r="L29" s="8"/>
      <c r="M29" s="8"/>
    </row>
    <row r="30" spans="1:13" ht="31.5" hidden="1" customHeight="1">
      <c r="A30" s="32">
        <v>8</v>
      </c>
      <c r="B30" s="69" t="s">
        <v>107</v>
      </c>
      <c r="C30" s="70" t="s">
        <v>90</v>
      </c>
      <c r="D30" s="69" t="s">
        <v>104</v>
      </c>
      <c r="E30" s="72">
        <v>667.1</v>
      </c>
      <c r="F30" s="72">
        <f>SUM(E30*52/1000)</f>
        <v>34.689200000000007</v>
      </c>
      <c r="G30" s="72">
        <v>155.88999999999999</v>
      </c>
      <c r="H30" s="73">
        <f t="shared" ref="H30:H36" si="1">SUM(F30*G30/1000)</f>
        <v>5.4076993880000011</v>
      </c>
      <c r="I30" s="13">
        <f t="shared" ref="I30:I34" si="2">F30/6*G30</f>
        <v>901.28323133333345</v>
      </c>
      <c r="J30" s="25"/>
      <c r="K30" s="8"/>
      <c r="L30" s="8"/>
      <c r="M30" s="8"/>
    </row>
    <row r="31" spans="1:13" ht="31.5" hidden="1" customHeight="1">
      <c r="A31" s="32">
        <v>9</v>
      </c>
      <c r="B31" s="69" t="s">
        <v>121</v>
      </c>
      <c r="C31" s="70" t="s">
        <v>90</v>
      </c>
      <c r="D31" s="69" t="s">
        <v>105</v>
      </c>
      <c r="E31" s="72">
        <v>457.48</v>
      </c>
      <c r="F31" s="72">
        <f>SUM(E31*78/1000)</f>
        <v>35.683440000000004</v>
      </c>
      <c r="G31" s="72">
        <v>258.63</v>
      </c>
      <c r="H31" s="73">
        <f t="shared" si="1"/>
        <v>9.2288080872000009</v>
      </c>
      <c r="I31" s="13">
        <f t="shared" si="2"/>
        <v>1538.1346812000002</v>
      </c>
      <c r="J31" s="25"/>
      <c r="K31" s="8"/>
      <c r="L31" s="8"/>
      <c r="M31" s="8"/>
    </row>
    <row r="32" spans="1:13" ht="15.75" hidden="1" customHeight="1">
      <c r="A32" s="32"/>
      <c r="B32" s="69" t="s">
        <v>27</v>
      </c>
      <c r="C32" s="70" t="s">
        <v>90</v>
      </c>
      <c r="D32" s="69" t="s">
        <v>54</v>
      </c>
      <c r="E32" s="72">
        <v>667.1</v>
      </c>
      <c r="F32" s="72">
        <f>SUM(E32/1000)</f>
        <v>0.66710000000000003</v>
      </c>
      <c r="G32" s="72">
        <v>3020.33</v>
      </c>
      <c r="H32" s="73">
        <f t="shared" si="1"/>
        <v>2.0148621430000002</v>
      </c>
      <c r="I32" s="13">
        <f>F32*G32</f>
        <v>2014.8621430000001</v>
      </c>
      <c r="J32" s="25"/>
      <c r="K32" s="8"/>
      <c r="L32" s="8"/>
      <c r="M32" s="8"/>
    </row>
    <row r="33" spans="1:14" ht="15.75" hidden="1" customHeight="1">
      <c r="A33" s="32">
        <v>10</v>
      </c>
      <c r="B33" s="69" t="s">
        <v>126</v>
      </c>
      <c r="C33" s="70" t="s">
        <v>41</v>
      </c>
      <c r="D33" s="69" t="s">
        <v>64</v>
      </c>
      <c r="E33" s="72">
        <v>1</v>
      </c>
      <c r="F33" s="72">
        <v>1.55</v>
      </c>
      <c r="G33" s="72">
        <v>1302.02</v>
      </c>
      <c r="H33" s="73">
        <f>G33*F33/1000</f>
        <v>2.0181309999999999</v>
      </c>
      <c r="I33" s="13">
        <f t="shared" si="2"/>
        <v>336.35516666666672</v>
      </c>
      <c r="J33" s="25"/>
      <c r="K33" s="8"/>
      <c r="L33" s="8"/>
      <c r="M33" s="8"/>
    </row>
    <row r="34" spans="1:14" ht="15.75" hidden="1" customHeight="1">
      <c r="A34" s="32">
        <v>11</v>
      </c>
      <c r="B34" s="69" t="s">
        <v>106</v>
      </c>
      <c r="C34" s="70" t="s">
        <v>31</v>
      </c>
      <c r="D34" s="69" t="s">
        <v>64</v>
      </c>
      <c r="E34" s="76">
        <v>0.33333333333333331</v>
      </c>
      <c r="F34" s="72">
        <f>155/3</f>
        <v>51.666666666666664</v>
      </c>
      <c r="G34" s="72">
        <v>56.69</v>
      </c>
      <c r="H34" s="73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69" t="s">
        <v>66</v>
      </c>
      <c r="C35" s="70" t="s">
        <v>33</v>
      </c>
      <c r="D35" s="69" t="s">
        <v>68</v>
      </c>
      <c r="E35" s="71"/>
      <c r="F35" s="72">
        <v>3</v>
      </c>
      <c r="G35" s="72">
        <v>191.32</v>
      </c>
      <c r="H35" s="73">
        <f t="shared" si="1"/>
        <v>0.57396000000000003</v>
      </c>
      <c r="I35" s="13">
        <v>0</v>
      </c>
      <c r="J35" s="26"/>
    </row>
    <row r="36" spans="1:14" ht="15.75" hidden="1" customHeight="1">
      <c r="A36" s="32"/>
      <c r="B36" s="69" t="s">
        <v>67</v>
      </c>
      <c r="C36" s="70" t="s">
        <v>32</v>
      </c>
      <c r="D36" s="69" t="s">
        <v>68</v>
      </c>
      <c r="E36" s="71"/>
      <c r="F36" s="72">
        <v>2</v>
      </c>
      <c r="G36" s="72">
        <v>1136.33</v>
      </c>
      <c r="H36" s="73">
        <f t="shared" si="1"/>
        <v>2.2726599999999997</v>
      </c>
      <c r="I36" s="13">
        <v>0</v>
      </c>
      <c r="J36" s="26"/>
    </row>
    <row r="37" spans="1:14" ht="15.75" customHeight="1">
      <c r="A37" s="32"/>
      <c r="B37" s="93" t="s">
        <v>5</v>
      </c>
      <c r="C37" s="70"/>
      <c r="D37" s="69"/>
      <c r="E37" s="71"/>
      <c r="F37" s="72"/>
      <c r="G37" s="72"/>
      <c r="H37" s="73" t="s">
        <v>125</v>
      </c>
      <c r="I37" s="13"/>
      <c r="J37" s="26"/>
    </row>
    <row r="38" spans="1:14" ht="15.75" customHeight="1">
      <c r="A38" s="32">
        <v>8</v>
      </c>
      <c r="B38" s="69" t="s">
        <v>26</v>
      </c>
      <c r="C38" s="70" t="s">
        <v>32</v>
      </c>
      <c r="D38" s="69"/>
      <c r="E38" s="71"/>
      <c r="F38" s="72">
        <v>10</v>
      </c>
      <c r="G38" s="72">
        <v>1527.22</v>
      </c>
      <c r="H38" s="73">
        <f t="shared" ref="H38:H43" si="3">SUM(F38*G38/1000)</f>
        <v>15.272200000000002</v>
      </c>
      <c r="I38" s="13">
        <f t="shared" ref="I38:I41" si="4">F38/6*G38</f>
        <v>2545.3666666666668</v>
      </c>
      <c r="J38" s="26"/>
    </row>
    <row r="39" spans="1:14" ht="15.75" customHeight="1">
      <c r="A39" s="32">
        <v>9</v>
      </c>
      <c r="B39" s="69" t="s">
        <v>108</v>
      </c>
      <c r="C39" s="70" t="s">
        <v>29</v>
      </c>
      <c r="D39" s="69" t="s">
        <v>130</v>
      </c>
      <c r="E39" s="71">
        <v>457.48</v>
      </c>
      <c r="F39" s="72">
        <f>E39*20/1000</f>
        <v>9.1495999999999995</v>
      </c>
      <c r="G39" s="72">
        <v>2102.71</v>
      </c>
      <c r="H39" s="73">
        <f t="shared" si="3"/>
        <v>19.238955416</v>
      </c>
      <c r="I39" s="13">
        <f t="shared" si="4"/>
        <v>3206.492569333333</v>
      </c>
      <c r="J39" s="26"/>
      <c r="L39" s="19"/>
      <c r="M39" s="20"/>
      <c r="N39" s="21"/>
    </row>
    <row r="40" spans="1:14" ht="15.75" customHeight="1">
      <c r="A40" s="32">
        <v>10</v>
      </c>
      <c r="B40" s="69" t="s">
        <v>69</v>
      </c>
      <c r="C40" s="70" t="s">
        <v>29</v>
      </c>
      <c r="D40" s="69" t="s">
        <v>89</v>
      </c>
      <c r="E40" s="72">
        <v>107.36</v>
      </c>
      <c r="F40" s="72">
        <f>SUM(E40*155/1000)</f>
        <v>16.640799999999999</v>
      </c>
      <c r="G40" s="72">
        <v>350.75</v>
      </c>
      <c r="H40" s="73">
        <f t="shared" si="3"/>
        <v>5.8367605999999999</v>
      </c>
      <c r="I40" s="13">
        <f t="shared" si="4"/>
        <v>972.79343333333316</v>
      </c>
      <c r="J40" s="26"/>
      <c r="L40" s="19"/>
      <c r="M40" s="20"/>
      <c r="N40" s="21"/>
    </row>
    <row r="41" spans="1:14" ht="48" customHeight="1">
      <c r="A41" s="32">
        <v>11</v>
      </c>
      <c r="B41" s="69" t="s">
        <v>83</v>
      </c>
      <c r="C41" s="70" t="s">
        <v>90</v>
      </c>
      <c r="D41" s="69" t="s">
        <v>131</v>
      </c>
      <c r="E41" s="72">
        <v>24</v>
      </c>
      <c r="F41" s="72">
        <f>SUM(E41*50/1000)</f>
        <v>1.2</v>
      </c>
      <c r="G41" s="72">
        <v>5803.28</v>
      </c>
      <c r="H41" s="73">
        <f t="shared" si="3"/>
        <v>6.9639359999999995</v>
      </c>
      <c r="I41" s="13">
        <f t="shared" si="4"/>
        <v>1160.6559999999999</v>
      </c>
      <c r="J41" s="26"/>
      <c r="L41" s="19"/>
      <c r="M41" s="20"/>
      <c r="N41" s="21"/>
    </row>
    <row r="42" spans="1:14" ht="15.75" customHeight="1">
      <c r="A42" s="32">
        <v>12</v>
      </c>
      <c r="B42" s="69" t="s">
        <v>91</v>
      </c>
      <c r="C42" s="70" t="s">
        <v>90</v>
      </c>
      <c r="D42" s="69" t="s">
        <v>70</v>
      </c>
      <c r="E42" s="72">
        <v>123.36</v>
      </c>
      <c r="F42" s="72">
        <f>SUM(E42*45/1000)</f>
        <v>5.5511999999999997</v>
      </c>
      <c r="G42" s="72">
        <v>428.7</v>
      </c>
      <c r="H42" s="73">
        <f t="shared" si="3"/>
        <v>2.3797994399999998</v>
      </c>
      <c r="I42" s="13">
        <f>F42/7.5*G42</f>
        <v>317.30659199999997</v>
      </c>
      <c r="J42" s="26"/>
      <c r="L42" s="19"/>
      <c r="M42" s="20"/>
      <c r="N42" s="21"/>
    </row>
    <row r="43" spans="1:14" ht="15.75" customHeight="1">
      <c r="A43" s="32">
        <v>13</v>
      </c>
      <c r="B43" s="69" t="s">
        <v>71</v>
      </c>
      <c r="C43" s="70" t="s">
        <v>33</v>
      </c>
      <c r="D43" s="69"/>
      <c r="E43" s="71"/>
      <c r="F43" s="72">
        <v>0.9</v>
      </c>
      <c r="G43" s="72">
        <v>798</v>
      </c>
      <c r="H43" s="73">
        <f t="shared" si="3"/>
        <v>0.71820000000000006</v>
      </c>
      <c r="I43" s="13">
        <f>F43/7.5*G43</f>
        <v>95.76</v>
      </c>
      <c r="J43" s="26"/>
      <c r="L43" s="19"/>
      <c r="M43" s="20"/>
      <c r="N43" s="21"/>
    </row>
    <row r="44" spans="1:14" ht="15.75" customHeight="1">
      <c r="A44" s="243" t="s">
        <v>137</v>
      </c>
      <c r="B44" s="244"/>
      <c r="C44" s="244"/>
      <c r="D44" s="244"/>
      <c r="E44" s="244"/>
      <c r="F44" s="244"/>
      <c r="G44" s="244"/>
      <c r="H44" s="244"/>
      <c r="I44" s="245"/>
      <c r="J44" s="26"/>
      <c r="L44" s="19"/>
      <c r="M44" s="20"/>
      <c r="N44" s="21"/>
    </row>
    <row r="45" spans="1:14" ht="15.75" hidden="1" customHeight="1">
      <c r="A45" s="32"/>
      <c r="B45" s="69" t="s">
        <v>132</v>
      </c>
      <c r="C45" s="70" t="s">
        <v>90</v>
      </c>
      <c r="D45" s="69" t="s">
        <v>43</v>
      </c>
      <c r="E45" s="71">
        <v>1197.75</v>
      </c>
      <c r="F45" s="72">
        <f>SUM(E45*2/1000)</f>
        <v>2.3955000000000002</v>
      </c>
      <c r="G45" s="13">
        <v>809.74</v>
      </c>
      <c r="H45" s="73">
        <f t="shared" ref="H45:H54" si="5">SUM(F45*G45/1000)</f>
        <v>1.9397321700000003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69" t="s">
        <v>36</v>
      </c>
      <c r="C46" s="70" t="s">
        <v>90</v>
      </c>
      <c r="D46" s="69" t="s">
        <v>43</v>
      </c>
      <c r="E46" s="71">
        <v>52</v>
      </c>
      <c r="F46" s="72">
        <f>E46*2/1000</f>
        <v>0.104</v>
      </c>
      <c r="G46" s="13">
        <v>457.4</v>
      </c>
      <c r="H46" s="73">
        <f t="shared" si="5"/>
        <v>4.7569599999999997E-2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69" t="s">
        <v>37</v>
      </c>
      <c r="C47" s="70" t="s">
        <v>90</v>
      </c>
      <c r="D47" s="69" t="s">
        <v>43</v>
      </c>
      <c r="E47" s="71">
        <v>1056.5999999999999</v>
      </c>
      <c r="F47" s="72">
        <f>SUM(E47*2/1000)</f>
        <v>2.1132</v>
      </c>
      <c r="G47" s="13">
        <v>579.48</v>
      </c>
      <c r="H47" s="73">
        <f t="shared" si="5"/>
        <v>1.224557136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69" t="s">
        <v>38</v>
      </c>
      <c r="C48" s="70" t="s">
        <v>90</v>
      </c>
      <c r="D48" s="69" t="s">
        <v>43</v>
      </c>
      <c r="E48" s="71">
        <v>2582</v>
      </c>
      <c r="F48" s="72">
        <f>SUM(E48*2/1000)</f>
        <v>5.1639999999999997</v>
      </c>
      <c r="G48" s="13">
        <v>606.77</v>
      </c>
      <c r="H48" s="73">
        <f t="shared" si="5"/>
        <v>3.1333602799999998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69" t="s">
        <v>34</v>
      </c>
      <c r="C49" s="70" t="s">
        <v>35</v>
      </c>
      <c r="D49" s="69" t="s">
        <v>43</v>
      </c>
      <c r="E49" s="71">
        <v>1676.85</v>
      </c>
      <c r="F49" s="72">
        <f>SUM(E49*2/100)</f>
        <v>33.536999999999999</v>
      </c>
      <c r="G49" s="13">
        <v>72.81</v>
      </c>
      <c r="H49" s="73">
        <f t="shared" si="5"/>
        <v>2.44182897</v>
      </c>
      <c r="I49" s="13">
        <v>0</v>
      </c>
      <c r="J49" s="26"/>
      <c r="L49" s="19"/>
      <c r="M49" s="20"/>
      <c r="N49" s="21"/>
    </row>
    <row r="50" spans="1:22" ht="15.75" customHeight="1">
      <c r="A50" s="32">
        <v>14</v>
      </c>
      <c r="B50" s="69" t="s">
        <v>57</v>
      </c>
      <c r="C50" s="70" t="s">
        <v>90</v>
      </c>
      <c r="D50" s="69" t="s">
        <v>148</v>
      </c>
      <c r="E50" s="71">
        <v>1916.4</v>
      </c>
      <c r="F50" s="72">
        <f>SUM(E50*5/1000)</f>
        <v>9.5820000000000007</v>
      </c>
      <c r="G50" s="13">
        <v>1213.55</v>
      </c>
      <c r="H50" s="73">
        <f t="shared" si="5"/>
        <v>11.628236100000001</v>
      </c>
      <c r="I50" s="13">
        <f>F50/5*G50</f>
        <v>2325.6472199999998</v>
      </c>
      <c r="J50" s="26"/>
      <c r="L50" s="19"/>
      <c r="M50" s="20"/>
      <c r="N50" s="21"/>
    </row>
    <row r="51" spans="1:22" ht="31.5" hidden="1" customHeight="1">
      <c r="A51" s="32"/>
      <c r="B51" s="69" t="s">
        <v>92</v>
      </c>
      <c r="C51" s="70" t="s">
        <v>90</v>
      </c>
      <c r="D51" s="69" t="s">
        <v>43</v>
      </c>
      <c r="E51" s="71">
        <v>1916.4</v>
      </c>
      <c r="F51" s="72">
        <f>SUM(E51*2/1000)</f>
        <v>3.8328000000000002</v>
      </c>
      <c r="G51" s="13">
        <v>1213.55</v>
      </c>
      <c r="H51" s="73">
        <f t="shared" si="5"/>
        <v>4.65129444</v>
      </c>
      <c r="I51" s="13">
        <f t="shared" ref="I51:I52" si="6">F51/5*G51</f>
        <v>930.25888799999996</v>
      </c>
      <c r="J51" s="26"/>
      <c r="L51" s="19"/>
      <c r="M51" s="20"/>
      <c r="N51" s="21"/>
    </row>
    <row r="52" spans="1:22" ht="31.5" hidden="1" customHeight="1">
      <c r="A52" s="32"/>
      <c r="B52" s="69" t="s">
        <v>93</v>
      </c>
      <c r="C52" s="70" t="s">
        <v>39</v>
      </c>
      <c r="D52" s="69" t="s">
        <v>43</v>
      </c>
      <c r="E52" s="71">
        <v>20</v>
      </c>
      <c r="F52" s="72">
        <f>SUM(E52*2/100)</f>
        <v>0.4</v>
      </c>
      <c r="G52" s="13">
        <v>2730.49</v>
      </c>
      <c r="H52" s="73">
        <f t="shared" si="5"/>
        <v>1.0921959999999999</v>
      </c>
      <c r="I52" s="13">
        <f t="shared" si="6"/>
        <v>218.4392</v>
      </c>
      <c r="J52" s="26"/>
      <c r="L52" s="19"/>
      <c r="M52" s="20"/>
      <c r="N52" s="21"/>
    </row>
    <row r="53" spans="1:22" ht="15.75" hidden="1" customHeight="1">
      <c r="A53" s="32">
        <v>15</v>
      </c>
      <c r="B53" s="69" t="s">
        <v>40</v>
      </c>
      <c r="C53" s="70" t="s">
        <v>41</v>
      </c>
      <c r="D53" s="69" t="s">
        <v>43</v>
      </c>
      <c r="E53" s="71">
        <v>1</v>
      </c>
      <c r="F53" s="72">
        <v>0.02</v>
      </c>
      <c r="G53" s="13">
        <v>5652.13</v>
      </c>
      <c r="H53" s="73">
        <f t="shared" si="5"/>
        <v>0.11304260000000001</v>
      </c>
      <c r="I53" s="13">
        <f>F53/2*G53</f>
        <v>56.521300000000004</v>
      </c>
      <c r="J53" s="26"/>
      <c r="L53" s="19"/>
      <c r="M53" s="20"/>
      <c r="N53" s="21"/>
    </row>
    <row r="54" spans="1:22" ht="15.75" hidden="1" customHeight="1">
      <c r="A54" s="32">
        <v>15</v>
      </c>
      <c r="B54" s="69" t="s">
        <v>42</v>
      </c>
      <c r="C54" s="70" t="s">
        <v>109</v>
      </c>
      <c r="D54" s="69" t="s">
        <v>72</v>
      </c>
      <c r="E54" s="71">
        <v>120</v>
      </c>
      <c r="F54" s="72">
        <f>SUM(E54)*3</f>
        <v>360</v>
      </c>
      <c r="G54" s="13">
        <v>65.67</v>
      </c>
      <c r="H54" s="73">
        <f t="shared" si="5"/>
        <v>23.641200000000001</v>
      </c>
      <c r="I54" s="13">
        <f>E54*G54</f>
        <v>7880.4000000000005</v>
      </c>
      <c r="J54" s="26"/>
      <c r="L54" s="19"/>
      <c r="M54" s="20"/>
      <c r="N54" s="21"/>
    </row>
    <row r="55" spans="1:22" ht="15.75" customHeight="1">
      <c r="A55" s="243" t="s">
        <v>138</v>
      </c>
      <c r="B55" s="244"/>
      <c r="C55" s="244"/>
      <c r="D55" s="244"/>
      <c r="E55" s="244"/>
      <c r="F55" s="244"/>
      <c r="G55" s="244"/>
      <c r="H55" s="244"/>
      <c r="I55" s="245"/>
      <c r="J55" s="26"/>
      <c r="L55" s="19"/>
      <c r="M55" s="20"/>
      <c r="N55" s="21"/>
    </row>
    <row r="56" spans="1:22" ht="15.75" hidden="1" customHeight="1">
      <c r="A56" s="32"/>
      <c r="B56" s="93" t="s">
        <v>44</v>
      </c>
      <c r="C56" s="70"/>
      <c r="D56" s="69"/>
      <c r="E56" s="71"/>
      <c r="F56" s="72"/>
      <c r="G56" s="72"/>
      <c r="H56" s="73"/>
      <c r="I56" s="13"/>
      <c r="J56" s="26"/>
      <c r="L56" s="19"/>
      <c r="M56" s="20"/>
      <c r="N56" s="21"/>
    </row>
    <row r="57" spans="1:22" ht="31.5" hidden="1" customHeight="1">
      <c r="A57" s="32">
        <v>15</v>
      </c>
      <c r="B57" s="69" t="s">
        <v>124</v>
      </c>
      <c r="C57" s="70" t="s">
        <v>88</v>
      </c>
      <c r="D57" s="69" t="s">
        <v>110</v>
      </c>
      <c r="E57" s="71">
        <v>131.77500000000001</v>
      </c>
      <c r="F57" s="72">
        <f>SUM(E57*6/100)</f>
        <v>7.9065000000000012</v>
      </c>
      <c r="G57" s="13">
        <v>1547.28</v>
      </c>
      <c r="H57" s="73">
        <f>SUM(F57*G57/1000)</f>
        <v>12.233569320000003</v>
      </c>
      <c r="I57" s="13">
        <f>F57/6*G57</f>
        <v>2038.9282200000002</v>
      </c>
      <c r="J57" s="26"/>
      <c r="L57" s="19"/>
      <c r="M57" s="20"/>
      <c r="N57" s="21"/>
    </row>
    <row r="58" spans="1:22" ht="15.75" customHeight="1">
      <c r="A58" s="32"/>
      <c r="B58" s="94" t="s">
        <v>45</v>
      </c>
      <c r="C58" s="78"/>
      <c r="D58" s="79"/>
      <c r="E58" s="80"/>
      <c r="F58" s="82"/>
      <c r="G58" s="13"/>
      <c r="H58" s="83"/>
      <c r="I58" s="13"/>
      <c r="J58" s="26"/>
      <c r="L58" s="19"/>
      <c r="M58" s="20"/>
      <c r="N58" s="21"/>
    </row>
    <row r="59" spans="1:22" ht="15.75" hidden="1" customHeight="1">
      <c r="A59" s="32"/>
      <c r="B59" s="79" t="s">
        <v>133</v>
      </c>
      <c r="C59" s="78" t="s">
        <v>53</v>
      </c>
      <c r="D59" s="79" t="s">
        <v>54</v>
      </c>
      <c r="E59" s="80">
        <v>890</v>
      </c>
      <c r="F59" s="82">
        <v>8.9</v>
      </c>
      <c r="G59" s="13">
        <v>793.61</v>
      </c>
      <c r="H59" s="83">
        <f>F59*G59/1000</f>
        <v>7.0631290000000009</v>
      </c>
      <c r="I59" s="13">
        <v>0</v>
      </c>
      <c r="J59" s="26"/>
      <c r="L59" s="19"/>
    </row>
    <row r="60" spans="1:22" ht="15.75" hidden="1" customHeight="1">
      <c r="A60" s="32"/>
      <c r="B60" s="79" t="s">
        <v>134</v>
      </c>
      <c r="C60" s="78" t="s">
        <v>53</v>
      </c>
      <c r="D60" s="79" t="s">
        <v>54</v>
      </c>
      <c r="E60" s="80">
        <v>890</v>
      </c>
      <c r="F60" s="82">
        <v>8.9</v>
      </c>
      <c r="G60" s="13">
        <v>793.61</v>
      </c>
      <c r="H60" s="83">
        <f>F60*G60/1000</f>
        <v>7.0631290000000009</v>
      </c>
      <c r="I60" s="13">
        <v>0</v>
      </c>
    </row>
    <row r="61" spans="1:22" ht="15.75" customHeight="1">
      <c r="A61" s="32">
        <v>15</v>
      </c>
      <c r="B61" s="52" t="s">
        <v>122</v>
      </c>
      <c r="C61" s="101" t="s">
        <v>25</v>
      </c>
      <c r="D61" s="52" t="s">
        <v>30</v>
      </c>
      <c r="E61" s="98">
        <v>160</v>
      </c>
      <c r="F61" s="99">
        <f>E61*12</f>
        <v>1920</v>
      </c>
      <c r="G61" s="102">
        <v>1.2</v>
      </c>
      <c r="H61" s="83">
        <f>F61*G61/1000</f>
        <v>2.3039999999999998</v>
      </c>
      <c r="I61" s="13">
        <f>F61/12*G61</f>
        <v>192</v>
      </c>
    </row>
    <row r="62" spans="1:22" ht="15.75" hidden="1" customHeight="1">
      <c r="A62" s="32"/>
      <c r="B62" s="94" t="s">
        <v>46</v>
      </c>
      <c r="C62" s="78"/>
      <c r="D62" s="79"/>
      <c r="E62" s="80"/>
      <c r="F62" s="81"/>
      <c r="G62" s="81"/>
      <c r="H62" s="82" t="s">
        <v>125</v>
      </c>
      <c r="I62" s="13"/>
    </row>
    <row r="63" spans="1:22" ht="15.75" hidden="1" customHeight="1">
      <c r="A63" s="32"/>
      <c r="B63" s="14" t="s">
        <v>47</v>
      </c>
      <c r="C63" s="16" t="s">
        <v>109</v>
      </c>
      <c r="D63" s="14" t="s">
        <v>142</v>
      </c>
      <c r="E63" s="18">
        <v>15</v>
      </c>
      <c r="F63" s="72">
        <v>15</v>
      </c>
      <c r="G63" s="13">
        <v>222.4</v>
      </c>
      <c r="H63" s="84">
        <f t="shared" ref="H63:H76" si="7">SUM(F63*G63/1000)</f>
        <v>3.3359999999999999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2"/>
      <c r="B64" s="14" t="s">
        <v>48</v>
      </c>
      <c r="C64" s="16" t="s">
        <v>109</v>
      </c>
      <c r="D64" s="14" t="s">
        <v>142</v>
      </c>
      <c r="E64" s="18">
        <v>8</v>
      </c>
      <c r="F64" s="72">
        <v>8</v>
      </c>
      <c r="G64" s="13">
        <v>76.25</v>
      </c>
      <c r="H64" s="84">
        <f t="shared" si="7"/>
        <v>0.61</v>
      </c>
      <c r="I64" s="13">
        <v>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14" t="s">
        <v>49</v>
      </c>
      <c r="C65" s="16" t="s">
        <v>111</v>
      </c>
      <c r="D65" s="14" t="s">
        <v>54</v>
      </c>
      <c r="E65" s="71">
        <v>14220</v>
      </c>
      <c r="F65" s="13">
        <f>SUM(E65/100)</f>
        <v>142.19999999999999</v>
      </c>
      <c r="G65" s="13">
        <v>212.15</v>
      </c>
      <c r="H65" s="84">
        <f t="shared" si="7"/>
        <v>30.167729999999999</v>
      </c>
      <c r="I65" s="13">
        <f>F65*G65</f>
        <v>30167.73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/>
      <c r="B66" s="14" t="s">
        <v>50</v>
      </c>
      <c r="C66" s="16" t="s">
        <v>112</v>
      </c>
      <c r="D66" s="14"/>
      <c r="E66" s="71">
        <v>14220</v>
      </c>
      <c r="F66" s="13">
        <f>SUM(E66/1000)</f>
        <v>14.22</v>
      </c>
      <c r="G66" s="13">
        <v>165.21</v>
      </c>
      <c r="H66" s="84">
        <f t="shared" si="7"/>
        <v>2.3492861999999999</v>
      </c>
      <c r="I66" s="13">
        <f t="shared" ref="I66:I70" si="8">F66*G66</f>
        <v>2349.2862</v>
      </c>
      <c r="J66" s="5"/>
      <c r="K66" s="5"/>
      <c r="L66" s="5"/>
      <c r="M66" s="5"/>
      <c r="N66" s="5"/>
      <c r="O66" s="5"/>
      <c r="P66" s="5"/>
      <c r="Q66" s="5"/>
      <c r="R66" s="219"/>
      <c r="S66" s="219"/>
      <c r="T66" s="219"/>
      <c r="U66" s="219"/>
    </row>
    <row r="67" spans="1:21" ht="15.75" hidden="1" customHeight="1">
      <c r="A67" s="32"/>
      <c r="B67" s="14" t="s">
        <v>51</v>
      </c>
      <c r="C67" s="16" t="s">
        <v>78</v>
      </c>
      <c r="D67" s="14" t="s">
        <v>54</v>
      </c>
      <c r="E67" s="71">
        <v>2260</v>
      </c>
      <c r="F67" s="13">
        <f>SUM(E67/100)</f>
        <v>22.6</v>
      </c>
      <c r="G67" s="13">
        <v>2074.63</v>
      </c>
      <c r="H67" s="84">
        <f t="shared" si="7"/>
        <v>46.886638000000005</v>
      </c>
      <c r="I67" s="13">
        <f t="shared" si="8"/>
        <v>46886.638000000006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85" t="s">
        <v>113</v>
      </c>
      <c r="C68" s="16" t="s">
        <v>33</v>
      </c>
      <c r="D68" s="14"/>
      <c r="E68" s="71">
        <v>11</v>
      </c>
      <c r="F68" s="13">
        <f>SUM(E68)</f>
        <v>11</v>
      </c>
      <c r="G68" s="13">
        <v>45.32</v>
      </c>
      <c r="H68" s="84">
        <f t="shared" si="7"/>
        <v>0.49851999999999996</v>
      </c>
      <c r="I68" s="13">
        <f t="shared" si="8"/>
        <v>498.52</v>
      </c>
    </row>
    <row r="69" spans="1:21" ht="15.75" hidden="1" customHeight="1">
      <c r="A69" s="32"/>
      <c r="B69" s="85" t="s">
        <v>114</v>
      </c>
      <c r="C69" s="16" t="s">
        <v>33</v>
      </c>
      <c r="D69" s="14"/>
      <c r="E69" s="71">
        <v>11</v>
      </c>
      <c r="F69" s="13">
        <f>SUM(E69)</f>
        <v>11</v>
      </c>
      <c r="G69" s="13">
        <v>42.28</v>
      </c>
      <c r="H69" s="84">
        <f t="shared" si="7"/>
        <v>0.46508000000000005</v>
      </c>
      <c r="I69" s="13">
        <f t="shared" si="8"/>
        <v>465.08000000000004</v>
      </c>
    </row>
    <row r="70" spans="1:21" ht="15.75" hidden="1" customHeight="1">
      <c r="A70" s="32"/>
      <c r="B70" s="14" t="s">
        <v>58</v>
      </c>
      <c r="C70" s="16" t="s">
        <v>59</v>
      </c>
      <c r="D70" s="14" t="s">
        <v>54</v>
      </c>
      <c r="E70" s="18">
        <v>8</v>
      </c>
      <c r="F70" s="72">
        <v>8</v>
      </c>
      <c r="G70" s="13">
        <v>49.88</v>
      </c>
      <c r="H70" s="84">
        <f t="shared" si="7"/>
        <v>0.39904000000000001</v>
      </c>
      <c r="I70" s="13">
        <f t="shared" si="8"/>
        <v>399.04</v>
      </c>
    </row>
    <row r="71" spans="1:21" ht="15.75" hidden="1" customHeight="1">
      <c r="A71" s="32"/>
      <c r="B71" s="59" t="s">
        <v>73</v>
      </c>
      <c r="C71" s="16"/>
      <c r="D71" s="14"/>
      <c r="E71" s="18"/>
      <c r="F71" s="13"/>
      <c r="G71" s="13"/>
      <c r="H71" s="84" t="s">
        <v>125</v>
      </c>
      <c r="I71" s="13"/>
    </row>
    <row r="72" spans="1:21" ht="15.75" hidden="1" customHeight="1">
      <c r="A72" s="32"/>
      <c r="B72" s="14" t="s">
        <v>74</v>
      </c>
      <c r="C72" s="16" t="s">
        <v>76</v>
      </c>
      <c r="D72" s="14"/>
      <c r="E72" s="18">
        <v>2</v>
      </c>
      <c r="F72" s="13">
        <v>0.2</v>
      </c>
      <c r="G72" s="13">
        <v>501.62</v>
      </c>
      <c r="H72" s="84">
        <f t="shared" si="7"/>
        <v>0.10032400000000001</v>
      </c>
      <c r="I72" s="13">
        <v>0</v>
      </c>
    </row>
    <row r="73" spans="1:21" ht="15.75" hidden="1" customHeight="1">
      <c r="A73" s="32"/>
      <c r="B73" s="14" t="s">
        <v>75</v>
      </c>
      <c r="C73" s="16" t="s">
        <v>31</v>
      </c>
      <c r="D73" s="14"/>
      <c r="E73" s="18">
        <v>1</v>
      </c>
      <c r="F73" s="63">
        <v>1</v>
      </c>
      <c r="G73" s="13">
        <v>852.99</v>
      </c>
      <c r="H73" s="84">
        <f>F73*G73/1000</f>
        <v>0.85299000000000003</v>
      </c>
      <c r="I73" s="13">
        <v>0</v>
      </c>
    </row>
    <row r="74" spans="1:21" ht="15.75" hidden="1" customHeight="1">
      <c r="A74" s="32"/>
      <c r="B74" s="14" t="s">
        <v>116</v>
      </c>
      <c r="C74" s="16" t="s">
        <v>31</v>
      </c>
      <c r="D74" s="14"/>
      <c r="E74" s="18">
        <v>1</v>
      </c>
      <c r="F74" s="13">
        <v>1</v>
      </c>
      <c r="G74" s="13">
        <v>358.51</v>
      </c>
      <c r="H74" s="84">
        <f>G74*F74/1000</f>
        <v>0.35851</v>
      </c>
      <c r="I74" s="13">
        <v>0</v>
      </c>
    </row>
    <row r="75" spans="1:21" ht="15.75" hidden="1" customHeight="1">
      <c r="A75" s="32"/>
      <c r="B75" s="87" t="s">
        <v>77</v>
      </c>
      <c r="C75" s="16"/>
      <c r="D75" s="14"/>
      <c r="E75" s="18"/>
      <c r="F75" s="13"/>
      <c r="G75" s="13" t="s">
        <v>125</v>
      </c>
      <c r="H75" s="84" t="s">
        <v>125</v>
      </c>
      <c r="I75" s="13"/>
    </row>
    <row r="76" spans="1:21" ht="15.75" hidden="1" customHeight="1">
      <c r="A76" s="32"/>
      <c r="B76" s="46" t="s">
        <v>123</v>
      </c>
      <c r="C76" s="16" t="s">
        <v>78</v>
      </c>
      <c r="D76" s="14"/>
      <c r="E76" s="18"/>
      <c r="F76" s="13">
        <v>0.1</v>
      </c>
      <c r="G76" s="13">
        <v>2759.44</v>
      </c>
      <c r="H76" s="84">
        <f t="shared" si="7"/>
        <v>0.27594400000000002</v>
      </c>
      <c r="I76" s="13">
        <v>0</v>
      </c>
    </row>
    <row r="77" spans="1:21" ht="15.75" hidden="1" customHeight="1">
      <c r="A77" s="32"/>
      <c r="B77" s="97" t="s">
        <v>94</v>
      </c>
      <c r="C77" s="97"/>
      <c r="D77" s="97"/>
      <c r="E77" s="97"/>
      <c r="F77" s="97"/>
      <c r="G77" s="75"/>
      <c r="H77" s="88">
        <f>SUM(H57:H76)</f>
        <v>114.96388952</v>
      </c>
      <c r="I77" s="75"/>
    </row>
    <row r="78" spans="1:21" ht="15.75" hidden="1" customHeight="1">
      <c r="A78" s="32"/>
      <c r="B78" s="95" t="s">
        <v>115</v>
      </c>
      <c r="C78" s="23"/>
      <c r="D78" s="22"/>
      <c r="E78" s="64"/>
      <c r="F78" s="96">
        <v>1</v>
      </c>
      <c r="G78" s="13">
        <v>10966.5</v>
      </c>
      <c r="H78" s="84">
        <f>G78*F78/1000</f>
        <v>10.9665</v>
      </c>
      <c r="I78" s="13">
        <v>0</v>
      </c>
    </row>
    <row r="79" spans="1:21" ht="15.75" customHeight="1">
      <c r="A79" s="220" t="s">
        <v>139</v>
      </c>
      <c r="B79" s="221"/>
      <c r="C79" s="221"/>
      <c r="D79" s="221"/>
      <c r="E79" s="221"/>
      <c r="F79" s="221"/>
      <c r="G79" s="221"/>
      <c r="H79" s="221"/>
      <c r="I79" s="222"/>
    </row>
    <row r="80" spans="1:21" ht="15.75" customHeight="1">
      <c r="A80" s="32">
        <v>16</v>
      </c>
      <c r="B80" s="69" t="s">
        <v>117</v>
      </c>
      <c r="C80" s="16" t="s">
        <v>55</v>
      </c>
      <c r="D80" s="62" t="s">
        <v>56</v>
      </c>
      <c r="E80" s="13">
        <v>3382.7</v>
      </c>
      <c r="F80" s="13">
        <f>SUM(E80*12)</f>
        <v>40592.399999999994</v>
      </c>
      <c r="G80" s="13">
        <v>2.1</v>
      </c>
      <c r="H80" s="84">
        <f>SUM(F80*G80/1000)</f>
        <v>85.244039999999998</v>
      </c>
      <c r="I80" s="13">
        <f>F80/12*G80</f>
        <v>7103.6699999999992</v>
      </c>
    </row>
    <row r="81" spans="1:9" ht="31.5" customHeight="1">
      <c r="A81" s="32">
        <v>17</v>
      </c>
      <c r="B81" s="14" t="s">
        <v>79</v>
      </c>
      <c r="C81" s="16"/>
      <c r="D81" s="62" t="s">
        <v>56</v>
      </c>
      <c r="E81" s="71">
        <f>E80</f>
        <v>3382.7</v>
      </c>
      <c r="F81" s="13">
        <f>E81*12</f>
        <v>40592.399999999994</v>
      </c>
      <c r="G81" s="13">
        <v>1.63</v>
      </c>
      <c r="H81" s="84">
        <f>F81*G81/1000</f>
        <v>66.165611999999982</v>
      </c>
      <c r="I81" s="13">
        <f>F81/12*G81</f>
        <v>5513.8009999999986</v>
      </c>
    </row>
    <row r="82" spans="1:9" ht="15.75" customHeight="1">
      <c r="A82" s="32"/>
      <c r="B82" s="39" t="s">
        <v>81</v>
      </c>
      <c r="C82" s="87"/>
      <c r="D82" s="86"/>
      <c r="E82" s="75"/>
      <c r="F82" s="75"/>
      <c r="G82" s="75"/>
      <c r="H82" s="88">
        <f>H81</f>
        <v>66.165611999999982</v>
      </c>
      <c r="I82" s="75">
        <f>I81+I80+I61+I50+I43+I42+I41+I40+I39+I38+I27+I26+I21+I20+I18+I17+I16</f>
        <v>47717.682051333322</v>
      </c>
    </row>
    <row r="83" spans="1:9" ht="15.75" customHeight="1">
      <c r="A83" s="234" t="s">
        <v>61</v>
      </c>
      <c r="B83" s="235"/>
      <c r="C83" s="235"/>
      <c r="D83" s="235"/>
      <c r="E83" s="235"/>
      <c r="F83" s="235"/>
      <c r="G83" s="235"/>
      <c r="H83" s="235"/>
      <c r="I83" s="236"/>
    </row>
    <row r="84" spans="1:9" ht="31.5" customHeight="1">
      <c r="A84" s="32">
        <v>18</v>
      </c>
      <c r="B84" s="51" t="s">
        <v>143</v>
      </c>
      <c r="C84" s="53" t="s">
        <v>136</v>
      </c>
      <c r="D84" s="14"/>
      <c r="E84" s="18"/>
      <c r="F84" s="13">
        <v>4</v>
      </c>
      <c r="G84" s="13">
        <v>613.44000000000005</v>
      </c>
      <c r="H84" s="84">
        <f t="shared" ref="H84:H85" si="9">G84*F84/1000</f>
        <v>2.4537600000000004</v>
      </c>
      <c r="I84" s="13">
        <f>G84*2</f>
        <v>1226.8800000000001</v>
      </c>
    </row>
    <row r="85" spans="1:9" ht="15.75" customHeight="1">
      <c r="A85" s="32" t="s">
        <v>231</v>
      </c>
      <c r="B85" s="51" t="s">
        <v>128</v>
      </c>
      <c r="C85" s="68" t="s">
        <v>109</v>
      </c>
      <c r="D85" s="79"/>
      <c r="E85" s="80"/>
      <c r="F85" s="81">
        <v>122</v>
      </c>
      <c r="G85" s="89">
        <v>55.55</v>
      </c>
      <c r="H85" s="84">
        <f t="shared" si="9"/>
        <v>6.777099999999999</v>
      </c>
      <c r="I85" s="89">
        <f>G85*61</f>
        <v>3388.5499999999997</v>
      </c>
    </row>
    <row r="86" spans="1:9" ht="15.75" customHeight="1">
      <c r="A86" s="32"/>
      <c r="B86" s="44" t="s">
        <v>52</v>
      </c>
      <c r="C86" s="40"/>
      <c r="D86" s="47"/>
      <c r="E86" s="40">
        <v>1</v>
      </c>
      <c r="F86" s="40"/>
      <c r="G86" s="40"/>
      <c r="H86" s="40"/>
      <c r="I86" s="34">
        <f>SUM(I84:I85)-I85</f>
        <v>1226.8800000000006</v>
      </c>
    </row>
    <row r="87" spans="1:9" ht="15.75" customHeight="1">
      <c r="A87" s="32"/>
      <c r="B87" s="46" t="s">
        <v>80</v>
      </c>
      <c r="C87" s="15"/>
      <c r="D87" s="15"/>
      <c r="E87" s="41"/>
      <c r="F87" s="41"/>
      <c r="G87" s="42"/>
      <c r="H87" s="42"/>
      <c r="I87" s="17">
        <v>0</v>
      </c>
    </row>
    <row r="88" spans="1:9" ht="15.75" customHeight="1">
      <c r="A88" s="48"/>
      <c r="B88" s="45" t="s">
        <v>157</v>
      </c>
      <c r="C88" s="35"/>
      <c r="D88" s="35"/>
      <c r="E88" s="35"/>
      <c r="F88" s="35"/>
      <c r="G88" s="35"/>
      <c r="H88" s="35"/>
      <c r="I88" s="43">
        <f>I82+I86</f>
        <v>48944.56205133332</v>
      </c>
    </row>
    <row r="89" spans="1:9" ht="15.75" customHeight="1">
      <c r="A89" s="231" t="s">
        <v>232</v>
      </c>
      <c r="B89" s="232"/>
      <c r="C89" s="232"/>
      <c r="D89" s="232"/>
      <c r="E89" s="232"/>
      <c r="F89" s="232"/>
      <c r="G89" s="232"/>
      <c r="H89" s="232"/>
      <c r="I89" s="232"/>
    </row>
    <row r="90" spans="1:9" ht="15.75" customHeight="1">
      <c r="A90" s="223" t="s">
        <v>237</v>
      </c>
      <c r="B90" s="223"/>
      <c r="C90" s="223"/>
      <c r="D90" s="223"/>
      <c r="E90" s="223"/>
      <c r="F90" s="223"/>
      <c r="G90" s="223"/>
      <c r="H90" s="223"/>
      <c r="I90" s="223"/>
    </row>
    <row r="91" spans="1:9" ht="15.75" customHeight="1">
      <c r="A91" s="61"/>
      <c r="B91" s="224" t="s">
        <v>238</v>
      </c>
      <c r="C91" s="224"/>
      <c r="D91" s="224"/>
      <c r="E91" s="224"/>
      <c r="F91" s="224"/>
      <c r="G91" s="224"/>
      <c r="H91" s="67"/>
      <c r="I91" s="3"/>
    </row>
    <row r="92" spans="1:9">
      <c r="A92" s="49"/>
      <c r="B92" s="225" t="s">
        <v>6</v>
      </c>
      <c r="C92" s="225"/>
      <c r="D92" s="225"/>
      <c r="E92" s="225"/>
      <c r="F92" s="225"/>
      <c r="G92" s="225"/>
      <c r="H92" s="27"/>
      <c r="I92" s="50"/>
    </row>
    <row r="93" spans="1:9" ht="15.75" customHeight="1">
      <c r="A93" s="54"/>
      <c r="B93" s="54"/>
      <c r="C93" s="54"/>
      <c r="D93" s="54"/>
      <c r="E93" s="54"/>
      <c r="F93" s="54"/>
      <c r="G93" s="54"/>
      <c r="H93" s="54"/>
      <c r="I93" s="54"/>
    </row>
    <row r="94" spans="1:9" ht="15.75" customHeight="1">
      <c r="A94" s="226" t="s">
        <v>7</v>
      </c>
      <c r="B94" s="226"/>
      <c r="C94" s="226"/>
      <c r="D94" s="226"/>
      <c r="E94" s="226"/>
      <c r="F94" s="226"/>
      <c r="G94" s="226"/>
      <c r="H94" s="226"/>
      <c r="I94" s="226"/>
    </row>
    <row r="95" spans="1:9" ht="15.75" customHeight="1">
      <c r="A95" s="226" t="s">
        <v>8</v>
      </c>
      <c r="B95" s="226"/>
      <c r="C95" s="226"/>
      <c r="D95" s="226"/>
      <c r="E95" s="226"/>
      <c r="F95" s="226"/>
      <c r="G95" s="226"/>
      <c r="H95" s="226"/>
      <c r="I95" s="226"/>
    </row>
    <row r="96" spans="1:9" ht="15.75" customHeight="1">
      <c r="A96" s="227" t="s">
        <v>62</v>
      </c>
      <c r="B96" s="227"/>
      <c r="C96" s="227"/>
      <c r="D96" s="227"/>
      <c r="E96" s="227"/>
      <c r="F96" s="227"/>
      <c r="G96" s="227"/>
      <c r="H96" s="227"/>
      <c r="I96" s="227"/>
    </row>
    <row r="97" spans="1:9" ht="15.75" customHeight="1">
      <c r="A97" s="11"/>
    </row>
    <row r="98" spans="1:9" ht="15.75" customHeight="1">
      <c r="A98" s="228" t="s">
        <v>9</v>
      </c>
      <c r="B98" s="228"/>
      <c r="C98" s="228"/>
      <c r="D98" s="228"/>
      <c r="E98" s="228"/>
      <c r="F98" s="228"/>
      <c r="G98" s="228"/>
      <c r="H98" s="228"/>
      <c r="I98" s="228"/>
    </row>
    <row r="99" spans="1:9" ht="15.75" customHeight="1">
      <c r="A99" s="4"/>
    </row>
    <row r="100" spans="1:9" ht="15.75" customHeight="1">
      <c r="B100" s="58" t="s">
        <v>10</v>
      </c>
      <c r="C100" s="229" t="s">
        <v>140</v>
      </c>
      <c r="D100" s="229"/>
      <c r="E100" s="229"/>
      <c r="F100" s="65"/>
      <c r="I100" s="56"/>
    </row>
    <row r="101" spans="1:9" ht="15.75" customHeight="1">
      <c r="A101" s="57"/>
      <c r="C101" s="225" t="s">
        <v>11</v>
      </c>
      <c r="D101" s="225"/>
      <c r="E101" s="225"/>
      <c r="F101" s="27"/>
      <c r="I101" s="55" t="s">
        <v>12</v>
      </c>
    </row>
    <row r="102" spans="1:9" ht="15.75" customHeight="1">
      <c r="A102" s="28"/>
      <c r="C102" s="12"/>
      <c r="D102" s="12"/>
      <c r="G102" s="12"/>
      <c r="H102" s="12"/>
    </row>
    <row r="103" spans="1:9" ht="15.75">
      <c r="B103" s="58" t="s">
        <v>13</v>
      </c>
      <c r="C103" s="230"/>
      <c r="D103" s="230"/>
      <c r="E103" s="230"/>
      <c r="F103" s="66"/>
      <c r="I103" s="56"/>
    </row>
    <row r="104" spans="1:9">
      <c r="A104" s="57"/>
      <c r="C104" s="219" t="s">
        <v>11</v>
      </c>
      <c r="D104" s="219"/>
      <c r="E104" s="219"/>
      <c r="F104" s="57"/>
      <c r="I104" s="55" t="s">
        <v>12</v>
      </c>
    </row>
    <row r="105" spans="1:9" ht="15.75" customHeight="1">
      <c r="A105" s="4" t="s">
        <v>14</v>
      </c>
    </row>
    <row r="106" spans="1:9" ht="15.75" customHeight="1">
      <c r="A106" s="217" t="s">
        <v>15</v>
      </c>
      <c r="B106" s="217"/>
      <c r="C106" s="217"/>
      <c r="D106" s="217"/>
      <c r="E106" s="217"/>
      <c r="F106" s="217"/>
      <c r="G106" s="217"/>
      <c r="H106" s="217"/>
      <c r="I106" s="217"/>
    </row>
    <row r="107" spans="1:9" ht="45" customHeight="1">
      <c r="A107" s="218" t="s">
        <v>16</v>
      </c>
      <c r="B107" s="218"/>
      <c r="C107" s="218"/>
      <c r="D107" s="218"/>
      <c r="E107" s="218"/>
      <c r="F107" s="218"/>
      <c r="G107" s="218"/>
      <c r="H107" s="218"/>
      <c r="I107" s="218"/>
    </row>
    <row r="108" spans="1:9" ht="30" customHeight="1">
      <c r="A108" s="218" t="s">
        <v>17</v>
      </c>
      <c r="B108" s="218"/>
      <c r="C108" s="218"/>
      <c r="D108" s="218"/>
      <c r="E108" s="218"/>
      <c r="F108" s="218"/>
      <c r="G108" s="218"/>
      <c r="H108" s="218"/>
      <c r="I108" s="218"/>
    </row>
    <row r="109" spans="1:9" ht="30" customHeight="1">
      <c r="A109" s="218" t="s">
        <v>21</v>
      </c>
      <c r="B109" s="218"/>
      <c r="C109" s="218"/>
      <c r="D109" s="218"/>
      <c r="E109" s="218"/>
      <c r="F109" s="218"/>
      <c r="G109" s="218"/>
      <c r="H109" s="218"/>
      <c r="I109" s="218"/>
    </row>
    <row r="110" spans="1:9" ht="15" customHeight="1">
      <c r="A110" s="218" t="s">
        <v>20</v>
      </c>
      <c r="B110" s="218"/>
      <c r="C110" s="218"/>
      <c r="D110" s="218"/>
      <c r="E110" s="218"/>
      <c r="F110" s="218"/>
      <c r="G110" s="218"/>
      <c r="H110" s="218"/>
      <c r="I110" s="218"/>
    </row>
  </sheetData>
  <autoFilter ref="I12:I61"/>
  <mergeCells count="30">
    <mergeCell ref="R66:U66"/>
    <mergeCell ref="A79:I79"/>
    <mergeCell ref="A3:I3"/>
    <mergeCell ref="A4:I4"/>
    <mergeCell ref="A5:I5"/>
    <mergeCell ref="A8:I8"/>
    <mergeCell ref="A10:I10"/>
    <mergeCell ref="A14:I14"/>
    <mergeCell ref="A96:I96"/>
    <mergeCell ref="A15:I15"/>
    <mergeCell ref="A28:I28"/>
    <mergeCell ref="A44:I44"/>
    <mergeCell ref="A55:I55"/>
    <mergeCell ref="A83:I83"/>
    <mergeCell ref="A90:I90"/>
    <mergeCell ref="B91:G91"/>
    <mergeCell ref="B92:G92"/>
    <mergeCell ref="A94:I94"/>
    <mergeCell ref="A95:I95"/>
    <mergeCell ref="A89:I89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6"/>
  <sheetViews>
    <sheetView topLeftCell="A20" workbookViewId="0">
      <selection activeCell="K101" sqref="K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86</v>
      </c>
      <c r="I1" s="29"/>
      <c r="J1" s="1"/>
      <c r="K1" s="1"/>
      <c r="L1" s="1"/>
      <c r="M1" s="1"/>
    </row>
    <row r="2" spans="1:13" ht="15.75">
      <c r="A2" s="31" t="s">
        <v>63</v>
      </c>
      <c r="J2" s="2"/>
      <c r="K2" s="2"/>
      <c r="L2" s="2"/>
      <c r="M2" s="2"/>
    </row>
    <row r="3" spans="1:13" ht="15.75" customHeight="1">
      <c r="A3" s="237" t="s">
        <v>150</v>
      </c>
      <c r="B3" s="237"/>
      <c r="C3" s="237"/>
      <c r="D3" s="237"/>
      <c r="E3" s="237"/>
      <c r="F3" s="237"/>
      <c r="G3" s="237"/>
      <c r="H3" s="237"/>
      <c r="I3" s="237"/>
      <c r="J3" s="3"/>
      <c r="K3" s="3"/>
      <c r="L3" s="3"/>
    </row>
    <row r="4" spans="1:13" ht="31.5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13" ht="15.75">
      <c r="A5" s="237" t="s">
        <v>168</v>
      </c>
      <c r="B5" s="239"/>
      <c r="C5" s="239"/>
      <c r="D5" s="239"/>
      <c r="E5" s="239"/>
      <c r="F5" s="239"/>
      <c r="G5" s="239"/>
      <c r="H5" s="239"/>
      <c r="I5" s="239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43190</v>
      </c>
      <c r="J6" s="2"/>
      <c r="K6" s="2"/>
      <c r="L6" s="2"/>
      <c r="M6" s="2"/>
    </row>
    <row r="7" spans="1:13" ht="15.75">
      <c r="B7" s="58"/>
      <c r="C7" s="58"/>
      <c r="D7" s="5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0" t="s">
        <v>169</v>
      </c>
      <c r="B8" s="240"/>
      <c r="C8" s="240"/>
      <c r="D8" s="240"/>
      <c r="E8" s="240"/>
      <c r="F8" s="240"/>
      <c r="G8" s="240"/>
      <c r="H8" s="240"/>
      <c r="I8" s="24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  <c r="J15" s="8"/>
      <c r="K15" s="8"/>
      <c r="L15" s="8"/>
      <c r="M15" s="8"/>
    </row>
    <row r="16" spans="1:13" s="121" customFormat="1" ht="15.75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  <c r="J16" s="119"/>
      <c r="K16" s="120"/>
      <c r="L16" s="120"/>
      <c r="M16" s="120"/>
    </row>
    <row r="17" spans="1:13" s="121" customFormat="1" ht="15.75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  <c r="J17" s="122"/>
      <c r="K17" s="120"/>
      <c r="L17" s="120"/>
      <c r="M17" s="120"/>
    </row>
    <row r="18" spans="1:13" s="121" customFormat="1" ht="15.7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  <c r="J18" s="122"/>
      <c r="K18" s="120"/>
      <c r="L18" s="120"/>
      <c r="M18" s="120"/>
    </row>
    <row r="19" spans="1:13" s="121" customFormat="1" ht="15.75" hidden="1" customHeight="1">
      <c r="A19" s="32"/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v>0</v>
      </c>
      <c r="J19" s="122"/>
      <c r="K19" s="120"/>
      <c r="L19" s="120"/>
      <c r="M19" s="120"/>
    </row>
    <row r="20" spans="1:13" s="121" customFormat="1" ht="15.75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  <c r="J20" s="122"/>
      <c r="K20" s="120"/>
      <c r="L20" s="120"/>
      <c r="M20" s="120"/>
    </row>
    <row r="21" spans="1:13" s="121" customFormat="1" ht="15.75" hidden="1" customHeight="1">
      <c r="A21" s="32">
        <v>5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F21/12*G21</f>
        <v>1.76868</v>
      </c>
      <c r="J21" s="122"/>
      <c r="K21" s="120"/>
      <c r="L21" s="120"/>
      <c r="M21" s="120"/>
    </row>
    <row r="22" spans="1:13" s="121" customFormat="1" ht="15.75" hidden="1" customHeight="1">
      <c r="A22" s="32"/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v>0</v>
      </c>
      <c r="J22" s="122"/>
      <c r="K22" s="120"/>
      <c r="L22" s="120"/>
      <c r="M22" s="120"/>
    </row>
    <row r="23" spans="1:13" s="121" customFormat="1" ht="15.75" hidden="1" customHeight="1">
      <c r="A23" s="32"/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v>0</v>
      </c>
      <c r="J23" s="122"/>
      <c r="K23" s="120"/>
      <c r="L23" s="120"/>
      <c r="M23" s="120"/>
    </row>
    <row r="24" spans="1:13" s="121" customFormat="1" ht="15.75" hidden="1" customHeight="1">
      <c r="A24" s="32"/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v>0</v>
      </c>
      <c r="J24" s="122"/>
      <c r="K24" s="120"/>
      <c r="L24" s="120"/>
      <c r="M24" s="120"/>
    </row>
    <row r="25" spans="1:13" s="121" customFormat="1" ht="15.75" hidden="1" customHeight="1">
      <c r="A25" s="32"/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v>0</v>
      </c>
      <c r="J25" s="122"/>
      <c r="K25" s="120"/>
      <c r="L25" s="120"/>
      <c r="M25" s="120"/>
    </row>
    <row r="26" spans="1:13" s="121" customFormat="1" ht="15.75" hidden="1" customHeight="1">
      <c r="A26" s="32">
        <v>6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F26/12*G26</f>
        <v>3.3068</v>
      </c>
      <c r="J26" s="124"/>
    </row>
    <row r="27" spans="1:13" s="121" customFormat="1" ht="15.75" customHeight="1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  <c r="J27" s="124"/>
    </row>
    <row r="28" spans="1:13" s="121" customFormat="1" ht="15.75" customHeight="1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  <c r="J28" s="124"/>
    </row>
    <row r="29" spans="1:13" s="121" customFormat="1" ht="15.75" customHeight="1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  <c r="J29" s="124"/>
    </row>
    <row r="30" spans="1:13" s="121" customFormat="1" ht="15.75" hidden="1" customHeight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  <c r="J30" s="122"/>
      <c r="K30" s="120"/>
      <c r="L30" s="120"/>
      <c r="M30" s="120"/>
    </row>
    <row r="31" spans="1:13" s="121" customFormat="1" ht="15.75" hidden="1" customHeight="1">
      <c r="A31" s="32"/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  <c r="J31" s="122"/>
      <c r="K31" s="120"/>
      <c r="L31" s="120"/>
      <c r="M31" s="120"/>
    </row>
    <row r="32" spans="1:13" s="121" customFormat="1" ht="31.5" hidden="1" customHeight="1">
      <c r="A32" s="32"/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  <c r="J32" s="122"/>
      <c r="K32" s="120"/>
      <c r="L32" s="120"/>
      <c r="M32" s="120"/>
    </row>
    <row r="33" spans="1:14" s="121" customFormat="1" ht="15.75" hidden="1" customHeight="1">
      <c r="A33" s="32"/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  <c r="J33" s="122"/>
      <c r="K33" s="120"/>
      <c r="L33" s="120"/>
      <c r="M33" s="120"/>
    </row>
    <row r="34" spans="1:14" s="121" customFormat="1" ht="15.75" hidden="1" customHeight="1">
      <c r="A34" s="32"/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  <c r="J34" s="122"/>
      <c r="K34" s="120"/>
      <c r="L34" s="120"/>
      <c r="M34" s="120"/>
    </row>
    <row r="35" spans="1:14" s="121" customFormat="1" ht="15.75" hidden="1" customHeight="1">
      <c r="A35" s="32"/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  <c r="J35" s="122"/>
      <c r="K35" s="120"/>
    </row>
    <row r="36" spans="1:14" s="121" customFormat="1" ht="15.75" hidden="1" customHeight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  <c r="J36" s="124"/>
    </row>
    <row r="37" spans="1:14" s="121" customFormat="1" ht="15.75" hidden="1" customHeight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  <c r="J37" s="124"/>
    </row>
    <row r="38" spans="1:14" s="121" customFormat="1" ht="15.75" customHeight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  <c r="J38" s="124"/>
      <c r="L38" s="19"/>
      <c r="M38" s="20"/>
      <c r="N38" s="111"/>
    </row>
    <row r="39" spans="1:14" s="121" customFormat="1" ht="15.75" customHeight="1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  <c r="J39" s="124"/>
      <c r="L39" s="19"/>
      <c r="M39" s="20"/>
      <c r="N39" s="111"/>
    </row>
    <row r="40" spans="1:14" s="121" customFormat="1" ht="15.75" customHeight="1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  <c r="J40" s="124"/>
      <c r="L40" s="19"/>
      <c r="M40" s="20"/>
      <c r="N40" s="111"/>
    </row>
    <row r="41" spans="1:14" s="121" customFormat="1" ht="15.75" customHeight="1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  <c r="J41" s="124"/>
      <c r="L41" s="19"/>
      <c r="M41" s="20"/>
      <c r="N41" s="111"/>
    </row>
    <row r="42" spans="1:14" s="121" customFormat="1" ht="15.75" hidden="1" customHeight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  <c r="J42" s="124"/>
      <c r="L42" s="19"/>
      <c r="M42" s="20"/>
      <c r="N42" s="111"/>
    </row>
    <row r="43" spans="1:14" s="121" customFormat="1" ht="31.5" customHeight="1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  <c r="J43" s="124"/>
      <c r="L43" s="19"/>
      <c r="M43" s="20"/>
      <c r="N43" s="111"/>
    </row>
    <row r="44" spans="1:14" s="121" customFormat="1" ht="15.75" customHeight="1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  <c r="J44" s="124"/>
      <c r="L44" s="19"/>
      <c r="M44" s="20"/>
      <c r="N44" s="111"/>
    </row>
    <row r="45" spans="1:14" s="121" customFormat="1" ht="15.75" customHeight="1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  <c r="J45" s="124"/>
      <c r="L45" s="19"/>
      <c r="M45" s="20"/>
      <c r="N45" s="111"/>
    </row>
    <row r="46" spans="1:14" s="121" customFormat="1" ht="15.75" customHeight="1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  <c r="J46" s="124"/>
      <c r="L46" s="19"/>
      <c r="M46" s="20"/>
      <c r="N46" s="111"/>
    </row>
    <row r="47" spans="1:14" s="121" customFormat="1" ht="15.75" hidden="1" customHeight="1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  <c r="J47" s="124"/>
      <c r="L47" s="19"/>
      <c r="M47" s="20"/>
      <c r="N47" s="111"/>
    </row>
    <row r="48" spans="1:14" s="121" customFormat="1" ht="15.75" hidden="1" customHeight="1">
      <c r="A48" s="32"/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v>0</v>
      </c>
      <c r="J48" s="124"/>
      <c r="L48" s="19"/>
      <c r="M48" s="20"/>
      <c r="N48" s="111"/>
    </row>
    <row r="49" spans="1:22" s="121" customFormat="1" ht="15.75" hidden="1" customHeight="1">
      <c r="A49" s="32"/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v>0</v>
      </c>
      <c r="J49" s="124"/>
      <c r="L49" s="19"/>
      <c r="M49" s="20"/>
      <c r="N49" s="111"/>
    </row>
    <row r="50" spans="1:22" s="121" customFormat="1" ht="15.75" hidden="1" customHeight="1">
      <c r="A50" s="32"/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v>0</v>
      </c>
      <c r="J50" s="124"/>
      <c r="L50" s="19"/>
      <c r="M50" s="20"/>
      <c r="N50" s="111"/>
    </row>
    <row r="51" spans="1:22" s="121" customFormat="1" ht="15.75" hidden="1" customHeight="1">
      <c r="A51" s="32"/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v>0</v>
      </c>
      <c r="J51" s="124"/>
      <c r="L51" s="19"/>
      <c r="M51" s="20"/>
      <c r="N51" s="111"/>
    </row>
    <row r="52" spans="1:22" s="121" customFormat="1" ht="15.75" hidden="1" customHeight="1">
      <c r="A52" s="32"/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v>0</v>
      </c>
      <c r="J52" s="124"/>
      <c r="L52" s="19"/>
      <c r="M52" s="20"/>
      <c r="N52" s="111"/>
    </row>
    <row r="53" spans="1:22" s="121" customFormat="1" ht="15.75" hidden="1" customHeight="1">
      <c r="A53" s="32"/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v>0</v>
      </c>
      <c r="J53" s="124"/>
      <c r="L53" s="19"/>
      <c r="M53" s="20"/>
      <c r="N53" s="111"/>
    </row>
    <row r="54" spans="1:22" s="121" customFormat="1" ht="31.5" hidden="1" customHeight="1">
      <c r="A54" s="32"/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v>0</v>
      </c>
      <c r="J54" s="124"/>
      <c r="L54" s="19"/>
    </row>
    <row r="55" spans="1:22" s="121" customFormat="1" ht="31.5" hidden="1" customHeight="1">
      <c r="A55" s="32"/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v>0</v>
      </c>
    </row>
    <row r="56" spans="1:22" s="121" customFormat="1" ht="15.75" hidden="1" customHeight="1">
      <c r="A56" s="32"/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v>0</v>
      </c>
    </row>
    <row r="57" spans="1:22" s="121" customFormat="1" ht="15.75" hidden="1" customHeight="1">
      <c r="A57" s="32"/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v>0</v>
      </c>
    </row>
    <row r="58" spans="1:22" s="121" customFormat="1" ht="15.75" customHeight="1">
      <c r="A58" s="243" t="s">
        <v>192</v>
      </c>
      <c r="B58" s="244"/>
      <c r="C58" s="244"/>
      <c r="D58" s="244"/>
      <c r="E58" s="244"/>
      <c r="F58" s="244"/>
      <c r="G58" s="244"/>
      <c r="H58" s="244"/>
      <c r="I58" s="245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34"/>
    </row>
    <row r="59" spans="1:22" s="121" customFormat="1" ht="15.75" hidden="1" customHeight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  <c r="J59" s="54"/>
      <c r="K59" s="54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2" s="121" customFormat="1" ht="31.5" hidden="1" customHeight="1">
      <c r="A60" s="32">
        <v>14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  <c r="J60" s="112"/>
      <c r="K60" s="112"/>
      <c r="L60" s="112"/>
      <c r="M60" s="112"/>
      <c r="N60" s="112"/>
      <c r="O60" s="112"/>
      <c r="P60" s="112"/>
      <c r="Q60" s="112"/>
      <c r="S60" s="112"/>
      <c r="T60" s="112"/>
      <c r="U60" s="112"/>
    </row>
    <row r="61" spans="1:22" s="121" customFormat="1" ht="15.75" hidden="1" customHeight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  <c r="J61" s="50"/>
      <c r="K61" s="50"/>
      <c r="L61" s="50"/>
      <c r="M61" s="50"/>
      <c r="N61" s="50"/>
      <c r="O61" s="50"/>
      <c r="P61" s="50"/>
      <c r="Q61" s="50"/>
      <c r="R61" s="246"/>
      <c r="S61" s="246"/>
      <c r="T61" s="246"/>
      <c r="U61" s="246"/>
    </row>
    <row r="62" spans="1:22" s="121" customFormat="1" ht="15.75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</row>
    <row r="63" spans="1:22" s="121" customFormat="1" ht="15.75" hidden="1" customHeight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22" s="121" customFormat="1" ht="15.75" customHeight="1">
      <c r="A64" s="32">
        <v>14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s="121" customFormat="1" ht="15.75" hidden="1" customHeight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s="121" customFormat="1" ht="15.75" hidden="1" customHeight="1">
      <c r="A66" s="32"/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v>0</v>
      </c>
    </row>
    <row r="67" spans="1:9" s="121" customFormat="1" ht="15.75" hidden="1" customHeight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s="121" customFormat="1" ht="15.75" hidden="1" customHeight="1">
      <c r="A68" s="32"/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v>0</v>
      </c>
    </row>
    <row r="69" spans="1:9" s="121" customFormat="1" ht="15.75" hidden="1" customHeight="1">
      <c r="A69" s="32"/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v>0</v>
      </c>
    </row>
    <row r="70" spans="1:9" s="121" customFormat="1" ht="15.75" hidden="1" customHeight="1">
      <c r="A70" s="32"/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v>0</v>
      </c>
    </row>
    <row r="71" spans="1:9" s="121" customFormat="1" ht="15.75" hidden="1" customHeight="1">
      <c r="A71" s="32"/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v>0</v>
      </c>
    </row>
    <row r="72" spans="1:9" s="121" customFormat="1" ht="15.75" hidden="1" customHeight="1">
      <c r="A72" s="32"/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v>0</v>
      </c>
    </row>
    <row r="73" spans="1:9" s="121" customFormat="1" ht="15.75" hidden="1" customHeight="1">
      <c r="A73" s="32"/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v>0</v>
      </c>
    </row>
    <row r="74" spans="1:9" s="121" customFormat="1" ht="15.75" customHeight="1">
      <c r="A74" s="32"/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s="121" customFormat="1" ht="15.75" hidden="1" customHeight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s="121" customFormat="1" ht="15.75" hidden="1" customHeight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s="121" customFormat="1" ht="15.75" hidden="1" customHeight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s="121" customFormat="1" ht="15.75" hidden="1" customHeight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s="121" customFormat="1" ht="15.75" customHeight="1">
      <c r="A79" s="32">
        <v>15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s="121" customFormat="1" ht="15.75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s="121" customFormat="1" ht="15.75" customHeight="1">
      <c r="A81" s="32">
        <v>16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s="121" customFormat="1" ht="15.75" hidden="1" customHeight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s="121" customFormat="1" ht="15.75" hidden="1" customHeight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s="121" customFormat="1" ht="15.75" hidden="1" customHeight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s="121" customFormat="1" ht="15.75" hidden="1" customHeight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 ht="15.75" customHeight="1">
      <c r="A86" s="220" t="s">
        <v>193</v>
      </c>
      <c r="B86" s="221"/>
      <c r="C86" s="221"/>
      <c r="D86" s="221"/>
      <c r="E86" s="221"/>
      <c r="F86" s="221"/>
      <c r="G86" s="221"/>
      <c r="H86" s="221"/>
      <c r="I86" s="222"/>
    </row>
    <row r="87" spans="1:9" ht="15.75" customHeight="1">
      <c r="A87" s="32">
        <v>17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1.5" customHeight="1">
      <c r="A88" s="32">
        <v>18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 ht="15.75" customHeight="1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I88+I87+I81+I79+I64+I46+I45+I44+I43+I41+I40+I39+I28+I27+I20+I18+I17+I16</f>
        <v>67032.438744666666</v>
      </c>
    </row>
    <row r="90" spans="1:9" ht="15.75" customHeight="1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15.75" customHeight="1">
      <c r="A91" s="32" t="s">
        <v>231</v>
      </c>
      <c r="B91" s="51" t="s">
        <v>128</v>
      </c>
      <c r="C91" s="68" t="s">
        <v>109</v>
      </c>
      <c r="D91" s="79"/>
      <c r="E91" s="80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 ht="15.75" customHeight="1">
      <c r="A92" s="32"/>
      <c r="B92" s="44" t="s">
        <v>52</v>
      </c>
      <c r="C92" s="40"/>
      <c r="D92" s="47"/>
      <c r="E92" s="40">
        <v>1</v>
      </c>
      <c r="F92" s="40"/>
      <c r="G92" s="40"/>
      <c r="H92" s="40"/>
      <c r="I92" s="34">
        <v>0</v>
      </c>
    </row>
    <row r="93" spans="1:9" ht="15.75" customHeight="1">
      <c r="A93" s="32"/>
      <c r="B93" s="46" t="s">
        <v>80</v>
      </c>
      <c r="C93" s="15"/>
      <c r="D93" s="15"/>
      <c r="E93" s="41"/>
      <c r="F93" s="41"/>
      <c r="G93" s="42"/>
      <c r="H93" s="42"/>
      <c r="I93" s="17">
        <v>0</v>
      </c>
    </row>
    <row r="94" spans="1:9" ht="15.75" customHeight="1">
      <c r="A94" s="48"/>
      <c r="B94" s="45" t="s">
        <v>157</v>
      </c>
      <c r="C94" s="35"/>
      <c r="D94" s="35"/>
      <c r="E94" s="35"/>
      <c r="F94" s="35"/>
      <c r="G94" s="35"/>
      <c r="H94" s="35"/>
      <c r="I94" s="43">
        <f>I89+I92</f>
        <v>67032.438744666666</v>
      </c>
    </row>
    <row r="95" spans="1:9" ht="15.75" customHeight="1">
      <c r="A95" s="231" t="s">
        <v>232</v>
      </c>
      <c r="B95" s="232"/>
      <c r="C95" s="232"/>
      <c r="D95" s="232"/>
      <c r="E95" s="232"/>
      <c r="F95" s="232"/>
      <c r="G95" s="232"/>
      <c r="H95" s="232"/>
      <c r="I95" s="232"/>
    </row>
    <row r="96" spans="1:9" ht="15.75" customHeight="1">
      <c r="A96" s="223" t="s">
        <v>233</v>
      </c>
      <c r="B96" s="223"/>
      <c r="C96" s="223"/>
      <c r="D96" s="223"/>
      <c r="E96" s="223"/>
      <c r="F96" s="223"/>
      <c r="G96" s="223"/>
      <c r="H96" s="223"/>
      <c r="I96" s="223"/>
    </row>
    <row r="97" spans="1:9" ht="15.75" customHeight="1">
      <c r="A97" s="61"/>
      <c r="B97" s="224" t="s">
        <v>234</v>
      </c>
      <c r="C97" s="224"/>
      <c r="D97" s="224"/>
      <c r="E97" s="224"/>
      <c r="F97" s="224"/>
      <c r="G97" s="224"/>
      <c r="H97" s="67"/>
      <c r="I97" s="3"/>
    </row>
    <row r="98" spans="1:9">
      <c r="A98" s="49"/>
      <c r="B98" s="225" t="s">
        <v>6</v>
      </c>
      <c r="C98" s="225"/>
      <c r="D98" s="225"/>
      <c r="E98" s="225"/>
      <c r="F98" s="225"/>
      <c r="G98" s="225"/>
      <c r="H98" s="27"/>
      <c r="I98" s="50"/>
    </row>
    <row r="99" spans="1:9" ht="15.75" customHeight="1">
      <c r="A99" s="54"/>
      <c r="B99" s="54"/>
      <c r="C99" s="54"/>
      <c r="D99" s="54"/>
      <c r="E99" s="54"/>
      <c r="F99" s="54"/>
      <c r="G99" s="54"/>
      <c r="H99" s="54"/>
      <c r="I99" s="54"/>
    </row>
    <row r="100" spans="1:9" ht="15.75" customHeight="1">
      <c r="A100" s="226" t="s">
        <v>7</v>
      </c>
      <c r="B100" s="226"/>
      <c r="C100" s="226"/>
      <c r="D100" s="226"/>
      <c r="E100" s="226"/>
      <c r="F100" s="226"/>
      <c r="G100" s="226"/>
      <c r="H100" s="226"/>
      <c r="I100" s="226"/>
    </row>
    <row r="101" spans="1:9" ht="15.75" customHeight="1">
      <c r="A101" s="226" t="s">
        <v>8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 customHeight="1">
      <c r="A102" s="227" t="s">
        <v>62</v>
      </c>
      <c r="B102" s="227"/>
      <c r="C102" s="227"/>
      <c r="D102" s="227"/>
      <c r="E102" s="227"/>
      <c r="F102" s="227"/>
      <c r="G102" s="227"/>
      <c r="H102" s="227"/>
      <c r="I102" s="227"/>
    </row>
    <row r="103" spans="1:9" ht="15.75" customHeight="1">
      <c r="A103" s="11"/>
    </row>
    <row r="104" spans="1:9" ht="15.75" customHeight="1">
      <c r="A104" s="228" t="s">
        <v>9</v>
      </c>
      <c r="B104" s="228"/>
      <c r="C104" s="228"/>
      <c r="D104" s="228"/>
      <c r="E104" s="228"/>
      <c r="F104" s="228"/>
      <c r="G104" s="228"/>
      <c r="H104" s="228"/>
      <c r="I104" s="228"/>
    </row>
    <row r="105" spans="1:9" ht="15.75" customHeight="1">
      <c r="A105" s="4"/>
    </row>
    <row r="106" spans="1:9" ht="15.75" customHeight="1">
      <c r="B106" s="58" t="s">
        <v>10</v>
      </c>
      <c r="C106" s="229" t="s">
        <v>140</v>
      </c>
      <c r="D106" s="229"/>
      <c r="E106" s="229"/>
      <c r="F106" s="65"/>
      <c r="I106" s="56"/>
    </row>
    <row r="107" spans="1:9" ht="15.75" customHeight="1">
      <c r="A107" s="57"/>
      <c r="C107" s="225" t="s">
        <v>11</v>
      </c>
      <c r="D107" s="225"/>
      <c r="E107" s="225"/>
      <c r="F107" s="27"/>
      <c r="I107" s="55" t="s">
        <v>12</v>
      </c>
    </row>
    <row r="108" spans="1:9" ht="15.75" customHeight="1">
      <c r="A108" s="28"/>
      <c r="C108" s="12"/>
      <c r="D108" s="12"/>
      <c r="G108" s="12"/>
      <c r="H108" s="12"/>
    </row>
    <row r="109" spans="1:9" ht="15.75">
      <c r="B109" s="58" t="s">
        <v>13</v>
      </c>
      <c r="C109" s="230"/>
      <c r="D109" s="230"/>
      <c r="E109" s="230"/>
      <c r="F109" s="66"/>
      <c r="I109" s="56"/>
    </row>
    <row r="110" spans="1:9">
      <c r="A110" s="57"/>
      <c r="C110" s="219" t="s">
        <v>11</v>
      </c>
      <c r="D110" s="219"/>
      <c r="E110" s="219"/>
      <c r="F110" s="57"/>
      <c r="I110" s="55" t="s">
        <v>12</v>
      </c>
    </row>
    <row r="111" spans="1:9" ht="15.75" customHeight="1">
      <c r="A111" s="4" t="s">
        <v>14</v>
      </c>
    </row>
    <row r="112" spans="1:9" ht="15.75" customHeight="1">
      <c r="A112" s="217" t="s">
        <v>15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45" customHeight="1">
      <c r="A113" s="218" t="s">
        <v>16</v>
      </c>
      <c r="B113" s="218"/>
      <c r="C113" s="218"/>
      <c r="D113" s="218"/>
      <c r="E113" s="218"/>
      <c r="F113" s="218"/>
      <c r="G113" s="218"/>
      <c r="H113" s="218"/>
      <c r="I113" s="218"/>
    </row>
    <row r="114" spans="1:9" ht="30" customHeight="1">
      <c r="A114" s="218" t="s">
        <v>17</v>
      </c>
      <c r="B114" s="218"/>
      <c r="C114" s="218"/>
      <c r="D114" s="218"/>
      <c r="E114" s="218"/>
      <c r="F114" s="218"/>
      <c r="G114" s="218"/>
      <c r="H114" s="218"/>
      <c r="I114" s="218"/>
    </row>
    <row r="115" spans="1:9" ht="30" customHeight="1">
      <c r="A115" s="218" t="s">
        <v>21</v>
      </c>
      <c r="B115" s="218"/>
      <c r="C115" s="218"/>
      <c r="D115" s="218"/>
      <c r="E115" s="218"/>
      <c r="F115" s="218"/>
      <c r="G115" s="218"/>
      <c r="H115" s="218"/>
      <c r="I115" s="218"/>
    </row>
    <row r="116" spans="1:9" ht="15" customHeight="1">
      <c r="A116" s="218" t="s">
        <v>20</v>
      </c>
      <c r="B116" s="218"/>
      <c r="C116" s="218"/>
      <c r="D116" s="218"/>
      <c r="E116" s="218"/>
      <c r="F116" s="218"/>
      <c r="G116" s="218"/>
      <c r="H116" s="218"/>
      <c r="I116" s="218"/>
    </row>
  </sheetData>
  <autoFilter ref="I12:I56"/>
  <mergeCells count="30">
    <mergeCell ref="R61:U61"/>
    <mergeCell ref="A3:I3"/>
    <mergeCell ref="A4:I4"/>
    <mergeCell ref="A5:I5"/>
    <mergeCell ref="A8:I8"/>
    <mergeCell ref="A10:I10"/>
    <mergeCell ref="A14:I14"/>
    <mergeCell ref="A29:I29"/>
    <mergeCell ref="A47:I47"/>
    <mergeCell ref="A58:I58"/>
    <mergeCell ref="A102:I102"/>
    <mergeCell ref="A15:I15"/>
    <mergeCell ref="A90:I90"/>
    <mergeCell ref="A96:I96"/>
    <mergeCell ref="B97:G97"/>
    <mergeCell ref="B98:G98"/>
    <mergeCell ref="A100:I100"/>
    <mergeCell ref="A101:I101"/>
    <mergeCell ref="A86:I86"/>
    <mergeCell ref="A95:I95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B99" sqref="B99:G99"/>
    </sheetView>
  </sheetViews>
  <sheetFormatPr defaultRowHeight="15"/>
  <cols>
    <col min="2" max="2" width="51" customWidth="1"/>
    <col min="3" max="4" width="18.28515625" customWidth="1"/>
    <col min="5" max="6" width="0" hidden="1" customWidth="1"/>
    <col min="7" max="7" width="18" customWidth="1"/>
    <col min="8" max="8" width="0" hidden="1" customWidth="1"/>
    <col min="9" max="9" width="18.42578125" customWidth="1"/>
  </cols>
  <sheetData>
    <row r="1" spans="1:9" ht="15.75">
      <c r="A1" s="30" t="s">
        <v>86</v>
      </c>
      <c r="I1" s="29"/>
    </row>
    <row r="2" spans="1:9" ht="15.75">
      <c r="A2" s="31" t="s">
        <v>63</v>
      </c>
    </row>
    <row r="3" spans="1:9" ht="15.75">
      <c r="A3" s="237" t="s">
        <v>194</v>
      </c>
      <c r="B3" s="237"/>
      <c r="C3" s="237"/>
      <c r="D3" s="237"/>
      <c r="E3" s="237"/>
      <c r="F3" s="237"/>
      <c r="G3" s="237"/>
      <c r="H3" s="237"/>
      <c r="I3" s="237"/>
    </row>
    <row r="4" spans="1:9" ht="31.5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195</v>
      </c>
      <c r="B5" s="239"/>
      <c r="C5" s="239"/>
      <c r="D5" s="239"/>
      <c r="E5" s="239"/>
      <c r="F5" s="239"/>
      <c r="G5" s="239"/>
      <c r="H5" s="239"/>
      <c r="I5" s="239"/>
    </row>
    <row r="6" spans="1:9" ht="13.5" customHeight="1">
      <c r="A6" s="2"/>
      <c r="B6" s="110"/>
      <c r="C6" s="110"/>
      <c r="D6" s="110"/>
      <c r="E6" s="110"/>
      <c r="F6" s="110"/>
      <c r="G6" s="110"/>
      <c r="H6" s="110"/>
      <c r="I6" s="33">
        <v>43220</v>
      </c>
    </row>
    <row r="7" spans="1:9" ht="15.75" hidden="1">
      <c r="B7" s="108"/>
      <c r="C7" s="108"/>
      <c r="D7" s="108"/>
      <c r="E7" s="3"/>
      <c r="F7" s="3"/>
      <c r="G7" s="3"/>
      <c r="H7" s="3"/>
    </row>
    <row r="8" spans="1:9" ht="91.5" customHeight="1">
      <c r="A8" s="240" t="s">
        <v>169</v>
      </c>
      <c r="B8" s="240"/>
      <c r="C8" s="240"/>
      <c r="D8" s="240"/>
      <c r="E8" s="240"/>
      <c r="F8" s="240"/>
      <c r="G8" s="240"/>
      <c r="H8" s="240"/>
      <c r="I8" s="240"/>
    </row>
    <row r="9" spans="1:9" ht="15.75">
      <c r="A9" s="4"/>
    </row>
    <row r="10" spans="1:9" ht="50.2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60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/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v>0</v>
      </c>
    </row>
    <row r="20" spans="1:9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idden="1">
      <c r="A21" s="32">
        <v>5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F21/12*G21</f>
        <v>1.76868</v>
      </c>
    </row>
    <row r="22" spans="1:9" hidden="1">
      <c r="A22" s="32"/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v>0</v>
      </c>
    </row>
    <row r="23" spans="1:9" hidden="1">
      <c r="A23" s="32"/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v>0</v>
      </c>
    </row>
    <row r="24" spans="1:9" hidden="1">
      <c r="A24" s="32"/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v>0</v>
      </c>
    </row>
    <row r="25" spans="1:9" hidden="1">
      <c r="A25" s="32"/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v>0</v>
      </c>
    </row>
    <row r="26" spans="1:9" ht="0.75" customHeight="1">
      <c r="A26" s="32">
        <v>6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F26/12*G26</f>
        <v>3.3068</v>
      </c>
    </row>
    <row r="27" spans="1:9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idden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idden="1">
      <c r="A31" s="32"/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5" hidden="1">
      <c r="A32" s="32"/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idden="1">
      <c r="A33" s="32"/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idden="1">
      <c r="A34" s="32"/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idden="1">
      <c r="A35" s="32"/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30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60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idden="1">
      <c r="A48" s="32"/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v>0</v>
      </c>
    </row>
    <row r="49" spans="1:9" hidden="1">
      <c r="A49" s="32"/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v>0</v>
      </c>
    </row>
    <row r="50" spans="1:9" hidden="1">
      <c r="A50" s="32"/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v>0</v>
      </c>
    </row>
    <row r="51" spans="1:9" hidden="1">
      <c r="A51" s="32"/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v>0</v>
      </c>
    </row>
    <row r="52" spans="1:9" hidden="1">
      <c r="A52" s="32"/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v>0</v>
      </c>
    </row>
    <row r="53" spans="1:9" hidden="1">
      <c r="A53" s="32"/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v>0</v>
      </c>
    </row>
    <row r="54" spans="1:9" ht="45" hidden="1">
      <c r="A54" s="32"/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v>0</v>
      </c>
    </row>
    <row r="55" spans="1:9" ht="30" hidden="1">
      <c r="A55" s="32"/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v>0</v>
      </c>
    </row>
    <row r="56" spans="1:9" hidden="1">
      <c r="A56" s="32"/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v>0</v>
      </c>
    </row>
    <row r="57" spans="1:9">
      <c r="A57" s="32">
        <v>14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138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30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>
      <c r="A64" s="32">
        <v>16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idden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idden="1">
      <c r="A66" s="32"/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v>0</v>
      </c>
    </row>
    <row r="67" spans="1:9" hidden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idden="1">
      <c r="A68" s="32"/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v>0</v>
      </c>
    </row>
    <row r="69" spans="1:9" hidden="1">
      <c r="A69" s="32"/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v>0</v>
      </c>
    </row>
    <row r="70" spans="1:9" hidden="1">
      <c r="A70" s="32"/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v>0</v>
      </c>
    </row>
    <row r="71" spans="1:9" hidden="1">
      <c r="A71" s="32"/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v>0</v>
      </c>
    </row>
    <row r="72" spans="1:9" hidden="1">
      <c r="A72" s="32"/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v>0</v>
      </c>
    </row>
    <row r="73" spans="1:9" hidden="1">
      <c r="A73" s="32"/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v>0</v>
      </c>
    </row>
    <row r="74" spans="1:9">
      <c r="A74" s="32"/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0">
      <c r="A79" s="32">
        <v>17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30">
      <c r="A81" s="32">
        <v>18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8.5" hidden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>
      <c r="A87" s="32">
        <v>19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0">
      <c r="A88" s="32">
        <v>20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I88+I87+I81+I79+I64+I57+I46+I45+I44+I43+I41+I40+I39+I28+I27+I20+I18+I17+I16</f>
        <v>77604.058744666661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30">
      <c r="A91" s="32" t="s">
        <v>215</v>
      </c>
      <c r="B91" s="51" t="s">
        <v>128</v>
      </c>
      <c r="C91" s="164" t="s">
        <v>109</v>
      </c>
      <c r="D91" s="14"/>
      <c r="E91" s="165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 ht="30">
      <c r="A92" s="32">
        <v>22</v>
      </c>
      <c r="B92" s="114" t="s">
        <v>196</v>
      </c>
      <c r="C92" s="166" t="s">
        <v>39</v>
      </c>
      <c r="D92" s="14"/>
      <c r="E92" s="64"/>
      <c r="F92" s="63"/>
      <c r="G92" s="36">
        <v>3724.37</v>
      </c>
      <c r="H92" s="63"/>
      <c r="I92" s="89">
        <f>G92*0.01</f>
        <v>37.243699999999997</v>
      </c>
    </row>
    <row r="93" spans="1:9">
      <c r="A93" s="32">
        <v>23</v>
      </c>
      <c r="B93" s="114" t="s">
        <v>197</v>
      </c>
      <c r="C93" s="115" t="s">
        <v>41</v>
      </c>
      <c r="D93" s="19"/>
      <c r="E93" s="64"/>
      <c r="F93" s="63"/>
      <c r="G93" s="36">
        <v>7709.44</v>
      </c>
      <c r="H93" s="63"/>
      <c r="I93" s="89">
        <f>G93*0.01</f>
        <v>77.094399999999993</v>
      </c>
    </row>
    <row r="94" spans="1:9">
      <c r="A94" s="32"/>
      <c r="B94" s="44" t="s">
        <v>52</v>
      </c>
      <c r="C94" s="40"/>
      <c r="D94" s="47"/>
      <c r="E94" s="40">
        <v>1</v>
      </c>
      <c r="F94" s="40"/>
      <c r="G94" s="40"/>
      <c r="H94" s="40"/>
      <c r="I94" s="34">
        <f>SUM(I91:I93)-I91</f>
        <v>114.33809999999994</v>
      </c>
    </row>
    <row r="95" spans="1:9">
      <c r="A95" s="32"/>
      <c r="B95" s="46" t="s">
        <v>80</v>
      </c>
      <c r="C95" s="15"/>
      <c r="D95" s="15"/>
      <c r="E95" s="41"/>
      <c r="F95" s="41"/>
      <c r="G95" s="42"/>
      <c r="H95" s="42"/>
      <c r="I95" s="17">
        <v>0</v>
      </c>
    </row>
    <row r="96" spans="1:9">
      <c r="A96" s="48"/>
      <c r="B96" s="45" t="s">
        <v>157</v>
      </c>
      <c r="C96" s="35"/>
      <c r="D96" s="35"/>
      <c r="E96" s="35"/>
      <c r="F96" s="35"/>
      <c r="G96" s="35"/>
      <c r="H96" s="35"/>
      <c r="I96" s="43">
        <f>I89+I94</f>
        <v>77718.396844666655</v>
      </c>
    </row>
    <row r="97" spans="1:9">
      <c r="A97" s="231" t="s">
        <v>216</v>
      </c>
      <c r="B97" s="232"/>
      <c r="C97" s="232"/>
      <c r="D97" s="232"/>
      <c r="E97" s="232"/>
      <c r="F97" s="232"/>
      <c r="G97" s="232"/>
      <c r="H97" s="232"/>
      <c r="I97" s="232"/>
    </row>
    <row r="98" spans="1:9" ht="15.75">
      <c r="A98" s="223" t="s">
        <v>217</v>
      </c>
      <c r="B98" s="223"/>
      <c r="C98" s="223"/>
      <c r="D98" s="223"/>
      <c r="E98" s="223"/>
      <c r="F98" s="223"/>
      <c r="G98" s="223"/>
      <c r="H98" s="223"/>
      <c r="I98" s="223"/>
    </row>
    <row r="99" spans="1:9" ht="15.75">
      <c r="A99" s="61"/>
      <c r="B99" s="224" t="s">
        <v>218</v>
      </c>
      <c r="C99" s="224"/>
      <c r="D99" s="224"/>
      <c r="E99" s="224"/>
      <c r="F99" s="224"/>
      <c r="G99" s="224"/>
      <c r="H99" s="67"/>
      <c r="I99" s="3"/>
    </row>
    <row r="100" spans="1:9">
      <c r="A100" s="113"/>
      <c r="B100" s="225" t="s">
        <v>6</v>
      </c>
      <c r="C100" s="225"/>
      <c r="D100" s="225"/>
      <c r="E100" s="225"/>
      <c r="F100" s="225"/>
      <c r="G100" s="225"/>
      <c r="H100" s="27"/>
      <c r="I100" s="50"/>
    </row>
    <row r="101" spans="1:9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 ht="15.75">
      <c r="A102" s="226" t="s">
        <v>7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>
      <c r="A103" s="226" t="s">
        <v>8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15.75">
      <c r="A104" s="227" t="s">
        <v>62</v>
      </c>
      <c r="B104" s="227"/>
      <c r="C104" s="227"/>
      <c r="D104" s="227"/>
      <c r="E104" s="227"/>
      <c r="F104" s="227"/>
      <c r="G104" s="227"/>
      <c r="H104" s="227"/>
      <c r="I104" s="227"/>
    </row>
    <row r="105" spans="1:9" ht="15.75">
      <c r="A105" s="11"/>
    </row>
    <row r="106" spans="1:9" ht="15.75">
      <c r="A106" s="228" t="s">
        <v>9</v>
      </c>
      <c r="B106" s="228"/>
      <c r="C106" s="228"/>
      <c r="D106" s="228"/>
      <c r="E106" s="228"/>
      <c r="F106" s="228"/>
      <c r="G106" s="228"/>
      <c r="H106" s="228"/>
      <c r="I106" s="228"/>
    </row>
    <row r="107" spans="1:9" ht="15.75">
      <c r="A107" s="4"/>
    </row>
    <row r="108" spans="1:9" ht="15.75">
      <c r="B108" s="108" t="s">
        <v>10</v>
      </c>
      <c r="C108" s="229" t="s">
        <v>140</v>
      </c>
      <c r="D108" s="229"/>
      <c r="E108" s="229"/>
      <c r="F108" s="65"/>
      <c r="I108" s="109"/>
    </row>
    <row r="109" spans="1:9">
      <c r="A109" s="106"/>
      <c r="C109" s="225" t="s">
        <v>11</v>
      </c>
      <c r="D109" s="225"/>
      <c r="E109" s="225"/>
      <c r="F109" s="27"/>
      <c r="I109" s="107" t="s">
        <v>12</v>
      </c>
    </row>
    <row r="110" spans="1:9" ht="15.75">
      <c r="A110" s="28"/>
      <c r="C110" s="12"/>
      <c r="D110" s="12"/>
      <c r="G110" s="12"/>
      <c r="H110" s="12"/>
    </row>
    <row r="111" spans="1:9" ht="15.75">
      <c r="B111" s="108" t="s">
        <v>13</v>
      </c>
      <c r="C111" s="230"/>
      <c r="D111" s="230"/>
      <c r="E111" s="230"/>
      <c r="F111" s="66"/>
      <c r="I111" s="109"/>
    </row>
    <row r="112" spans="1:9">
      <c r="A112" s="106"/>
      <c r="C112" s="219" t="s">
        <v>11</v>
      </c>
      <c r="D112" s="219"/>
      <c r="E112" s="219"/>
      <c r="F112" s="106"/>
      <c r="I112" s="107" t="s">
        <v>12</v>
      </c>
    </row>
    <row r="113" spans="1:9" ht="15.75">
      <c r="A113" s="4" t="s">
        <v>14</v>
      </c>
    </row>
    <row r="114" spans="1:9">
      <c r="A114" s="217" t="s">
        <v>15</v>
      </c>
      <c r="B114" s="217"/>
      <c r="C114" s="217"/>
      <c r="D114" s="217"/>
      <c r="E114" s="217"/>
      <c r="F114" s="217"/>
      <c r="G114" s="217"/>
      <c r="H114" s="217"/>
      <c r="I114" s="217"/>
    </row>
    <row r="115" spans="1:9" ht="45" customHeight="1">
      <c r="A115" s="218" t="s">
        <v>16</v>
      </c>
      <c r="B115" s="218"/>
      <c r="C115" s="218"/>
      <c r="D115" s="218"/>
      <c r="E115" s="218"/>
      <c r="F115" s="218"/>
      <c r="G115" s="218"/>
      <c r="H115" s="218"/>
      <c r="I115" s="218"/>
    </row>
    <row r="116" spans="1:9" ht="39.75" customHeight="1">
      <c r="A116" s="218" t="s">
        <v>17</v>
      </c>
      <c r="B116" s="218"/>
      <c r="C116" s="218"/>
      <c r="D116" s="218"/>
      <c r="E116" s="218"/>
      <c r="F116" s="218"/>
      <c r="G116" s="218"/>
      <c r="H116" s="218"/>
      <c r="I116" s="218"/>
    </row>
    <row r="117" spans="1:9" ht="31.5" customHeight="1">
      <c r="A117" s="218" t="s">
        <v>21</v>
      </c>
      <c r="B117" s="218"/>
      <c r="C117" s="218"/>
      <c r="D117" s="218"/>
      <c r="E117" s="218"/>
      <c r="F117" s="218"/>
      <c r="G117" s="218"/>
      <c r="H117" s="218"/>
      <c r="I117" s="218"/>
    </row>
    <row r="118" spans="1:9" ht="15.75">
      <c r="A118" s="218" t="s">
        <v>20</v>
      </c>
      <c r="B118" s="218"/>
      <c r="C118" s="218"/>
      <c r="D118" s="218"/>
      <c r="E118" s="218"/>
      <c r="F118" s="218"/>
      <c r="G118" s="218"/>
      <c r="H118" s="218"/>
      <c r="I118" s="218"/>
    </row>
  </sheetData>
  <mergeCells count="29">
    <mergeCell ref="A14:I14"/>
    <mergeCell ref="A3:I3"/>
    <mergeCell ref="A4:I4"/>
    <mergeCell ref="A5:I5"/>
    <mergeCell ref="A8:I8"/>
    <mergeCell ref="A10:I10"/>
    <mergeCell ref="A104:I104"/>
    <mergeCell ref="A15:I15"/>
    <mergeCell ref="A29:I29"/>
    <mergeCell ref="A47:I47"/>
    <mergeCell ref="A58:I58"/>
    <mergeCell ref="A86:I86"/>
    <mergeCell ref="A90:I90"/>
    <mergeCell ref="A98:I98"/>
    <mergeCell ref="B99:G99"/>
    <mergeCell ref="B100:G100"/>
    <mergeCell ref="A102:I102"/>
    <mergeCell ref="A103:I103"/>
    <mergeCell ref="A97:I97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2"/>
  <sheetViews>
    <sheetView workbookViewId="0">
      <selection activeCell="A101" sqref="A101:I101"/>
    </sheetView>
  </sheetViews>
  <sheetFormatPr defaultRowHeight="15"/>
  <cols>
    <col min="2" max="2" width="49.85546875" customWidth="1"/>
    <col min="3" max="3" width="18.42578125" customWidth="1"/>
    <col min="4" max="4" width="18" customWidth="1"/>
    <col min="5" max="6" width="0" hidden="1" customWidth="1"/>
    <col min="7" max="7" width="17.28515625" customWidth="1"/>
    <col min="8" max="8" width="0" hidden="1" customWidth="1"/>
    <col min="9" max="9" width="17.28515625" customWidth="1"/>
  </cols>
  <sheetData>
    <row r="1" spans="1:9" ht="15.75">
      <c r="A1" s="30" t="s">
        <v>86</v>
      </c>
      <c r="I1" s="29"/>
    </row>
    <row r="2" spans="1:9" ht="15.75">
      <c r="A2" s="31" t="s">
        <v>63</v>
      </c>
    </row>
    <row r="3" spans="1:9" ht="15.75">
      <c r="A3" s="237" t="s">
        <v>198</v>
      </c>
      <c r="B3" s="237"/>
      <c r="C3" s="237"/>
      <c r="D3" s="237"/>
      <c r="E3" s="237"/>
      <c r="F3" s="237"/>
      <c r="G3" s="237"/>
      <c r="H3" s="237"/>
      <c r="I3" s="237"/>
    </row>
    <row r="4" spans="1:9" ht="36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199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158"/>
      <c r="C6" s="158"/>
      <c r="D6" s="158"/>
      <c r="E6" s="158"/>
      <c r="F6" s="158"/>
      <c r="G6" s="158"/>
      <c r="H6" s="158"/>
      <c r="I6" s="33">
        <v>43251</v>
      </c>
    </row>
    <row r="7" spans="1:9" ht="15.75">
      <c r="B7" s="161"/>
      <c r="C7" s="161"/>
      <c r="D7" s="161"/>
      <c r="E7" s="3"/>
      <c r="F7" s="3"/>
      <c r="G7" s="3"/>
      <c r="H7" s="3"/>
    </row>
    <row r="8" spans="1:9" ht="97.5" customHeight="1">
      <c r="A8" s="240" t="s">
        <v>169</v>
      </c>
      <c r="B8" s="240"/>
      <c r="C8" s="240"/>
      <c r="D8" s="240"/>
      <c r="E8" s="240"/>
      <c r="F8" s="240"/>
      <c r="G8" s="240"/>
      <c r="H8" s="240"/>
      <c r="I8" s="240"/>
    </row>
    <row r="9" spans="1:9" ht="0.75" customHeight="1">
      <c r="A9" s="4"/>
    </row>
    <row r="10" spans="1:9" ht="61.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>
      <c r="A20" s="32">
        <v>5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>
      <c r="A21" s="32">
        <v>6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t="30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>
      <c r="A27" s="32">
        <v>12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>
      <c r="A28" s="32">
        <v>13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>
      <c r="A31" s="32">
        <v>14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5">
      <c r="A32" s="32">
        <v>15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>
      <c r="A34" s="32">
        <v>17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>
      <c r="A35" s="32">
        <v>18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idden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idden="1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30" hidden="1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30" hidden="1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60" hidden="1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idden="1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 hidden="1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" hidden="1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>
      <c r="A48" s="32">
        <v>19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>
      <c r="A49" s="32">
        <v>20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>
      <c r="A50" s="32">
        <v>21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>
      <c r="A51" s="32">
        <v>22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>
      <c r="A52" s="32">
        <v>23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>
      <c r="A53" s="32">
        <v>24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45">
      <c r="A54" s="32">
        <v>25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0">
      <c r="A55" s="32">
        <v>26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>
      <c r="A56" s="32">
        <v>27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idden="1">
      <c r="A57" s="32">
        <v>14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138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45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>
      <c r="A64" s="32">
        <v>28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idden="1">
      <c r="A66" s="32"/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v>0</v>
      </c>
    </row>
    <row r="67" spans="1:9" hidden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idden="1">
      <c r="A73" s="32"/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v>0</v>
      </c>
    </row>
    <row r="74" spans="1:9">
      <c r="A74" s="32">
        <v>34</v>
      </c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0">
      <c r="A79" s="32">
        <v>35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30">
      <c r="A81" s="32">
        <v>36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8.5" hidden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>
      <c r="A87" s="32">
        <v>37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0">
      <c r="A88" s="32">
        <v>38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I88+I87+I81+I79+I72+I71+I70+I69+I68+I64+I56+I55+I54+I53+I52+I51+I50+I49+I48+I35+I34+I33+I32+I31+I28+I27+I26+I25+I24+I23+I22+I21+I20+I19+I18+I17+I16</f>
        <v>191306.78197488899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30">
      <c r="A91" s="32" t="s">
        <v>213</v>
      </c>
      <c r="B91" s="51" t="s">
        <v>128</v>
      </c>
      <c r="C91" s="164" t="s">
        <v>109</v>
      </c>
      <c r="D91" s="14"/>
      <c r="E91" s="165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 ht="30">
      <c r="A92" s="32">
        <v>40</v>
      </c>
      <c r="B92" s="114" t="s">
        <v>196</v>
      </c>
      <c r="C92" s="166" t="s">
        <v>39</v>
      </c>
      <c r="D92" s="14"/>
      <c r="E92" s="64"/>
      <c r="F92" s="63"/>
      <c r="G92" s="36">
        <v>3724.37</v>
      </c>
      <c r="H92" s="63"/>
      <c r="I92" s="89">
        <f>G92*0.02</f>
        <v>74.487399999999994</v>
      </c>
    </row>
    <row r="93" spans="1:9" ht="30">
      <c r="A93" s="173">
        <v>41</v>
      </c>
      <c r="B93" s="52" t="s">
        <v>197</v>
      </c>
      <c r="C93" s="101" t="s">
        <v>41</v>
      </c>
      <c r="D93" s="19"/>
      <c r="E93" s="64"/>
      <c r="F93" s="63"/>
      <c r="G93" s="36">
        <v>7709.44</v>
      </c>
      <c r="H93" s="63"/>
      <c r="I93" s="89">
        <f>G93*0.01</f>
        <v>77.094399999999993</v>
      </c>
    </row>
    <row r="94" spans="1:9">
      <c r="A94" s="32">
        <v>42</v>
      </c>
      <c r="B94" s="174" t="s">
        <v>200</v>
      </c>
      <c r="C94" s="132" t="s">
        <v>109</v>
      </c>
      <c r="D94" s="14"/>
      <c r="E94" s="64"/>
      <c r="F94" s="63"/>
      <c r="G94" s="142">
        <v>197.26</v>
      </c>
      <c r="H94" s="63"/>
      <c r="I94" s="89">
        <f>G94*1</f>
        <v>197.26</v>
      </c>
    </row>
    <row r="95" spans="1:9" ht="30">
      <c r="A95" s="32">
        <v>43</v>
      </c>
      <c r="B95" s="131" t="s">
        <v>201</v>
      </c>
      <c r="C95" s="132" t="s">
        <v>109</v>
      </c>
      <c r="D95" s="14"/>
      <c r="E95" s="64"/>
      <c r="F95" s="63"/>
      <c r="G95" s="142">
        <v>86.69</v>
      </c>
      <c r="H95" s="63"/>
      <c r="I95" s="89">
        <f>G95*1</f>
        <v>86.69</v>
      </c>
    </row>
    <row r="96" spans="1:9" ht="30">
      <c r="A96" s="32">
        <v>44</v>
      </c>
      <c r="B96" s="131" t="s">
        <v>202</v>
      </c>
      <c r="C96" s="132" t="s">
        <v>109</v>
      </c>
      <c r="D96" s="14"/>
      <c r="E96" s="64"/>
      <c r="F96" s="63"/>
      <c r="G96" s="142">
        <v>2388.9</v>
      </c>
      <c r="H96" s="63"/>
      <c r="I96" s="89">
        <f>G96*1</f>
        <v>2388.9</v>
      </c>
    </row>
    <row r="97" spans="1:9">
      <c r="A97" s="32">
        <v>45</v>
      </c>
      <c r="B97" s="131" t="s">
        <v>203</v>
      </c>
      <c r="C97" s="132" t="s">
        <v>109</v>
      </c>
      <c r="D97" s="14"/>
      <c r="E97" s="64"/>
      <c r="F97" s="63"/>
      <c r="G97" s="142">
        <v>89.59</v>
      </c>
      <c r="H97" s="63"/>
      <c r="I97" s="89">
        <f>G97*1</f>
        <v>89.59</v>
      </c>
    </row>
    <row r="98" spans="1:9">
      <c r="A98" s="32"/>
      <c r="B98" s="44" t="s">
        <v>52</v>
      </c>
      <c r="C98" s="40"/>
      <c r="D98" s="47"/>
      <c r="E98" s="40">
        <v>1</v>
      </c>
      <c r="F98" s="40"/>
      <c r="G98" s="40"/>
      <c r="H98" s="40"/>
      <c r="I98" s="34">
        <f>I97+I96+I95+I94+I93+I92+I91-I91</f>
        <v>2914.0218000000004</v>
      </c>
    </row>
    <row r="99" spans="1:9">
      <c r="A99" s="32"/>
      <c r="B99" s="46" t="s">
        <v>80</v>
      </c>
      <c r="C99" s="15"/>
      <c r="D99" s="15"/>
      <c r="E99" s="41"/>
      <c r="F99" s="41"/>
      <c r="G99" s="42"/>
      <c r="H99" s="42"/>
      <c r="I99" s="17">
        <v>0</v>
      </c>
    </row>
    <row r="100" spans="1:9">
      <c r="A100" s="48"/>
      <c r="B100" s="45" t="s">
        <v>157</v>
      </c>
      <c r="C100" s="35"/>
      <c r="D100" s="35"/>
      <c r="E100" s="35"/>
      <c r="F100" s="35"/>
      <c r="G100" s="35"/>
      <c r="H100" s="35"/>
      <c r="I100" s="43">
        <f>I89+I98</f>
        <v>194220.80377488898</v>
      </c>
    </row>
    <row r="101" spans="1:9">
      <c r="A101" s="231" t="s">
        <v>214</v>
      </c>
      <c r="B101" s="232"/>
      <c r="C101" s="232"/>
      <c r="D101" s="232"/>
      <c r="E101" s="232"/>
      <c r="F101" s="232"/>
      <c r="G101" s="232"/>
      <c r="H101" s="232"/>
      <c r="I101" s="232"/>
    </row>
    <row r="102" spans="1:9" ht="15.75">
      <c r="A102" s="223" t="s">
        <v>211</v>
      </c>
      <c r="B102" s="223"/>
      <c r="C102" s="223"/>
      <c r="D102" s="223"/>
      <c r="E102" s="223"/>
      <c r="F102" s="223"/>
      <c r="G102" s="223"/>
      <c r="H102" s="223"/>
      <c r="I102" s="223"/>
    </row>
    <row r="103" spans="1:9" ht="15.75">
      <c r="A103" s="61"/>
      <c r="B103" s="224" t="s">
        <v>212</v>
      </c>
      <c r="C103" s="224"/>
      <c r="D103" s="224"/>
      <c r="E103" s="224"/>
      <c r="F103" s="224"/>
      <c r="G103" s="224"/>
      <c r="H103" s="67"/>
      <c r="I103" s="3"/>
    </row>
    <row r="104" spans="1:9">
      <c r="A104" s="163"/>
      <c r="B104" s="225" t="s">
        <v>6</v>
      </c>
      <c r="C104" s="225"/>
      <c r="D104" s="225"/>
      <c r="E104" s="225"/>
      <c r="F104" s="225"/>
      <c r="G104" s="225"/>
      <c r="H104" s="27"/>
      <c r="I104" s="50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 ht="15.75">
      <c r="A106" s="226" t="s">
        <v>7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226" t="s">
        <v>8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227" t="s">
        <v>62</v>
      </c>
      <c r="B108" s="227"/>
      <c r="C108" s="227"/>
      <c r="D108" s="227"/>
      <c r="E108" s="227"/>
      <c r="F108" s="227"/>
      <c r="G108" s="227"/>
      <c r="H108" s="227"/>
      <c r="I108" s="227"/>
    </row>
    <row r="109" spans="1:9" ht="15.75">
      <c r="A109" s="11"/>
    </row>
    <row r="110" spans="1:9" ht="15.75">
      <c r="A110" s="228" t="s">
        <v>9</v>
      </c>
      <c r="B110" s="228"/>
      <c r="C110" s="228"/>
      <c r="D110" s="228"/>
      <c r="E110" s="228"/>
      <c r="F110" s="228"/>
      <c r="G110" s="228"/>
      <c r="H110" s="228"/>
      <c r="I110" s="228"/>
    </row>
    <row r="111" spans="1:9" ht="15.75">
      <c r="A111" s="4"/>
    </row>
    <row r="112" spans="1:9" ht="15.75">
      <c r="B112" s="161" t="s">
        <v>10</v>
      </c>
      <c r="C112" s="229" t="s">
        <v>140</v>
      </c>
      <c r="D112" s="229"/>
      <c r="E112" s="229"/>
      <c r="F112" s="65"/>
      <c r="I112" s="162"/>
    </row>
    <row r="113" spans="1:9">
      <c r="A113" s="159"/>
      <c r="C113" s="225" t="s">
        <v>11</v>
      </c>
      <c r="D113" s="225"/>
      <c r="E113" s="225"/>
      <c r="F113" s="27"/>
      <c r="I113" s="160" t="s">
        <v>12</v>
      </c>
    </row>
    <row r="114" spans="1:9" ht="15.75">
      <c r="A114" s="28"/>
      <c r="C114" s="12"/>
      <c r="D114" s="12"/>
      <c r="G114" s="12"/>
      <c r="H114" s="12"/>
    </row>
    <row r="115" spans="1:9" ht="15.75">
      <c r="B115" s="161" t="s">
        <v>13</v>
      </c>
      <c r="C115" s="230"/>
      <c r="D115" s="230"/>
      <c r="E115" s="230"/>
      <c r="F115" s="66"/>
      <c r="I115" s="162"/>
    </row>
    <row r="116" spans="1:9">
      <c r="A116" s="159"/>
      <c r="C116" s="219" t="s">
        <v>11</v>
      </c>
      <c r="D116" s="219"/>
      <c r="E116" s="219"/>
      <c r="F116" s="159"/>
      <c r="I116" s="160" t="s">
        <v>12</v>
      </c>
    </row>
    <row r="117" spans="1:9" ht="15.75">
      <c r="A117" s="4" t="s">
        <v>14</v>
      </c>
    </row>
    <row r="118" spans="1:9">
      <c r="A118" s="217" t="s">
        <v>15</v>
      </c>
      <c r="B118" s="217"/>
      <c r="C118" s="217"/>
      <c r="D118" s="217"/>
      <c r="E118" s="217"/>
      <c r="F118" s="217"/>
      <c r="G118" s="217"/>
      <c r="H118" s="217"/>
      <c r="I118" s="217"/>
    </row>
    <row r="119" spans="1:9" ht="48" customHeight="1">
      <c r="A119" s="218" t="s">
        <v>16</v>
      </c>
      <c r="B119" s="218"/>
      <c r="C119" s="218"/>
      <c r="D119" s="218"/>
      <c r="E119" s="218"/>
      <c r="F119" s="218"/>
      <c r="G119" s="218"/>
      <c r="H119" s="218"/>
      <c r="I119" s="218"/>
    </row>
    <row r="120" spans="1:9" ht="34.5" customHeight="1">
      <c r="A120" s="218" t="s">
        <v>17</v>
      </c>
      <c r="B120" s="218"/>
      <c r="C120" s="218"/>
      <c r="D120" s="218"/>
      <c r="E120" s="218"/>
      <c r="F120" s="218"/>
      <c r="G120" s="218"/>
      <c r="H120" s="218"/>
      <c r="I120" s="218"/>
    </row>
    <row r="121" spans="1:9" ht="34.5" customHeight="1">
      <c r="A121" s="218" t="s">
        <v>21</v>
      </c>
      <c r="B121" s="218"/>
      <c r="C121" s="218"/>
      <c r="D121" s="218"/>
      <c r="E121" s="218"/>
      <c r="F121" s="218"/>
      <c r="G121" s="218"/>
      <c r="H121" s="218"/>
      <c r="I121" s="218"/>
    </row>
    <row r="122" spans="1:9" ht="15.75">
      <c r="A122" s="218" t="s">
        <v>20</v>
      </c>
      <c r="B122" s="218"/>
      <c r="C122" s="218"/>
      <c r="D122" s="218"/>
      <c r="E122" s="218"/>
      <c r="F122" s="218"/>
      <c r="G122" s="218"/>
      <c r="H122" s="218"/>
      <c r="I122" s="218"/>
    </row>
  </sheetData>
  <mergeCells count="29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9:I29"/>
    <mergeCell ref="A47:I47"/>
    <mergeCell ref="A58:I58"/>
    <mergeCell ref="A86:I86"/>
    <mergeCell ref="A90:I90"/>
    <mergeCell ref="A102:I102"/>
    <mergeCell ref="B103:G103"/>
    <mergeCell ref="B104:G104"/>
    <mergeCell ref="A106:I106"/>
    <mergeCell ref="A107:I107"/>
    <mergeCell ref="A14:I14"/>
    <mergeCell ref="A101:I101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2"/>
  <sheetViews>
    <sheetView workbookViewId="0">
      <selection activeCell="K101" sqref="K101"/>
    </sheetView>
  </sheetViews>
  <sheetFormatPr defaultRowHeight="15"/>
  <cols>
    <col min="1" max="1" width="10.5703125" customWidth="1"/>
    <col min="2" max="2" width="50.85546875" customWidth="1"/>
    <col min="3" max="3" width="18.140625" customWidth="1"/>
    <col min="4" max="4" width="17.85546875" customWidth="1"/>
    <col min="5" max="6" width="0" hidden="1" customWidth="1"/>
    <col min="7" max="7" width="17.7109375" customWidth="1"/>
    <col min="8" max="8" width="0" hidden="1" customWidth="1"/>
    <col min="9" max="9" width="17.42578125" customWidth="1"/>
  </cols>
  <sheetData>
    <row r="1" spans="1:9" ht="15.75">
      <c r="A1" s="30" t="s">
        <v>86</v>
      </c>
      <c r="I1" s="29"/>
    </row>
    <row r="2" spans="1:9" ht="15.75">
      <c r="A2" s="31" t="s">
        <v>63</v>
      </c>
    </row>
    <row r="3" spans="1:9" ht="15.75">
      <c r="A3" s="237" t="s">
        <v>221</v>
      </c>
      <c r="B3" s="237"/>
      <c r="C3" s="237"/>
      <c r="D3" s="237"/>
      <c r="E3" s="237"/>
      <c r="F3" s="237"/>
      <c r="G3" s="237"/>
      <c r="H3" s="237"/>
      <c r="I3" s="237"/>
    </row>
    <row r="4" spans="1:9" ht="15.75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204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171"/>
      <c r="C6" s="171"/>
      <c r="D6" s="171"/>
      <c r="E6" s="171"/>
      <c r="F6" s="171"/>
      <c r="G6" s="171"/>
      <c r="H6" s="171"/>
      <c r="I6" s="33">
        <v>43281</v>
      </c>
    </row>
    <row r="7" spans="1:9" ht="15.75">
      <c r="B7" s="169"/>
      <c r="C7" s="169"/>
      <c r="D7" s="169"/>
      <c r="E7" s="3"/>
      <c r="F7" s="3"/>
      <c r="G7" s="3"/>
      <c r="H7" s="3"/>
    </row>
    <row r="8" spans="1:9" ht="83.25" customHeight="1">
      <c r="A8" s="240" t="s">
        <v>169</v>
      </c>
      <c r="B8" s="240"/>
      <c r="C8" s="240"/>
      <c r="D8" s="240"/>
      <c r="E8" s="240"/>
      <c r="F8" s="240"/>
      <c r="G8" s="240"/>
      <c r="H8" s="240"/>
      <c r="I8" s="240"/>
    </row>
    <row r="9" spans="1:9" ht="15.75">
      <c r="A9" s="4"/>
    </row>
    <row r="10" spans="1:9" ht="72.7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6.5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 ht="16.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 ht="15.75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 hidden="1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 hidden="1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 hidden="1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 hidden="1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idden="1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 ht="16.5" customHeight="1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t="15.75" customHeight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t="15" customHeight="1">
      <c r="A31" s="32">
        <v>7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3.5" customHeight="1">
      <c r="A32" s="32">
        <v>8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t="15.75" hidden="1" customHeight="1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t="17.25" customHeight="1">
      <c r="A34" s="32">
        <v>9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t="19.5" customHeight="1">
      <c r="A35" s="32">
        <v>10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idden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idden="1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30" hidden="1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30" hidden="1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60" hidden="1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idden="1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 hidden="1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" hidden="1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 hidden="1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idden="1">
      <c r="A48" s="32">
        <v>19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20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 hidden="1">
      <c r="A50" s="32">
        <v>21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 hidden="1">
      <c r="A51" s="32">
        <v>22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 hidden="1">
      <c r="A52" s="32">
        <v>23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 hidden="1">
      <c r="A53" s="32">
        <v>24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45" hidden="1">
      <c r="A54" s="32">
        <v>25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0" hidden="1">
      <c r="A55" s="32">
        <v>26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 hidden="1">
      <c r="A56" s="32">
        <v>27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idden="1">
      <c r="A57" s="32">
        <v>14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192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30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 ht="21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 ht="21" customHeight="1">
      <c r="A64" s="32">
        <v>11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t="15.75" customHeight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idden="1">
      <c r="A66" s="32"/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v>0</v>
      </c>
    </row>
    <row r="67" spans="1:9" hidden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idden="1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 hidden="1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 hidden="1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 hidden="1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 hidden="1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idden="1">
      <c r="A73" s="32"/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v>0</v>
      </c>
    </row>
    <row r="74" spans="1:9" ht="18.75" customHeight="1">
      <c r="A74" s="32">
        <v>12</v>
      </c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27.75" customHeight="1">
      <c r="A79" s="32">
        <v>13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ht="20.25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19.5" customHeight="1">
      <c r="A81" s="32">
        <v>14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8.5" hidden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 ht="18.75" customHeight="1">
      <c r="A87" s="32">
        <v>15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1.5" customHeight="1">
      <c r="A88" s="32">
        <v>16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I88+I87+I81+I79+I64+I35+I34+I32+I31+I28+I27+I20+I18+I17+I16</f>
        <v>63043.634996888875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31.5" customHeight="1">
      <c r="A91" s="32" t="s">
        <v>207</v>
      </c>
      <c r="B91" s="51" t="s">
        <v>128</v>
      </c>
      <c r="C91" s="164" t="s">
        <v>109</v>
      </c>
      <c r="D91" s="14"/>
      <c r="E91" s="165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 ht="30" hidden="1">
      <c r="A92" s="32">
        <v>40</v>
      </c>
      <c r="B92" s="114" t="s">
        <v>196</v>
      </c>
      <c r="C92" s="166" t="s">
        <v>39</v>
      </c>
      <c r="D92" s="14"/>
      <c r="E92" s="64"/>
      <c r="F92" s="63"/>
      <c r="G92" s="36">
        <v>3724.37</v>
      </c>
      <c r="H92" s="63"/>
      <c r="I92" s="89">
        <f>G92*0.02</f>
        <v>74.487399999999994</v>
      </c>
    </row>
    <row r="93" spans="1:9" hidden="1">
      <c r="A93" s="173">
        <v>41</v>
      </c>
      <c r="B93" s="52" t="s">
        <v>197</v>
      </c>
      <c r="C93" s="101" t="s">
        <v>41</v>
      </c>
      <c r="D93" s="19"/>
      <c r="E93" s="64"/>
      <c r="F93" s="63"/>
      <c r="G93" s="36">
        <v>7709.44</v>
      </c>
      <c r="H93" s="63"/>
      <c r="I93" s="89">
        <f>G93*0.01</f>
        <v>77.094399999999993</v>
      </c>
    </row>
    <row r="94" spans="1:9" hidden="1">
      <c r="A94" s="32">
        <v>42</v>
      </c>
      <c r="B94" s="174" t="s">
        <v>200</v>
      </c>
      <c r="C94" s="132" t="s">
        <v>109</v>
      </c>
      <c r="D94" s="14"/>
      <c r="E94" s="64"/>
      <c r="F94" s="63"/>
      <c r="G94" s="142">
        <v>197.26</v>
      </c>
      <c r="H94" s="63"/>
      <c r="I94" s="89">
        <f>G94*1</f>
        <v>197.26</v>
      </c>
    </row>
    <row r="95" spans="1:9" ht="31.5" customHeight="1">
      <c r="A95" s="32">
        <v>18</v>
      </c>
      <c r="B95" s="131" t="s">
        <v>201</v>
      </c>
      <c r="C95" s="132" t="s">
        <v>109</v>
      </c>
      <c r="D95" s="14"/>
      <c r="E95" s="64"/>
      <c r="F95" s="63"/>
      <c r="G95" s="142">
        <v>86.69</v>
      </c>
      <c r="H95" s="63"/>
      <c r="I95" s="89">
        <f>G95*1</f>
        <v>86.69</v>
      </c>
    </row>
    <row r="96" spans="1:9" ht="30" hidden="1">
      <c r="A96" s="32">
        <v>44</v>
      </c>
      <c r="B96" s="131" t="s">
        <v>202</v>
      </c>
      <c r="C96" s="132" t="s">
        <v>109</v>
      </c>
      <c r="D96" s="14"/>
      <c r="E96" s="64"/>
      <c r="F96" s="63"/>
      <c r="G96" s="142">
        <v>2388.9</v>
      </c>
      <c r="H96" s="63"/>
      <c r="I96" s="89">
        <f>G96*1</f>
        <v>2388.9</v>
      </c>
    </row>
    <row r="97" spans="1:9" ht="15" customHeight="1">
      <c r="A97" s="32">
        <v>19</v>
      </c>
      <c r="B97" s="131" t="s">
        <v>205</v>
      </c>
      <c r="C97" s="132" t="s">
        <v>206</v>
      </c>
      <c r="D97" s="14"/>
      <c r="E97" s="64"/>
      <c r="F97" s="63"/>
      <c r="G97" s="142">
        <v>134.12</v>
      </c>
      <c r="H97" s="63"/>
      <c r="I97" s="89">
        <f>G97*3</f>
        <v>402.36</v>
      </c>
    </row>
    <row r="98" spans="1:9" ht="19.5" customHeight="1">
      <c r="A98" s="32"/>
      <c r="B98" s="44" t="s">
        <v>52</v>
      </c>
      <c r="C98" s="40"/>
      <c r="D98" s="47"/>
      <c r="E98" s="40">
        <v>1</v>
      </c>
      <c r="F98" s="40"/>
      <c r="G98" s="40"/>
      <c r="H98" s="40"/>
      <c r="I98" s="34">
        <f>I97+I95</f>
        <v>489.05</v>
      </c>
    </row>
    <row r="99" spans="1:9">
      <c r="A99" s="32"/>
      <c r="B99" s="46" t="s">
        <v>80</v>
      </c>
      <c r="C99" s="15"/>
      <c r="D99" s="15"/>
      <c r="E99" s="41"/>
      <c r="F99" s="41"/>
      <c r="G99" s="42"/>
      <c r="H99" s="42"/>
      <c r="I99" s="17">
        <v>0</v>
      </c>
    </row>
    <row r="100" spans="1:9">
      <c r="A100" s="48"/>
      <c r="B100" s="45" t="s">
        <v>157</v>
      </c>
      <c r="C100" s="35"/>
      <c r="D100" s="35"/>
      <c r="E100" s="35"/>
      <c r="F100" s="35"/>
      <c r="G100" s="35"/>
      <c r="H100" s="35"/>
      <c r="I100" s="43">
        <f>I89+I98</f>
        <v>63532.684996888878</v>
      </c>
    </row>
    <row r="101" spans="1:9">
      <c r="A101" s="231" t="s">
        <v>208</v>
      </c>
      <c r="B101" s="232"/>
      <c r="C101" s="232"/>
      <c r="D101" s="232"/>
      <c r="E101" s="232"/>
      <c r="F101" s="232"/>
      <c r="G101" s="232"/>
      <c r="H101" s="232"/>
      <c r="I101" s="232"/>
    </row>
    <row r="102" spans="1:9" ht="15.75">
      <c r="A102" s="223" t="s">
        <v>209</v>
      </c>
      <c r="B102" s="223"/>
      <c r="C102" s="223"/>
      <c r="D102" s="223"/>
      <c r="E102" s="223"/>
      <c r="F102" s="223"/>
      <c r="G102" s="223"/>
      <c r="H102" s="223"/>
      <c r="I102" s="223"/>
    </row>
    <row r="103" spans="1:9" ht="15.75">
      <c r="A103" s="61"/>
      <c r="B103" s="224" t="s">
        <v>210</v>
      </c>
      <c r="C103" s="224"/>
      <c r="D103" s="224"/>
      <c r="E103" s="224"/>
      <c r="F103" s="224"/>
      <c r="G103" s="224"/>
      <c r="H103" s="67"/>
      <c r="I103" s="3"/>
    </row>
    <row r="104" spans="1:9">
      <c r="A104" s="172"/>
      <c r="B104" s="225" t="s">
        <v>6</v>
      </c>
      <c r="C104" s="225"/>
      <c r="D104" s="225"/>
      <c r="E104" s="225"/>
      <c r="F104" s="225"/>
      <c r="G104" s="225"/>
      <c r="H104" s="27"/>
      <c r="I104" s="50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 ht="15.75">
      <c r="A106" s="226" t="s">
        <v>7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226" t="s">
        <v>8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227" t="s">
        <v>62</v>
      </c>
      <c r="B108" s="227"/>
      <c r="C108" s="227"/>
      <c r="D108" s="227"/>
      <c r="E108" s="227"/>
      <c r="F108" s="227"/>
      <c r="G108" s="227"/>
      <c r="H108" s="227"/>
      <c r="I108" s="227"/>
    </row>
    <row r="109" spans="1:9" ht="15.75">
      <c r="A109" s="11"/>
    </row>
    <row r="110" spans="1:9" ht="15.75">
      <c r="A110" s="228" t="s">
        <v>9</v>
      </c>
      <c r="B110" s="228"/>
      <c r="C110" s="228"/>
      <c r="D110" s="228"/>
      <c r="E110" s="228"/>
      <c r="F110" s="228"/>
      <c r="G110" s="228"/>
      <c r="H110" s="228"/>
      <c r="I110" s="228"/>
    </row>
    <row r="111" spans="1:9" ht="15.75">
      <c r="A111" s="4"/>
    </row>
    <row r="112" spans="1:9" ht="15.75">
      <c r="B112" s="169" t="s">
        <v>10</v>
      </c>
      <c r="C112" s="229" t="s">
        <v>140</v>
      </c>
      <c r="D112" s="229"/>
      <c r="E112" s="229"/>
      <c r="F112" s="65"/>
      <c r="I112" s="170"/>
    </row>
    <row r="113" spans="1:9">
      <c r="A113" s="167"/>
      <c r="C113" s="225" t="s">
        <v>11</v>
      </c>
      <c r="D113" s="225"/>
      <c r="E113" s="225"/>
      <c r="F113" s="27"/>
      <c r="I113" s="168" t="s">
        <v>12</v>
      </c>
    </row>
    <row r="114" spans="1:9" ht="15.75">
      <c r="A114" s="28"/>
      <c r="C114" s="12"/>
      <c r="D114" s="12"/>
      <c r="G114" s="12"/>
      <c r="H114" s="12"/>
    </row>
    <row r="115" spans="1:9" ht="15.75">
      <c r="B115" s="169" t="s">
        <v>13</v>
      </c>
      <c r="C115" s="230"/>
      <c r="D115" s="230"/>
      <c r="E115" s="230"/>
      <c r="F115" s="66"/>
      <c r="I115" s="170"/>
    </row>
    <row r="116" spans="1:9">
      <c r="A116" s="167"/>
      <c r="C116" s="219" t="s">
        <v>11</v>
      </c>
      <c r="D116" s="219"/>
      <c r="E116" s="219"/>
      <c r="F116" s="167"/>
      <c r="I116" s="168" t="s">
        <v>12</v>
      </c>
    </row>
    <row r="117" spans="1:9" ht="15.75">
      <c r="A117" s="4" t="s">
        <v>14</v>
      </c>
    </row>
    <row r="118" spans="1:9">
      <c r="A118" s="217" t="s">
        <v>15</v>
      </c>
      <c r="B118" s="217"/>
      <c r="C118" s="217"/>
      <c r="D118" s="217"/>
      <c r="E118" s="217"/>
      <c r="F118" s="217"/>
      <c r="G118" s="217"/>
      <c r="H118" s="217"/>
      <c r="I118" s="217"/>
    </row>
    <row r="119" spans="1:9" ht="33.75" customHeight="1">
      <c r="A119" s="218" t="s">
        <v>16</v>
      </c>
      <c r="B119" s="218"/>
      <c r="C119" s="218"/>
      <c r="D119" s="218"/>
      <c r="E119" s="218"/>
      <c r="F119" s="218"/>
      <c r="G119" s="218"/>
      <c r="H119" s="218"/>
      <c r="I119" s="218"/>
    </row>
    <row r="120" spans="1:9" ht="31.5" customHeight="1">
      <c r="A120" s="218" t="s">
        <v>17</v>
      </c>
      <c r="B120" s="218"/>
      <c r="C120" s="218"/>
      <c r="D120" s="218"/>
      <c r="E120" s="218"/>
      <c r="F120" s="218"/>
      <c r="G120" s="218"/>
      <c r="H120" s="218"/>
      <c r="I120" s="218"/>
    </row>
    <row r="121" spans="1:9" ht="27" customHeight="1">
      <c r="A121" s="218" t="s">
        <v>21</v>
      </c>
      <c r="B121" s="218"/>
      <c r="C121" s="218"/>
      <c r="D121" s="218"/>
      <c r="E121" s="218"/>
      <c r="F121" s="218"/>
      <c r="G121" s="218"/>
      <c r="H121" s="218"/>
      <c r="I121" s="218"/>
    </row>
    <row r="122" spans="1:9" ht="26.25" customHeight="1">
      <c r="A122" s="218" t="s">
        <v>20</v>
      </c>
      <c r="B122" s="218"/>
      <c r="C122" s="218"/>
      <c r="D122" s="218"/>
      <c r="E122" s="218"/>
      <c r="F122" s="218"/>
      <c r="G122" s="218"/>
      <c r="H122" s="218"/>
      <c r="I122" s="218"/>
    </row>
  </sheetData>
  <mergeCells count="29">
    <mergeCell ref="A14:I14"/>
    <mergeCell ref="A3:I3"/>
    <mergeCell ref="A4:I4"/>
    <mergeCell ref="A5:I5"/>
    <mergeCell ref="A8:I8"/>
    <mergeCell ref="A10:I10"/>
    <mergeCell ref="A108:I108"/>
    <mergeCell ref="A15:I15"/>
    <mergeCell ref="A29:I29"/>
    <mergeCell ref="A47:I47"/>
    <mergeCell ref="A58:I58"/>
    <mergeCell ref="A86:I86"/>
    <mergeCell ref="A90:I90"/>
    <mergeCell ref="A119:I119"/>
    <mergeCell ref="A120:I120"/>
    <mergeCell ref="A121:I121"/>
    <mergeCell ref="A122:I122"/>
    <mergeCell ref="A101:I101"/>
    <mergeCell ref="A110:I110"/>
    <mergeCell ref="C112:E112"/>
    <mergeCell ref="C113:E113"/>
    <mergeCell ref="C115:E115"/>
    <mergeCell ref="C116:E116"/>
    <mergeCell ref="A118:I118"/>
    <mergeCell ref="A102:I102"/>
    <mergeCell ref="B103:G103"/>
    <mergeCell ref="B104:G104"/>
    <mergeCell ref="A106:I106"/>
    <mergeCell ref="A107:I107"/>
  </mergeCells>
  <pageMargins left="0.7" right="0.7" top="0.75" bottom="0.75" header="0.3" footer="0.3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1"/>
  <sheetViews>
    <sheetView tabSelected="1" topLeftCell="A98" workbookViewId="0">
      <selection activeCell="L102" sqref="L102"/>
    </sheetView>
  </sheetViews>
  <sheetFormatPr defaultRowHeight="15"/>
  <cols>
    <col min="1" max="1" width="11.140625" customWidth="1"/>
    <col min="2" max="2" width="48.85546875" customWidth="1"/>
    <col min="3" max="3" width="17.5703125" customWidth="1"/>
    <col min="4" max="4" width="17.42578125" customWidth="1"/>
    <col min="5" max="6" width="0" hidden="1" customWidth="1"/>
    <col min="7" max="7" width="15.85546875" customWidth="1"/>
    <col min="8" max="8" width="0" hidden="1" customWidth="1"/>
    <col min="9" max="9" width="18" customWidth="1"/>
  </cols>
  <sheetData>
    <row r="1" spans="1:9" ht="15.75">
      <c r="A1" s="30" t="s">
        <v>222</v>
      </c>
      <c r="I1" s="29"/>
    </row>
    <row r="2" spans="1:9" ht="15.75">
      <c r="A2" s="31" t="s">
        <v>63</v>
      </c>
    </row>
    <row r="3" spans="1:9" ht="15.75">
      <c r="A3" s="237" t="s">
        <v>223</v>
      </c>
      <c r="B3" s="237"/>
      <c r="C3" s="237"/>
      <c r="D3" s="237"/>
      <c r="E3" s="237"/>
      <c r="F3" s="237"/>
      <c r="G3" s="237"/>
      <c r="H3" s="237"/>
      <c r="I3" s="237"/>
    </row>
    <row r="4" spans="1:9" ht="15.75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224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175"/>
      <c r="C6" s="175"/>
      <c r="D6" s="175"/>
      <c r="E6" s="175"/>
      <c r="F6" s="175"/>
      <c r="G6" s="175"/>
      <c r="H6" s="175"/>
      <c r="I6" s="33">
        <v>43312</v>
      </c>
    </row>
    <row r="7" spans="1:9" ht="0.75" customHeight="1">
      <c r="B7" s="178"/>
      <c r="C7" s="178"/>
      <c r="D7" s="178"/>
      <c r="E7" s="3"/>
      <c r="F7" s="3"/>
      <c r="G7" s="3"/>
      <c r="H7" s="3"/>
    </row>
    <row r="8" spans="1:9" ht="105.75" customHeight="1">
      <c r="A8" s="240" t="s">
        <v>225</v>
      </c>
      <c r="B8" s="240"/>
      <c r="C8" s="240"/>
      <c r="D8" s="240"/>
      <c r="E8" s="240"/>
      <c r="F8" s="240"/>
      <c r="G8" s="240"/>
      <c r="H8" s="240"/>
      <c r="I8" s="240"/>
    </row>
    <row r="9" spans="1:9" ht="15.75">
      <c r="A9" s="4"/>
    </row>
    <row r="10" spans="1:9" ht="56.2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21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 ht="18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 ht="20.25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 hidden="1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 hidden="1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 hidden="1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 hidden="1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t="30" hidden="1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 ht="21" customHeight="1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t="18.75" customHeight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t="17.25" customHeight="1">
      <c r="A31" s="32">
        <v>7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36" customHeight="1">
      <c r="A32" s="32">
        <v>8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t="18" customHeight="1">
      <c r="A34" s="32">
        <v>9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t="19.5" customHeight="1">
      <c r="A35" s="32">
        <v>10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t="30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t="30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idden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idden="1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30" hidden="1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30" hidden="1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t="30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60" hidden="1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idden="1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 hidden="1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" hidden="1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 hidden="1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idden="1">
      <c r="A48" s="32">
        <v>19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20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 hidden="1">
      <c r="A50" s="32">
        <v>21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 hidden="1">
      <c r="A51" s="32">
        <v>22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 hidden="1">
      <c r="A52" s="32">
        <v>23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 hidden="1">
      <c r="A53" s="32">
        <v>24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45" hidden="1">
      <c r="A54" s="32">
        <v>25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0" hidden="1">
      <c r="A55" s="32">
        <v>26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 hidden="1">
      <c r="A56" s="32">
        <v>27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idden="1">
      <c r="A57" s="32">
        <v>14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192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45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t="30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 ht="15.75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 ht="15.75" customHeight="1">
      <c r="A64" s="32">
        <v>11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t="17.25" hidden="1" customHeight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t="19.5" hidden="1" customHeight="1">
      <c r="A66" s="32"/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v>0</v>
      </c>
    </row>
    <row r="67" spans="1:9" ht="30" hidden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idden="1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 hidden="1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 hidden="1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 hidden="1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 hidden="1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idden="1">
      <c r="A73" s="32"/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v>0</v>
      </c>
    </row>
    <row r="74" spans="1:9" ht="17.25" customHeight="1">
      <c r="A74" s="32">
        <v>12</v>
      </c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1.5" customHeight="1">
      <c r="A79" s="32">
        <v>13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ht="18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18.75" customHeight="1">
      <c r="A81" s="32">
        <v>14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8.5" hidden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 ht="18" customHeight="1">
      <c r="A87" s="32">
        <v>15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0.75" customHeight="1">
      <c r="A88" s="32">
        <v>16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I88+I87+I81+I79+I64+I35+I34+I32+I31+I28+I27+I20+I18+I17+I16</f>
        <v>63043.634996888875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33" customHeight="1">
      <c r="A91" s="32" t="s">
        <v>207</v>
      </c>
      <c r="B91" s="51" t="s">
        <v>128</v>
      </c>
      <c r="C91" s="164" t="s">
        <v>109</v>
      </c>
      <c r="D91" s="14"/>
      <c r="E91" s="165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 ht="30.75" customHeight="1">
      <c r="A92" s="32">
        <v>18</v>
      </c>
      <c r="B92" s="114" t="s">
        <v>196</v>
      </c>
      <c r="C92" s="166" t="s">
        <v>39</v>
      </c>
      <c r="D92" s="14"/>
      <c r="E92" s="64"/>
      <c r="F92" s="63"/>
      <c r="G92" s="36">
        <v>3724.37</v>
      </c>
      <c r="H92" s="63"/>
      <c r="I92" s="89">
        <f>G92*0.01</f>
        <v>37.243699999999997</v>
      </c>
    </row>
    <row r="93" spans="1:9">
      <c r="A93" s="173">
        <v>19</v>
      </c>
      <c r="B93" s="131" t="s">
        <v>226</v>
      </c>
      <c r="C93" s="132" t="s">
        <v>84</v>
      </c>
      <c r="D93" s="19"/>
      <c r="E93" s="64"/>
      <c r="F93" s="63"/>
      <c r="G93" s="36">
        <v>203.68</v>
      </c>
      <c r="H93" s="63"/>
      <c r="I93" s="89">
        <f>G93*1</f>
        <v>203.68</v>
      </c>
    </row>
    <row r="94" spans="1:9" ht="30">
      <c r="A94" s="32">
        <v>20</v>
      </c>
      <c r="B94" s="131" t="s">
        <v>143</v>
      </c>
      <c r="C94" s="132" t="s">
        <v>136</v>
      </c>
      <c r="D94" s="14"/>
      <c r="E94" s="64"/>
      <c r="F94" s="63"/>
      <c r="G94" s="142">
        <v>613.44000000000005</v>
      </c>
      <c r="H94" s="63"/>
      <c r="I94" s="89">
        <f>G94*2</f>
        <v>1226.8800000000001</v>
      </c>
    </row>
    <row r="95" spans="1:9">
      <c r="A95" s="32">
        <v>21</v>
      </c>
      <c r="B95" s="131" t="s">
        <v>227</v>
      </c>
      <c r="C95" s="132" t="s">
        <v>109</v>
      </c>
      <c r="D95" s="14"/>
      <c r="E95" s="64"/>
      <c r="F95" s="63"/>
      <c r="G95" s="142">
        <v>197.48</v>
      </c>
      <c r="H95" s="63"/>
      <c r="I95" s="89">
        <f>G95*1</f>
        <v>197.48</v>
      </c>
    </row>
    <row r="96" spans="1:9" ht="18" customHeight="1">
      <c r="A96" s="32">
        <v>22</v>
      </c>
      <c r="B96" s="131" t="s">
        <v>228</v>
      </c>
      <c r="C96" s="132" t="s">
        <v>136</v>
      </c>
      <c r="D96" s="14"/>
      <c r="E96" s="64"/>
      <c r="F96" s="63"/>
      <c r="G96" s="142">
        <v>546.01</v>
      </c>
      <c r="H96" s="63"/>
      <c r="I96" s="89">
        <f>G96*1</f>
        <v>546.01</v>
      </c>
    </row>
    <row r="97" spans="1:9" ht="16.5" customHeight="1">
      <c r="A97" s="32"/>
      <c r="B97" s="44" t="s">
        <v>52</v>
      </c>
      <c r="C97" s="40"/>
      <c r="D97" s="47"/>
      <c r="E97" s="40">
        <v>1</v>
      </c>
      <c r="F97" s="40"/>
      <c r="G97" s="40"/>
      <c r="H97" s="40"/>
      <c r="I97" s="34">
        <f>SUM(I92:I96)</f>
        <v>2211.2937000000002</v>
      </c>
    </row>
    <row r="98" spans="1:9">
      <c r="A98" s="32"/>
      <c r="B98" s="46" t="s">
        <v>80</v>
      </c>
      <c r="C98" s="15"/>
      <c r="D98" s="15"/>
      <c r="E98" s="41"/>
      <c r="F98" s="41"/>
      <c r="G98" s="42"/>
      <c r="H98" s="42"/>
      <c r="I98" s="17">
        <v>0</v>
      </c>
    </row>
    <row r="99" spans="1:9">
      <c r="A99" s="48"/>
      <c r="B99" s="45" t="s">
        <v>157</v>
      </c>
      <c r="C99" s="35"/>
      <c r="D99" s="35"/>
      <c r="E99" s="35"/>
      <c r="F99" s="35"/>
      <c r="G99" s="35"/>
      <c r="H99" s="35"/>
      <c r="I99" s="43">
        <f>I89+I97</f>
        <v>65254.928696888877</v>
      </c>
    </row>
    <row r="100" spans="1:9">
      <c r="A100" s="231" t="s">
        <v>208</v>
      </c>
      <c r="B100" s="232"/>
      <c r="C100" s="232"/>
      <c r="D100" s="232"/>
      <c r="E100" s="232"/>
      <c r="F100" s="232"/>
      <c r="G100" s="232"/>
      <c r="H100" s="232"/>
      <c r="I100" s="232"/>
    </row>
    <row r="101" spans="1:9" ht="15.75">
      <c r="A101" s="223" t="s">
        <v>229</v>
      </c>
      <c r="B101" s="223"/>
      <c r="C101" s="223"/>
      <c r="D101" s="223"/>
      <c r="E101" s="223"/>
      <c r="F101" s="223"/>
      <c r="G101" s="223"/>
      <c r="H101" s="223"/>
      <c r="I101" s="223"/>
    </row>
    <row r="102" spans="1:9" ht="15.75">
      <c r="A102" s="61"/>
      <c r="B102" s="224" t="s">
        <v>230</v>
      </c>
      <c r="C102" s="224"/>
      <c r="D102" s="224"/>
      <c r="E102" s="224"/>
      <c r="F102" s="224"/>
      <c r="G102" s="224"/>
      <c r="H102" s="67"/>
      <c r="I102" s="3"/>
    </row>
    <row r="103" spans="1:9">
      <c r="A103" s="180"/>
      <c r="B103" s="225" t="s">
        <v>6</v>
      </c>
      <c r="C103" s="225"/>
      <c r="D103" s="225"/>
      <c r="E103" s="225"/>
      <c r="F103" s="225"/>
      <c r="G103" s="225"/>
      <c r="H103" s="27"/>
      <c r="I103" s="50"/>
    </row>
    <row r="104" spans="1:9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 ht="15.75">
      <c r="A105" s="226" t="s">
        <v>7</v>
      </c>
      <c r="B105" s="226"/>
      <c r="C105" s="226"/>
      <c r="D105" s="226"/>
      <c r="E105" s="226"/>
      <c r="F105" s="226"/>
      <c r="G105" s="226"/>
      <c r="H105" s="226"/>
      <c r="I105" s="226"/>
    </row>
    <row r="106" spans="1:9" ht="15.75">
      <c r="A106" s="226" t="s">
        <v>8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227" t="s">
        <v>62</v>
      </c>
      <c r="B107" s="227"/>
      <c r="C107" s="227"/>
      <c r="D107" s="227"/>
      <c r="E107" s="227"/>
      <c r="F107" s="227"/>
      <c r="G107" s="227"/>
      <c r="H107" s="227"/>
      <c r="I107" s="227"/>
    </row>
    <row r="108" spans="1:9" ht="15.75">
      <c r="A108" s="11"/>
    </row>
    <row r="109" spans="1:9" ht="15.75">
      <c r="A109" s="228" t="s">
        <v>9</v>
      </c>
      <c r="B109" s="228"/>
      <c r="C109" s="228"/>
      <c r="D109" s="228"/>
      <c r="E109" s="228"/>
      <c r="F109" s="228"/>
      <c r="G109" s="228"/>
      <c r="H109" s="228"/>
      <c r="I109" s="228"/>
    </row>
    <row r="110" spans="1:9" ht="15.75">
      <c r="A110" s="4"/>
    </row>
    <row r="111" spans="1:9" ht="15.75">
      <c r="B111" s="178" t="s">
        <v>10</v>
      </c>
      <c r="C111" s="229" t="s">
        <v>140</v>
      </c>
      <c r="D111" s="229"/>
      <c r="E111" s="229"/>
      <c r="F111" s="65"/>
      <c r="I111" s="179"/>
    </row>
    <row r="112" spans="1:9">
      <c r="A112" s="176"/>
      <c r="C112" s="225" t="s">
        <v>11</v>
      </c>
      <c r="D112" s="225"/>
      <c r="E112" s="225"/>
      <c r="F112" s="27"/>
      <c r="I112" s="177" t="s">
        <v>12</v>
      </c>
    </row>
    <row r="113" spans="1:9" ht="15.75">
      <c r="A113" s="28"/>
      <c r="C113" s="12"/>
      <c r="D113" s="12"/>
      <c r="G113" s="12"/>
      <c r="H113" s="12"/>
    </row>
    <row r="114" spans="1:9" ht="15.75">
      <c r="B114" s="178" t="s">
        <v>13</v>
      </c>
      <c r="C114" s="230"/>
      <c r="D114" s="230"/>
      <c r="E114" s="230"/>
      <c r="F114" s="66"/>
      <c r="I114" s="179"/>
    </row>
    <row r="115" spans="1:9">
      <c r="A115" s="176"/>
      <c r="C115" s="219" t="s">
        <v>11</v>
      </c>
      <c r="D115" s="219"/>
      <c r="E115" s="219"/>
      <c r="F115" s="176"/>
      <c r="I115" s="177" t="s">
        <v>12</v>
      </c>
    </row>
    <row r="116" spans="1:9" ht="15.75">
      <c r="A116" s="4" t="s">
        <v>14</v>
      </c>
    </row>
    <row r="117" spans="1:9">
      <c r="A117" s="217" t="s">
        <v>15</v>
      </c>
      <c r="B117" s="217"/>
      <c r="C117" s="217"/>
      <c r="D117" s="217"/>
      <c r="E117" s="217"/>
      <c r="F117" s="217"/>
      <c r="G117" s="217"/>
      <c r="H117" s="217"/>
      <c r="I117" s="217"/>
    </row>
    <row r="118" spans="1:9" ht="48.75" customHeight="1">
      <c r="A118" s="218" t="s">
        <v>16</v>
      </c>
      <c r="B118" s="218"/>
      <c r="C118" s="218"/>
      <c r="D118" s="218"/>
      <c r="E118" s="218"/>
      <c r="F118" s="218"/>
      <c r="G118" s="218"/>
      <c r="H118" s="218"/>
      <c r="I118" s="218"/>
    </row>
    <row r="119" spans="1:9" ht="44.25" customHeight="1">
      <c r="A119" s="218" t="s">
        <v>17</v>
      </c>
      <c r="B119" s="218"/>
      <c r="C119" s="218"/>
      <c r="D119" s="218"/>
      <c r="E119" s="218"/>
      <c r="F119" s="218"/>
      <c r="G119" s="218"/>
      <c r="H119" s="218"/>
      <c r="I119" s="218"/>
    </row>
    <row r="120" spans="1:9" ht="27.75" customHeight="1">
      <c r="A120" s="218" t="s">
        <v>21</v>
      </c>
      <c r="B120" s="218"/>
      <c r="C120" s="218"/>
      <c r="D120" s="218"/>
      <c r="E120" s="218"/>
      <c r="F120" s="218"/>
      <c r="G120" s="218"/>
      <c r="H120" s="218"/>
      <c r="I120" s="218"/>
    </row>
    <row r="121" spans="1:9" ht="15.75">
      <c r="A121" s="218" t="s">
        <v>20</v>
      </c>
      <c r="B121" s="218"/>
      <c r="C121" s="218"/>
      <c r="D121" s="218"/>
      <c r="E121" s="218"/>
      <c r="F121" s="218"/>
      <c r="G121" s="218"/>
      <c r="H121" s="218"/>
      <c r="I121" s="218"/>
    </row>
  </sheetData>
  <mergeCells count="29">
    <mergeCell ref="A117:I117"/>
    <mergeCell ref="A118:I118"/>
    <mergeCell ref="A119:I119"/>
    <mergeCell ref="A120:I120"/>
    <mergeCell ref="A121:I121"/>
    <mergeCell ref="C115:E115"/>
    <mergeCell ref="A100:I100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</mergeCells>
  <pageMargins left="0.7" right="0.7" top="0.75" bottom="0.75" header="0.3" footer="0.3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zoomScale="60" workbookViewId="0">
      <selection activeCell="J108" sqref="J108"/>
    </sheetView>
  </sheetViews>
  <sheetFormatPr defaultRowHeight="15"/>
  <cols>
    <col min="1" max="1" width="14.7109375" customWidth="1"/>
    <col min="2" max="2" width="46.28515625" customWidth="1"/>
    <col min="3" max="3" width="18" customWidth="1"/>
    <col min="4" max="4" width="17.85546875" customWidth="1"/>
    <col min="5" max="6" width="0" hidden="1" customWidth="1"/>
    <col min="7" max="7" width="16.140625" customWidth="1"/>
    <col min="8" max="8" width="0" hidden="1" customWidth="1"/>
    <col min="9" max="9" width="17.42578125" customWidth="1"/>
  </cols>
  <sheetData>
    <row r="1" spans="1:9" ht="15.75">
      <c r="A1" s="30" t="s">
        <v>222</v>
      </c>
      <c r="I1" s="29"/>
    </row>
    <row r="2" spans="1:9" ht="15.75">
      <c r="A2" s="31" t="s">
        <v>63</v>
      </c>
    </row>
    <row r="3" spans="1:9" ht="15.75">
      <c r="A3" s="237" t="s">
        <v>239</v>
      </c>
      <c r="B3" s="237"/>
      <c r="C3" s="237"/>
      <c r="D3" s="237"/>
      <c r="E3" s="237"/>
      <c r="F3" s="237"/>
      <c r="G3" s="237"/>
      <c r="H3" s="237"/>
      <c r="I3" s="237"/>
    </row>
    <row r="4" spans="1:9" ht="33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240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185"/>
      <c r="C6" s="185"/>
      <c r="D6" s="185"/>
      <c r="E6" s="185"/>
      <c r="F6" s="185"/>
      <c r="G6" s="185"/>
      <c r="H6" s="185"/>
      <c r="I6" s="33">
        <v>43343</v>
      </c>
    </row>
    <row r="7" spans="1:9" ht="15.75">
      <c r="B7" s="183"/>
      <c r="C7" s="183"/>
      <c r="D7" s="183"/>
      <c r="E7" s="3"/>
      <c r="F7" s="3"/>
      <c r="G7" s="3"/>
      <c r="H7" s="3"/>
    </row>
    <row r="8" spans="1:9" ht="97.5" customHeight="1">
      <c r="A8" s="240" t="s">
        <v>225</v>
      </c>
      <c r="B8" s="240"/>
      <c r="C8" s="240"/>
      <c r="D8" s="240"/>
      <c r="E8" s="240"/>
      <c r="F8" s="240"/>
      <c r="G8" s="240"/>
      <c r="H8" s="240"/>
      <c r="I8" s="240"/>
    </row>
    <row r="9" spans="1:9" ht="15.75">
      <c r="A9" s="4"/>
    </row>
    <row r="10" spans="1:9" ht="56.25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66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5.75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 ht="33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 ht="15.7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 ht="21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idden="1">
      <c r="A21" s="32">
        <v>6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 hidden="1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 hidden="1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 hidden="1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 hidden="1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t="30" hidden="1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 ht="18" customHeight="1">
      <c r="A27" s="32">
        <v>5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>
      <c r="A28" s="32">
        <v>6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t="20.25" customHeight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t="17.25" customHeight="1">
      <c r="A31" s="32">
        <v>7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36.75" customHeight="1">
      <c r="A32" s="32">
        <v>8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t="18.75" customHeight="1">
      <c r="A34" s="32">
        <v>9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t="18" customHeight="1">
      <c r="A35" s="32">
        <v>10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idden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idden="1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30" hidden="1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30" hidden="1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60" hidden="1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idden="1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 hidden="1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" hidden="1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idden="1">
      <c r="A48" s="32">
        <v>19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 hidden="1">
      <c r="A49" s="32">
        <v>20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 hidden="1">
      <c r="A50" s="32">
        <v>21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 hidden="1">
      <c r="A51" s="32">
        <v>22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 hidden="1">
      <c r="A52" s="32">
        <v>23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 hidden="1">
      <c r="A53" s="32">
        <v>24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45" hidden="1">
      <c r="A54" s="32">
        <v>25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0" hidden="1">
      <c r="A55" s="32">
        <v>26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 hidden="1">
      <c r="A56" s="32">
        <v>27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t="18.75" customHeight="1">
      <c r="A57" s="32">
        <v>11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138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45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 ht="18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 ht="15.75" customHeight="1">
      <c r="A64" s="32">
        <v>12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t="13.5" customHeight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t="18.75" customHeight="1">
      <c r="A66" s="32">
        <v>13</v>
      </c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f>G66*1</f>
        <v>303.35000000000002</v>
      </c>
    </row>
    <row r="67" spans="1:9" ht="22.5" hidden="1" customHeight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t="24" hidden="1" customHeight="1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 ht="22.5" hidden="1" customHeight="1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 ht="21.75" hidden="1" customHeight="1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 ht="24.75" hidden="1" customHeight="1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 ht="23.25" hidden="1" customHeight="1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t="21" hidden="1" customHeight="1">
      <c r="A73" s="32">
        <v>14</v>
      </c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v>0</v>
      </c>
    </row>
    <row r="74" spans="1:9" ht="15" customHeight="1">
      <c r="A74" s="32"/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4.5" customHeight="1">
      <c r="A79" s="32">
        <v>14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ht="17.25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27.75" customHeight="1">
      <c r="A81" s="32">
        <v>15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8.5" hidden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 ht="19.5" customHeight="1">
      <c r="A87" s="32">
        <v>16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3.75" customHeight="1">
      <c r="A88" s="32">
        <v>17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I88+I87+I81+I79+I66+I64+I57+I35+I34+I32+I31+I28+I27+I20+I18+I17+I16</f>
        <v>73918.604996888855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30.75" customHeight="1">
      <c r="A91" s="32" t="s">
        <v>242</v>
      </c>
      <c r="B91" s="51" t="s">
        <v>128</v>
      </c>
      <c r="C91" s="164" t="s">
        <v>109</v>
      </c>
      <c r="D91" s="14"/>
      <c r="E91" s="165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>
      <c r="A92" s="32">
        <v>19</v>
      </c>
      <c r="B92" s="131" t="s">
        <v>226</v>
      </c>
      <c r="C92" s="132" t="s">
        <v>84</v>
      </c>
      <c r="D92" s="14"/>
      <c r="E92" s="64"/>
      <c r="F92" s="63"/>
      <c r="G92" s="36">
        <v>203.68</v>
      </c>
      <c r="H92" s="63"/>
      <c r="I92" s="89">
        <f>G92*1</f>
        <v>203.68</v>
      </c>
    </row>
    <row r="93" spans="1:9">
      <c r="A93" s="173">
        <v>20</v>
      </c>
      <c r="B93" s="188" t="s">
        <v>241</v>
      </c>
      <c r="C93" s="143" t="s">
        <v>96</v>
      </c>
      <c r="D93" s="19"/>
      <c r="E93" s="64"/>
      <c r="F93" s="63"/>
      <c r="G93" s="142">
        <v>3413.41</v>
      </c>
      <c r="H93" s="63"/>
      <c r="I93" s="89">
        <f>G93*0.06</f>
        <v>204.80459999999999</v>
      </c>
    </row>
    <row r="94" spans="1:9" ht="30">
      <c r="A94" s="32">
        <v>21</v>
      </c>
      <c r="B94" s="114" t="s">
        <v>196</v>
      </c>
      <c r="C94" s="115" t="s">
        <v>39</v>
      </c>
      <c r="D94" s="14"/>
      <c r="E94" s="64"/>
      <c r="F94" s="63"/>
      <c r="G94" s="36">
        <v>3724.37</v>
      </c>
      <c r="H94" s="63"/>
      <c r="I94" s="89">
        <f>G94*0.02</f>
        <v>74.487399999999994</v>
      </c>
    </row>
    <row r="95" spans="1:9" hidden="1">
      <c r="A95" s="32">
        <v>21</v>
      </c>
      <c r="B95" s="131"/>
      <c r="C95" s="132"/>
      <c r="D95" s="14"/>
      <c r="E95" s="64"/>
      <c r="F95" s="63"/>
      <c r="G95" s="142"/>
      <c r="H95" s="63"/>
      <c r="I95" s="89"/>
    </row>
    <row r="96" spans="1:9" hidden="1">
      <c r="A96" s="32">
        <v>22</v>
      </c>
      <c r="B96" s="131"/>
      <c r="C96" s="132"/>
      <c r="D96" s="14"/>
      <c r="E96" s="64"/>
      <c r="F96" s="63"/>
      <c r="G96" s="142"/>
      <c r="H96" s="63"/>
      <c r="I96" s="89"/>
    </row>
    <row r="97" spans="1:9" ht="30">
      <c r="A97" s="32">
        <v>22</v>
      </c>
      <c r="B97" s="131" t="s">
        <v>201</v>
      </c>
      <c r="C97" s="132" t="s">
        <v>109</v>
      </c>
      <c r="D97" s="14"/>
      <c r="E97" s="64"/>
      <c r="F97" s="63"/>
      <c r="G97" s="189">
        <v>86.69</v>
      </c>
      <c r="H97" s="63"/>
      <c r="I97" s="89">
        <f>G97*1</f>
        <v>86.69</v>
      </c>
    </row>
    <row r="98" spans="1:9" ht="18" customHeight="1">
      <c r="A98" s="32"/>
      <c r="B98" s="44" t="s">
        <v>52</v>
      </c>
      <c r="C98" s="40"/>
      <c r="D98" s="47"/>
      <c r="E98" s="40">
        <v>1</v>
      </c>
      <c r="F98" s="40"/>
      <c r="G98" s="40"/>
      <c r="H98" s="40"/>
      <c r="I98" s="34">
        <f>I97+I94+I93+I92</f>
        <v>569.66200000000003</v>
      </c>
    </row>
    <row r="99" spans="1:9" ht="18" customHeight="1">
      <c r="A99" s="32"/>
      <c r="B99" s="46" t="s">
        <v>80</v>
      </c>
      <c r="C99" s="15"/>
      <c r="D99" s="15"/>
      <c r="E99" s="41"/>
      <c r="F99" s="41"/>
      <c r="G99" s="42"/>
      <c r="H99" s="42"/>
      <c r="I99" s="17">
        <v>0</v>
      </c>
    </row>
    <row r="100" spans="1:9" ht="18" customHeight="1">
      <c r="A100" s="48"/>
      <c r="B100" s="45" t="s">
        <v>157</v>
      </c>
      <c r="C100" s="35"/>
      <c r="D100" s="35"/>
      <c r="E100" s="35"/>
      <c r="F100" s="35"/>
      <c r="G100" s="35"/>
      <c r="H100" s="35"/>
      <c r="I100" s="43">
        <f>I89+I98</f>
        <v>74488.266996888851</v>
      </c>
    </row>
    <row r="101" spans="1:9" ht="18" customHeight="1">
      <c r="A101" s="231" t="s">
        <v>243</v>
      </c>
      <c r="B101" s="232"/>
      <c r="C101" s="232"/>
      <c r="D101" s="232"/>
      <c r="E101" s="232"/>
      <c r="F101" s="232"/>
      <c r="G101" s="232"/>
      <c r="H101" s="232"/>
      <c r="I101" s="232"/>
    </row>
    <row r="102" spans="1:9" ht="18" customHeight="1">
      <c r="A102" s="223" t="s">
        <v>246</v>
      </c>
      <c r="B102" s="223"/>
      <c r="C102" s="223"/>
      <c r="D102" s="223"/>
      <c r="E102" s="223"/>
      <c r="F102" s="223"/>
      <c r="G102" s="223"/>
      <c r="H102" s="223"/>
      <c r="I102" s="223"/>
    </row>
    <row r="103" spans="1:9" ht="18" customHeight="1">
      <c r="A103" s="61"/>
      <c r="B103" s="224" t="s">
        <v>247</v>
      </c>
      <c r="C103" s="224"/>
      <c r="D103" s="224"/>
      <c r="E103" s="224"/>
      <c r="F103" s="224"/>
      <c r="G103" s="224"/>
      <c r="H103" s="67"/>
      <c r="I103" s="3"/>
    </row>
    <row r="104" spans="1:9" ht="18" customHeight="1">
      <c r="A104" s="186"/>
      <c r="B104" s="225" t="s">
        <v>6</v>
      </c>
      <c r="C104" s="225"/>
      <c r="D104" s="225"/>
      <c r="E104" s="225"/>
      <c r="F104" s="225"/>
      <c r="G104" s="225"/>
      <c r="H104" s="27"/>
      <c r="I104" s="50"/>
    </row>
    <row r="105" spans="1:9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 ht="15.75">
      <c r="A106" s="226" t="s">
        <v>7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226" t="s">
        <v>8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227" t="s">
        <v>62</v>
      </c>
      <c r="B108" s="227"/>
      <c r="C108" s="227"/>
      <c r="D108" s="227"/>
      <c r="E108" s="227"/>
      <c r="F108" s="227"/>
      <c r="G108" s="227"/>
      <c r="H108" s="227"/>
      <c r="I108" s="227"/>
    </row>
    <row r="109" spans="1:9" ht="15.75">
      <c r="A109" s="11"/>
    </row>
    <row r="110" spans="1:9" ht="15.75">
      <c r="A110" s="228" t="s">
        <v>9</v>
      </c>
      <c r="B110" s="228"/>
      <c r="C110" s="228"/>
      <c r="D110" s="228"/>
      <c r="E110" s="228"/>
      <c r="F110" s="228"/>
      <c r="G110" s="228"/>
      <c r="H110" s="228"/>
      <c r="I110" s="228"/>
    </row>
    <row r="111" spans="1:9" ht="15.75">
      <c r="A111" s="4"/>
    </row>
    <row r="112" spans="1:9" ht="15.75">
      <c r="B112" s="183" t="s">
        <v>10</v>
      </c>
      <c r="C112" s="229" t="s">
        <v>140</v>
      </c>
      <c r="D112" s="229"/>
      <c r="E112" s="229"/>
      <c r="F112" s="65"/>
      <c r="I112" s="184"/>
    </row>
    <row r="113" spans="1:9">
      <c r="A113" s="181"/>
      <c r="C113" s="225" t="s">
        <v>11</v>
      </c>
      <c r="D113" s="225"/>
      <c r="E113" s="225"/>
      <c r="F113" s="27"/>
      <c r="I113" s="182" t="s">
        <v>12</v>
      </c>
    </row>
    <row r="114" spans="1:9" ht="15.75">
      <c r="A114" s="28"/>
      <c r="C114" s="12"/>
      <c r="D114" s="12"/>
      <c r="G114" s="12"/>
      <c r="H114" s="12"/>
    </row>
    <row r="115" spans="1:9" ht="15.75">
      <c r="B115" s="183" t="s">
        <v>13</v>
      </c>
      <c r="C115" s="230"/>
      <c r="D115" s="230"/>
      <c r="E115" s="230"/>
      <c r="F115" s="66"/>
      <c r="I115" s="184"/>
    </row>
    <row r="116" spans="1:9">
      <c r="A116" s="181"/>
      <c r="C116" s="219" t="s">
        <v>11</v>
      </c>
      <c r="D116" s="219"/>
      <c r="E116" s="219"/>
      <c r="F116" s="181"/>
      <c r="I116" s="182" t="s">
        <v>12</v>
      </c>
    </row>
    <row r="117" spans="1:9" ht="15.75">
      <c r="A117" s="4" t="s">
        <v>14</v>
      </c>
    </row>
    <row r="118" spans="1:9">
      <c r="A118" s="217" t="s">
        <v>15</v>
      </c>
      <c r="B118" s="217"/>
      <c r="C118" s="217"/>
      <c r="D118" s="217"/>
      <c r="E118" s="217"/>
      <c r="F118" s="217"/>
      <c r="G118" s="217"/>
      <c r="H118" s="217"/>
      <c r="I118" s="217"/>
    </row>
    <row r="119" spans="1:9" ht="44.25" customHeight="1">
      <c r="A119" s="218" t="s">
        <v>16</v>
      </c>
      <c r="B119" s="218"/>
      <c r="C119" s="218"/>
      <c r="D119" s="218"/>
      <c r="E119" s="218"/>
      <c r="F119" s="218"/>
      <c r="G119" s="218"/>
      <c r="H119" s="218"/>
      <c r="I119" s="218"/>
    </row>
    <row r="120" spans="1:9" ht="32.25" customHeight="1">
      <c r="A120" s="218" t="s">
        <v>17</v>
      </c>
      <c r="B120" s="218"/>
      <c r="C120" s="218"/>
      <c r="D120" s="218"/>
      <c r="E120" s="218"/>
      <c r="F120" s="218"/>
      <c r="G120" s="218"/>
      <c r="H120" s="218"/>
      <c r="I120" s="218"/>
    </row>
    <row r="121" spans="1:9" ht="39" customHeight="1">
      <c r="A121" s="218" t="s">
        <v>21</v>
      </c>
      <c r="B121" s="218"/>
      <c r="C121" s="218"/>
      <c r="D121" s="218"/>
      <c r="E121" s="218"/>
      <c r="F121" s="218"/>
      <c r="G121" s="218"/>
      <c r="H121" s="218"/>
      <c r="I121" s="218"/>
    </row>
    <row r="122" spans="1:9" ht="15.75">
      <c r="A122" s="218" t="s">
        <v>20</v>
      </c>
      <c r="B122" s="218"/>
      <c r="C122" s="218"/>
      <c r="D122" s="218"/>
      <c r="E122" s="218"/>
      <c r="F122" s="218"/>
      <c r="G122" s="218"/>
      <c r="H122" s="218"/>
      <c r="I122" s="218"/>
    </row>
  </sheetData>
  <mergeCells count="29"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  <mergeCell ref="C116:E116"/>
    <mergeCell ref="A101:I101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118:I118"/>
    <mergeCell ref="A119:I119"/>
    <mergeCell ref="A120:I120"/>
    <mergeCell ref="A121:I121"/>
    <mergeCell ref="A122:I122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3"/>
  <sheetViews>
    <sheetView topLeftCell="A79" workbookViewId="0">
      <selection activeCell="O129" sqref="O129"/>
    </sheetView>
  </sheetViews>
  <sheetFormatPr defaultRowHeight="15"/>
  <cols>
    <col min="1" max="1" width="13.140625" customWidth="1"/>
    <col min="2" max="2" width="48.28515625" customWidth="1"/>
    <col min="3" max="3" width="17.5703125" customWidth="1"/>
    <col min="4" max="4" width="17.42578125" customWidth="1"/>
    <col min="5" max="6" width="0" hidden="1" customWidth="1"/>
    <col min="7" max="7" width="15.140625" customWidth="1"/>
    <col min="8" max="8" width="0" hidden="1" customWidth="1"/>
    <col min="9" max="9" width="17.140625" customWidth="1"/>
  </cols>
  <sheetData>
    <row r="1" spans="1:9" ht="15.75">
      <c r="A1" s="30" t="s">
        <v>222</v>
      </c>
      <c r="I1" s="29"/>
    </row>
    <row r="2" spans="1:9" ht="15.75">
      <c r="A2" s="31" t="s">
        <v>63</v>
      </c>
    </row>
    <row r="3" spans="1:9" ht="15.75">
      <c r="A3" s="237" t="s">
        <v>245</v>
      </c>
      <c r="B3" s="237"/>
      <c r="C3" s="237"/>
      <c r="D3" s="237"/>
      <c r="E3" s="237"/>
      <c r="F3" s="237"/>
      <c r="G3" s="237"/>
      <c r="H3" s="237"/>
      <c r="I3" s="237"/>
    </row>
    <row r="4" spans="1:9" ht="35.25" customHeight="1">
      <c r="A4" s="238" t="s">
        <v>135</v>
      </c>
      <c r="B4" s="238"/>
      <c r="C4" s="238"/>
      <c r="D4" s="238"/>
      <c r="E4" s="238"/>
      <c r="F4" s="238"/>
      <c r="G4" s="238"/>
      <c r="H4" s="238"/>
      <c r="I4" s="238"/>
    </row>
    <row r="5" spans="1:9" ht="15.75">
      <c r="A5" s="237" t="s">
        <v>244</v>
      </c>
      <c r="B5" s="239"/>
      <c r="C5" s="239"/>
      <c r="D5" s="239"/>
      <c r="E5" s="239"/>
      <c r="F5" s="239"/>
      <c r="G5" s="239"/>
      <c r="H5" s="239"/>
      <c r="I5" s="239"/>
    </row>
    <row r="6" spans="1:9" ht="15.75">
      <c r="A6" s="2"/>
      <c r="B6" s="190"/>
      <c r="C6" s="190"/>
      <c r="D6" s="190"/>
      <c r="E6" s="190"/>
      <c r="F6" s="190"/>
      <c r="G6" s="190"/>
      <c r="H6" s="190"/>
      <c r="I6" s="33">
        <v>43373</v>
      </c>
    </row>
    <row r="7" spans="1:9" ht="15.75">
      <c r="B7" s="193"/>
      <c r="C7" s="193"/>
      <c r="D7" s="193"/>
      <c r="E7" s="3"/>
      <c r="F7" s="3"/>
      <c r="G7" s="3"/>
      <c r="H7" s="3"/>
    </row>
    <row r="8" spans="1:9" ht="96.75" customHeight="1">
      <c r="A8" s="240" t="s">
        <v>225</v>
      </c>
      <c r="B8" s="240"/>
      <c r="C8" s="240"/>
      <c r="D8" s="240"/>
      <c r="E8" s="240"/>
      <c r="F8" s="240"/>
      <c r="G8" s="240"/>
      <c r="H8" s="240"/>
      <c r="I8" s="240"/>
    </row>
    <row r="9" spans="1:9" ht="2.25" customHeight="1">
      <c r="A9" s="4"/>
    </row>
    <row r="10" spans="1:9" ht="60" customHeight="1">
      <c r="A10" s="241" t="s">
        <v>151</v>
      </c>
      <c r="B10" s="241"/>
      <c r="C10" s="241"/>
      <c r="D10" s="241"/>
      <c r="E10" s="241"/>
      <c r="F10" s="241"/>
      <c r="G10" s="241"/>
      <c r="H10" s="241"/>
      <c r="I10" s="241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33" t="s">
        <v>60</v>
      </c>
      <c r="B14" s="233"/>
      <c r="C14" s="233"/>
      <c r="D14" s="233"/>
      <c r="E14" s="233"/>
      <c r="F14" s="233"/>
      <c r="G14" s="233"/>
      <c r="H14" s="233"/>
      <c r="I14" s="233"/>
    </row>
    <row r="15" spans="1:9">
      <c r="A15" s="242" t="s">
        <v>4</v>
      </c>
      <c r="B15" s="242"/>
      <c r="C15" s="242"/>
      <c r="D15" s="242"/>
      <c r="E15" s="242"/>
      <c r="F15" s="242"/>
      <c r="G15" s="242"/>
      <c r="H15" s="242"/>
      <c r="I15" s="242"/>
    </row>
    <row r="16" spans="1:9" ht="15.75" customHeight="1">
      <c r="A16" s="32">
        <v>1</v>
      </c>
      <c r="B16" s="114" t="s">
        <v>87</v>
      </c>
      <c r="C16" s="115" t="s">
        <v>88</v>
      </c>
      <c r="D16" s="114" t="s">
        <v>153</v>
      </c>
      <c r="E16" s="116">
        <v>66</v>
      </c>
      <c r="F16" s="117">
        <f>SUM(E16*156/100)</f>
        <v>102.96</v>
      </c>
      <c r="G16" s="117">
        <v>239.2</v>
      </c>
      <c r="H16" s="118">
        <f t="shared" ref="H16:H25" si="0">SUM(F16*G16/1000)</f>
        <v>24.628031999999994</v>
      </c>
      <c r="I16" s="13">
        <f>F16/12*G16</f>
        <v>2052.3359999999998</v>
      </c>
    </row>
    <row r="17" spans="1:9" ht="16.5" customHeight="1">
      <c r="A17" s="32">
        <v>2</v>
      </c>
      <c r="B17" s="114" t="s">
        <v>118</v>
      </c>
      <c r="C17" s="115" t="s">
        <v>88</v>
      </c>
      <c r="D17" s="114" t="s">
        <v>154</v>
      </c>
      <c r="E17" s="116">
        <v>264</v>
      </c>
      <c r="F17" s="117">
        <f>SUM(E17*104/100)</f>
        <v>274.56</v>
      </c>
      <c r="G17" s="117">
        <v>239.2</v>
      </c>
      <c r="H17" s="118">
        <f t="shared" si="0"/>
        <v>65.674751999999998</v>
      </c>
      <c r="I17" s="13">
        <f>F17/12*G17</f>
        <v>5472.8959999999997</v>
      </c>
    </row>
    <row r="18" spans="1:9" ht="17.25" customHeight="1">
      <c r="A18" s="32">
        <v>3</v>
      </c>
      <c r="B18" s="114" t="s">
        <v>170</v>
      </c>
      <c r="C18" s="115" t="s">
        <v>88</v>
      </c>
      <c r="D18" s="114" t="s">
        <v>155</v>
      </c>
      <c r="E18" s="116">
        <f>SUM(E16+E17)</f>
        <v>330</v>
      </c>
      <c r="F18" s="117">
        <f>SUM(E18*24/100)</f>
        <v>79.2</v>
      </c>
      <c r="G18" s="117">
        <v>688.14</v>
      </c>
      <c r="H18" s="118">
        <f t="shared" si="0"/>
        <v>54.500688000000004</v>
      </c>
      <c r="I18" s="13">
        <f>F18/12*G18</f>
        <v>4541.7240000000002</v>
      </c>
    </row>
    <row r="19" spans="1:9" hidden="1">
      <c r="A19" s="32">
        <v>4</v>
      </c>
      <c r="B19" s="114" t="s">
        <v>95</v>
      </c>
      <c r="C19" s="115" t="s">
        <v>96</v>
      </c>
      <c r="D19" s="114" t="s">
        <v>97</v>
      </c>
      <c r="E19" s="116">
        <v>28.16</v>
      </c>
      <c r="F19" s="117">
        <f>SUM(E19/10)</f>
        <v>2.8159999999999998</v>
      </c>
      <c r="G19" s="117">
        <v>232.1</v>
      </c>
      <c r="H19" s="118">
        <f t="shared" si="0"/>
        <v>0.65359359999999989</v>
      </c>
      <c r="I19" s="13">
        <f>2.816*G19</f>
        <v>653.59359999999992</v>
      </c>
    </row>
    <row r="20" spans="1:9" ht="18.75" customHeight="1">
      <c r="A20" s="32">
        <v>4</v>
      </c>
      <c r="B20" s="114" t="s">
        <v>98</v>
      </c>
      <c r="C20" s="115" t="s">
        <v>88</v>
      </c>
      <c r="D20" s="114" t="s">
        <v>120</v>
      </c>
      <c r="E20" s="116">
        <v>14</v>
      </c>
      <c r="F20" s="117">
        <f>SUM(E20*12/100)</f>
        <v>1.68</v>
      </c>
      <c r="G20" s="117">
        <v>297.19</v>
      </c>
      <c r="H20" s="118">
        <f t="shared" si="0"/>
        <v>0.49927919999999998</v>
      </c>
      <c r="I20" s="13">
        <f>F20/12*G20</f>
        <v>41.606599999999993</v>
      </c>
    </row>
    <row r="21" spans="1:9" ht="18" customHeight="1">
      <c r="A21" s="32">
        <v>5</v>
      </c>
      <c r="B21" s="114" t="s">
        <v>99</v>
      </c>
      <c r="C21" s="115" t="s">
        <v>88</v>
      </c>
      <c r="D21" s="114" t="s">
        <v>171</v>
      </c>
      <c r="E21" s="116">
        <v>3.6</v>
      </c>
      <c r="F21" s="117">
        <f>SUM(E21*2/100)</f>
        <v>7.2000000000000008E-2</v>
      </c>
      <c r="G21" s="117">
        <v>294.77999999999997</v>
      </c>
      <c r="H21" s="118">
        <f t="shared" si="0"/>
        <v>2.1224160000000002E-2</v>
      </c>
      <c r="I21" s="13">
        <f>F21/2*G21</f>
        <v>10.612080000000001</v>
      </c>
    </row>
    <row r="22" spans="1:9" hidden="1">
      <c r="A22" s="32">
        <v>7</v>
      </c>
      <c r="B22" s="114" t="s">
        <v>100</v>
      </c>
      <c r="C22" s="115" t="s">
        <v>53</v>
      </c>
      <c r="D22" s="114" t="s">
        <v>97</v>
      </c>
      <c r="E22" s="116">
        <v>357</v>
      </c>
      <c r="F22" s="117">
        <f>SUM(E22/100)</f>
        <v>3.57</v>
      </c>
      <c r="G22" s="117">
        <v>367.27</v>
      </c>
      <c r="H22" s="118">
        <f t="shared" si="0"/>
        <v>1.3111538999999999</v>
      </c>
      <c r="I22" s="13">
        <f>3.57*G22</f>
        <v>1311.1538999999998</v>
      </c>
    </row>
    <row r="23" spans="1:9" hidden="1">
      <c r="A23" s="32">
        <v>8</v>
      </c>
      <c r="B23" s="114" t="s">
        <v>101</v>
      </c>
      <c r="C23" s="115" t="s">
        <v>53</v>
      </c>
      <c r="D23" s="114" t="s">
        <v>97</v>
      </c>
      <c r="E23" s="123">
        <v>48.3</v>
      </c>
      <c r="F23" s="117">
        <f>SUM(E23/100)</f>
        <v>0.48299999999999998</v>
      </c>
      <c r="G23" s="117">
        <v>60.41</v>
      </c>
      <c r="H23" s="118">
        <f t="shared" si="0"/>
        <v>2.9178029999999997E-2</v>
      </c>
      <c r="I23" s="13">
        <f>0.483*G23</f>
        <v>29.178029999999996</v>
      </c>
    </row>
    <row r="24" spans="1:9" hidden="1">
      <c r="A24" s="32">
        <v>9</v>
      </c>
      <c r="B24" s="114" t="s">
        <v>102</v>
      </c>
      <c r="C24" s="115" t="s">
        <v>53</v>
      </c>
      <c r="D24" s="114" t="s">
        <v>129</v>
      </c>
      <c r="E24" s="116">
        <v>20</v>
      </c>
      <c r="F24" s="117">
        <f>E24/100</f>
        <v>0.2</v>
      </c>
      <c r="G24" s="117">
        <v>531.55999999999995</v>
      </c>
      <c r="H24" s="118">
        <f t="shared" si="0"/>
        <v>0.106312</v>
      </c>
      <c r="I24" s="13">
        <f>0.2*G24</f>
        <v>106.312</v>
      </c>
    </row>
    <row r="25" spans="1:9" hidden="1">
      <c r="A25" s="32">
        <v>10</v>
      </c>
      <c r="B25" s="114" t="s">
        <v>103</v>
      </c>
      <c r="C25" s="115" t="s">
        <v>53</v>
      </c>
      <c r="D25" s="114" t="s">
        <v>97</v>
      </c>
      <c r="E25" s="116">
        <v>8.5</v>
      </c>
      <c r="F25" s="117">
        <f>SUM(E25/100)</f>
        <v>8.5000000000000006E-2</v>
      </c>
      <c r="G25" s="117">
        <v>710.37</v>
      </c>
      <c r="H25" s="118">
        <f t="shared" si="0"/>
        <v>6.038145000000001E-2</v>
      </c>
      <c r="I25" s="13">
        <f>0.085*G25</f>
        <v>60.381450000000008</v>
      </c>
    </row>
    <row r="26" spans="1:9" ht="30" hidden="1">
      <c r="A26" s="32">
        <v>11</v>
      </c>
      <c r="B26" s="114" t="s">
        <v>172</v>
      </c>
      <c r="C26" s="115" t="s">
        <v>53</v>
      </c>
      <c r="D26" s="114" t="s">
        <v>54</v>
      </c>
      <c r="E26" s="116">
        <v>14.25</v>
      </c>
      <c r="F26" s="117">
        <v>0.14000000000000001</v>
      </c>
      <c r="G26" s="117">
        <v>283.44</v>
      </c>
      <c r="H26" s="118">
        <f>G26*F26/1000</f>
        <v>3.9681600000000004E-2</v>
      </c>
      <c r="I26" s="13">
        <f>0.14*G26</f>
        <v>39.681600000000003</v>
      </c>
    </row>
    <row r="27" spans="1:9" ht="18" customHeight="1">
      <c r="A27" s="32">
        <v>6</v>
      </c>
      <c r="B27" s="114" t="s">
        <v>65</v>
      </c>
      <c r="C27" s="115" t="s">
        <v>33</v>
      </c>
      <c r="D27" s="114" t="s">
        <v>175</v>
      </c>
      <c r="E27" s="126">
        <v>0.1</v>
      </c>
      <c r="F27" s="117">
        <f>SUM(E27*155)</f>
        <v>15.5</v>
      </c>
      <c r="G27" s="117">
        <v>275.45</v>
      </c>
      <c r="H27" s="118">
        <f>SUM(F27*G27/1000)</f>
        <v>4.269474999999999</v>
      </c>
      <c r="I27" s="13">
        <f>F27/12*G27</f>
        <v>355.78958333333333</v>
      </c>
    </row>
    <row r="28" spans="1:9">
      <c r="A28" s="32">
        <v>7</v>
      </c>
      <c r="B28" s="127" t="s">
        <v>23</v>
      </c>
      <c r="C28" s="115" t="s">
        <v>24</v>
      </c>
      <c r="D28" s="127" t="s">
        <v>125</v>
      </c>
      <c r="E28" s="116">
        <v>3382.7</v>
      </c>
      <c r="F28" s="117">
        <f>SUM(E28*12)</f>
        <v>40592.399999999994</v>
      </c>
      <c r="G28" s="117">
        <v>4.5199999999999996</v>
      </c>
      <c r="H28" s="118">
        <f>SUM(F28*G28/1000)</f>
        <v>183.47764799999996</v>
      </c>
      <c r="I28" s="13">
        <f>F28/12*G28</f>
        <v>15289.803999999996</v>
      </c>
    </row>
    <row r="29" spans="1:9">
      <c r="A29" s="242" t="s">
        <v>85</v>
      </c>
      <c r="B29" s="242"/>
      <c r="C29" s="242"/>
      <c r="D29" s="242"/>
      <c r="E29" s="242"/>
      <c r="F29" s="242"/>
      <c r="G29" s="242"/>
      <c r="H29" s="242"/>
      <c r="I29" s="242"/>
    </row>
    <row r="30" spans="1:9" ht="20.25" customHeight="1">
      <c r="A30" s="32"/>
      <c r="B30" s="146" t="s">
        <v>28</v>
      </c>
      <c r="C30" s="115"/>
      <c r="D30" s="114"/>
      <c r="E30" s="116"/>
      <c r="F30" s="117"/>
      <c r="G30" s="117"/>
      <c r="H30" s="118"/>
      <c r="I30" s="13"/>
    </row>
    <row r="31" spans="1:9" ht="18" customHeight="1">
      <c r="A31" s="32">
        <v>8</v>
      </c>
      <c r="B31" s="114" t="s">
        <v>107</v>
      </c>
      <c r="C31" s="115" t="s">
        <v>90</v>
      </c>
      <c r="D31" s="114" t="s">
        <v>173</v>
      </c>
      <c r="E31" s="117">
        <v>667.1</v>
      </c>
      <c r="F31" s="117">
        <f>SUM(E31*52/1000)</f>
        <v>34.689200000000007</v>
      </c>
      <c r="G31" s="117">
        <v>212.62</v>
      </c>
      <c r="H31" s="118">
        <f t="shared" ref="H31:H37" si="1">SUM(F31*G31/1000)</f>
        <v>7.3756177040000015</v>
      </c>
      <c r="I31" s="13">
        <f t="shared" ref="I31:I35" si="2">F31/6*G31</f>
        <v>1229.2696173333336</v>
      </c>
    </row>
    <row r="32" spans="1:9" ht="43.5" customHeight="1">
      <c r="A32" s="32">
        <v>9</v>
      </c>
      <c r="B32" s="114" t="s">
        <v>121</v>
      </c>
      <c r="C32" s="115" t="s">
        <v>90</v>
      </c>
      <c r="D32" s="114" t="s">
        <v>174</v>
      </c>
      <c r="E32" s="117">
        <v>107.4</v>
      </c>
      <c r="F32" s="117">
        <f>SUM(E32*78/1000)</f>
        <v>8.3772000000000002</v>
      </c>
      <c r="G32" s="117">
        <v>352.77</v>
      </c>
      <c r="H32" s="118">
        <f t="shared" si="1"/>
        <v>2.955224844</v>
      </c>
      <c r="I32" s="13">
        <f t="shared" si="2"/>
        <v>492.53747400000003</v>
      </c>
    </row>
    <row r="33" spans="1:9" hidden="1">
      <c r="A33" s="32">
        <v>16</v>
      </c>
      <c r="B33" s="114" t="s">
        <v>27</v>
      </c>
      <c r="C33" s="115" t="s">
        <v>90</v>
      </c>
      <c r="D33" s="114" t="s">
        <v>54</v>
      </c>
      <c r="E33" s="117">
        <v>667.1</v>
      </c>
      <c r="F33" s="117">
        <f>SUM(E33/1000)</f>
        <v>0.66710000000000003</v>
      </c>
      <c r="G33" s="117">
        <v>4119.68</v>
      </c>
      <c r="H33" s="118">
        <f t="shared" si="1"/>
        <v>2.7482385280000003</v>
      </c>
      <c r="I33" s="13">
        <f>F33*G33</f>
        <v>2748.2385280000003</v>
      </c>
    </row>
    <row r="34" spans="1:9" ht="16.5" customHeight="1">
      <c r="A34" s="32">
        <v>10</v>
      </c>
      <c r="B34" s="114" t="s">
        <v>126</v>
      </c>
      <c r="C34" s="115" t="s">
        <v>41</v>
      </c>
      <c r="D34" s="114" t="s">
        <v>64</v>
      </c>
      <c r="E34" s="117">
        <v>3</v>
      </c>
      <c r="F34" s="117">
        <f>SUM(E34*155/100)</f>
        <v>4.6500000000000004</v>
      </c>
      <c r="G34" s="117">
        <v>1775.94</v>
      </c>
      <c r="H34" s="118">
        <f>G34*F34/1000</f>
        <v>8.2581210000000009</v>
      </c>
      <c r="I34" s="13">
        <f t="shared" si="2"/>
        <v>1376.3535000000002</v>
      </c>
    </row>
    <row r="35" spans="1:9" ht="17.25" customHeight="1">
      <c r="A35" s="32">
        <v>11</v>
      </c>
      <c r="B35" s="114" t="s">
        <v>106</v>
      </c>
      <c r="C35" s="115" t="s">
        <v>31</v>
      </c>
      <c r="D35" s="114" t="s">
        <v>64</v>
      </c>
      <c r="E35" s="125">
        <v>0.33333333333333331</v>
      </c>
      <c r="F35" s="117">
        <f>155/3</f>
        <v>51.666666666666664</v>
      </c>
      <c r="G35" s="117">
        <v>77.33</v>
      </c>
      <c r="H35" s="118">
        <f>SUM(G35*155/3/1000)</f>
        <v>3.9953833333333333</v>
      </c>
      <c r="I35" s="13">
        <f t="shared" si="2"/>
        <v>665.89722222222213</v>
      </c>
    </row>
    <row r="36" spans="1:9" ht="30" hidden="1">
      <c r="A36" s="32"/>
      <c r="B36" s="114" t="s">
        <v>66</v>
      </c>
      <c r="C36" s="115" t="s">
        <v>33</v>
      </c>
      <c r="D36" s="114" t="s">
        <v>68</v>
      </c>
      <c r="E36" s="116"/>
      <c r="F36" s="117">
        <v>1</v>
      </c>
      <c r="G36" s="117">
        <v>260.95</v>
      </c>
      <c r="H36" s="118">
        <f t="shared" si="1"/>
        <v>0.26095000000000002</v>
      </c>
      <c r="I36" s="13">
        <v>0</v>
      </c>
    </row>
    <row r="37" spans="1:9" ht="30" hidden="1">
      <c r="A37" s="32"/>
      <c r="B37" s="114" t="s">
        <v>67</v>
      </c>
      <c r="C37" s="115" t="s">
        <v>32</v>
      </c>
      <c r="D37" s="114" t="s">
        <v>68</v>
      </c>
      <c r="E37" s="116"/>
      <c r="F37" s="117">
        <v>1</v>
      </c>
      <c r="G37" s="117">
        <v>1549.92</v>
      </c>
      <c r="H37" s="118">
        <f t="shared" si="1"/>
        <v>1.54992</v>
      </c>
      <c r="I37" s="13">
        <v>0</v>
      </c>
    </row>
    <row r="38" spans="1:9" hidden="1">
      <c r="A38" s="32"/>
      <c r="B38" s="146" t="s">
        <v>5</v>
      </c>
      <c r="C38" s="115"/>
      <c r="D38" s="114"/>
      <c r="E38" s="116"/>
      <c r="F38" s="117"/>
      <c r="G38" s="117"/>
      <c r="H38" s="118" t="s">
        <v>125</v>
      </c>
      <c r="I38" s="13"/>
    </row>
    <row r="39" spans="1:9" hidden="1">
      <c r="A39" s="32">
        <v>7</v>
      </c>
      <c r="B39" s="128" t="s">
        <v>26</v>
      </c>
      <c r="C39" s="115" t="s">
        <v>32</v>
      </c>
      <c r="D39" s="114"/>
      <c r="E39" s="116"/>
      <c r="F39" s="117">
        <v>5</v>
      </c>
      <c r="G39" s="117">
        <v>2083</v>
      </c>
      <c r="H39" s="118">
        <f t="shared" ref="H39:H46" si="3">SUM(F39*G39/1000)</f>
        <v>10.414999999999999</v>
      </c>
      <c r="I39" s="13">
        <f t="shared" ref="I39:I46" si="4">F39/6*G39</f>
        <v>1735.8333333333335</v>
      </c>
    </row>
    <row r="40" spans="1:9" ht="30" hidden="1">
      <c r="A40" s="32">
        <v>8</v>
      </c>
      <c r="B40" s="128" t="s">
        <v>108</v>
      </c>
      <c r="C40" s="129" t="s">
        <v>29</v>
      </c>
      <c r="D40" s="114" t="s">
        <v>176</v>
      </c>
      <c r="E40" s="116">
        <v>107.4</v>
      </c>
      <c r="F40" s="130">
        <f>E40*30/1000</f>
        <v>3.222</v>
      </c>
      <c r="G40" s="117">
        <v>2868.09</v>
      </c>
      <c r="H40" s="118">
        <f t="shared" si="3"/>
        <v>9.2409859800000014</v>
      </c>
      <c r="I40" s="13">
        <f t="shared" si="4"/>
        <v>1540.1643300000001</v>
      </c>
    </row>
    <row r="41" spans="1:9" ht="30" hidden="1">
      <c r="A41" s="32">
        <v>9</v>
      </c>
      <c r="B41" s="114" t="s">
        <v>69</v>
      </c>
      <c r="C41" s="115" t="s">
        <v>29</v>
      </c>
      <c r="D41" s="114" t="s">
        <v>89</v>
      </c>
      <c r="E41" s="117">
        <v>107.4</v>
      </c>
      <c r="F41" s="130">
        <f>SUM(E41*155/1000)</f>
        <v>16.646999999999998</v>
      </c>
      <c r="G41" s="117">
        <v>478.42</v>
      </c>
      <c r="H41" s="118">
        <f t="shared" si="3"/>
        <v>7.964257739999999</v>
      </c>
      <c r="I41" s="13">
        <f t="shared" si="4"/>
        <v>1327.3762899999999</v>
      </c>
    </row>
    <row r="42" spans="1:9" ht="30" hidden="1">
      <c r="A42" s="32"/>
      <c r="B42" s="114" t="s">
        <v>177</v>
      </c>
      <c r="C42" s="115" t="s">
        <v>178</v>
      </c>
      <c r="D42" s="114" t="s">
        <v>68</v>
      </c>
      <c r="E42" s="116"/>
      <c r="F42" s="130">
        <v>39</v>
      </c>
      <c r="G42" s="117">
        <v>314</v>
      </c>
      <c r="H42" s="118">
        <f t="shared" si="3"/>
        <v>12.246</v>
      </c>
      <c r="I42" s="13">
        <v>0</v>
      </c>
    </row>
    <row r="43" spans="1:9" ht="60" hidden="1">
      <c r="A43" s="32">
        <v>10</v>
      </c>
      <c r="B43" s="114" t="s">
        <v>83</v>
      </c>
      <c r="C43" s="115" t="s">
        <v>90</v>
      </c>
      <c r="D43" s="114" t="s">
        <v>179</v>
      </c>
      <c r="E43" s="117">
        <v>52.8</v>
      </c>
      <c r="F43" s="130">
        <f>SUM(E43*35/1000)</f>
        <v>1.8480000000000001</v>
      </c>
      <c r="G43" s="117">
        <v>7915.6</v>
      </c>
      <c r="H43" s="118">
        <f t="shared" si="3"/>
        <v>14.628028800000003</v>
      </c>
      <c r="I43" s="13">
        <f t="shared" si="4"/>
        <v>2438.0048000000002</v>
      </c>
    </row>
    <row r="44" spans="1:9" hidden="1">
      <c r="A44" s="32">
        <v>11</v>
      </c>
      <c r="B44" s="114" t="s">
        <v>91</v>
      </c>
      <c r="C44" s="115" t="s">
        <v>90</v>
      </c>
      <c r="D44" s="114" t="s">
        <v>70</v>
      </c>
      <c r="E44" s="117">
        <v>107.4</v>
      </c>
      <c r="F44" s="130">
        <f>SUM(E44*45/1000)</f>
        <v>4.8330000000000002</v>
      </c>
      <c r="G44" s="117">
        <v>584.74</v>
      </c>
      <c r="H44" s="118">
        <f t="shared" si="3"/>
        <v>2.8260484200000002</v>
      </c>
      <c r="I44" s="13">
        <f>(F44/7.5*1.5)*G44</f>
        <v>565.20968399999992</v>
      </c>
    </row>
    <row r="45" spans="1:9" hidden="1">
      <c r="A45" s="32">
        <v>12</v>
      </c>
      <c r="B45" s="128" t="s">
        <v>71</v>
      </c>
      <c r="C45" s="129" t="s">
        <v>33</v>
      </c>
      <c r="D45" s="128"/>
      <c r="E45" s="126"/>
      <c r="F45" s="130">
        <v>0.9</v>
      </c>
      <c r="G45" s="130">
        <v>800</v>
      </c>
      <c r="H45" s="118">
        <f t="shared" si="3"/>
        <v>0.72</v>
      </c>
      <c r="I45" s="13">
        <f>(F45/7.5*1.5)*G45</f>
        <v>144.00000000000003</v>
      </c>
    </row>
    <row r="46" spans="1:9" ht="30" hidden="1">
      <c r="A46" s="32">
        <v>13</v>
      </c>
      <c r="B46" s="131" t="s">
        <v>180</v>
      </c>
      <c r="C46" s="132" t="s">
        <v>29</v>
      </c>
      <c r="D46" s="128" t="s">
        <v>181</v>
      </c>
      <c r="E46" s="126">
        <v>4.2</v>
      </c>
      <c r="F46" s="130">
        <f>SUM(E46*12/1000)</f>
        <v>5.0400000000000007E-2</v>
      </c>
      <c r="G46" s="130">
        <v>270.61</v>
      </c>
      <c r="H46" s="118">
        <f t="shared" si="3"/>
        <v>1.3638744000000003E-2</v>
      </c>
      <c r="I46" s="13">
        <f t="shared" si="4"/>
        <v>2.2731240000000006</v>
      </c>
    </row>
    <row r="47" spans="1:9">
      <c r="A47" s="243" t="s">
        <v>137</v>
      </c>
      <c r="B47" s="244"/>
      <c r="C47" s="244"/>
      <c r="D47" s="244"/>
      <c r="E47" s="244"/>
      <c r="F47" s="244"/>
      <c r="G47" s="244"/>
      <c r="H47" s="244"/>
      <c r="I47" s="245"/>
    </row>
    <row r="48" spans="1:9" ht="15.75" customHeight="1">
      <c r="A48" s="32">
        <v>12</v>
      </c>
      <c r="B48" s="114" t="s">
        <v>132</v>
      </c>
      <c r="C48" s="115" t="s">
        <v>90</v>
      </c>
      <c r="D48" s="114" t="s">
        <v>43</v>
      </c>
      <c r="E48" s="116">
        <v>1197.75</v>
      </c>
      <c r="F48" s="117">
        <f>SUM(E48*2/1000)</f>
        <v>2.3955000000000002</v>
      </c>
      <c r="G48" s="36">
        <v>1104.48</v>
      </c>
      <c r="H48" s="118">
        <f t="shared" ref="H48:H57" si="5">SUM(F48*G48/1000)</f>
        <v>2.6457818400000002</v>
      </c>
      <c r="I48" s="13">
        <f>2.3955/2*G48</f>
        <v>1322.8909200000001</v>
      </c>
    </row>
    <row r="49" spans="1:9" ht="15.75" customHeight="1">
      <c r="A49" s="32">
        <v>13</v>
      </c>
      <c r="B49" s="114" t="s">
        <v>36</v>
      </c>
      <c r="C49" s="115" t="s">
        <v>90</v>
      </c>
      <c r="D49" s="114" t="s">
        <v>43</v>
      </c>
      <c r="E49" s="116">
        <v>52</v>
      </c>
      <c r="F49" s="117">
        <f>E49*2/1000</f>
        <v>0.104</v>
      </c>
      <c r="G49" s="36">
        <v>790.38</v>
      </c>
      <c r="H49" s="118">
        <f t="shared" si="5"/>
        <v>8.2199519999999998E-2</v>
      </c>
      <c r="I49" s="13">
        <f>0.104/2*G49</f>
        <v>41.099759999999996</v>
      </c>
    </row>
    <row r="50" spans="1:9" ht="23.25" customHeight="1">
      <c r="A50" s="32">
        <v>14</v>
      </c>
      <c r="B50" s="114" t="s">
        <v>37</v>
      </c>
      <c r="C50" s="115" t="s">
        <v>90</v>
      </c>
      <c r="D50" s="114" t="s">
        <v>43</v>
      </c>
      <c r="E50" s="116">
        <v>1056.5999999999999</v>
      </c>
      <c r="F50" s="117">
        <f>SUM(E50*2/1000)</f>
        <v>2.1132</v>
      </c>
      <c r="G50" s="36">
        <v>790.38</v>
      </c>
      <c r="H50" s="118">
        <f t="shared" si="5"/>
        <v>1.670231016</v>
      </c>
      <c r="I50" s="13">
        <f>2.1132/2*G50</f>
        <v>835.11550799999998</v>
      </c>
    </row>
    <row r="51" spans="1:9" ht="21" customHeight="1">
      <c r="A51" s="32">
        <v>15</v>
      </c>
      <c r="B51" s="114" t="s">
        <v>38</v>
      </c>
      <c r="C51" s="115" t="s">
        <v>90</v>
      </c>
      <c r="D51" s="114" t="s">
        <v>43</v>
      </c>
      <c r="E51" s="116">
        <v>2582</v>
      </c>
      <c r="F51" s="117">
        <f>SUM(E51*2/1000)</f>
        <v>5.1639999999999997</v>
      </c>
      <c r="G51" s="36">
        <v>827.65</v>
      </c>
      <c r="H51" s="118">
        <f t="shared" si="5"/>
        <v>4.2739845999999995</v>
      </c>
      <c r="I51" s="13">
        <f>5.164/2*G51</f>
        <v>2136.9922999999999</v>
      </c>
    </row>
    <row r="52" spans="1:9" ht="21.75" customHeight="1">
      <c r="A52" s="32">
        <v>16</v>
      </c>
      <c r="B52" s="114" t="s">
        <v>34</v>
      </c>
      <c r="C52" s="115" t="s">
        <v>35</v>
      </c>
      <c r="D52" s="114" t="s">
        <v>43</v>
      </c>
      <c r="E52" s="116">
        <v>92.95</v>
      </c>
      <c r="F52" s="117">
        <f>SUM(E52*2/100)</f>
        <v>1.859</v>
      </c>
      <c r="G52" s="36">
        <v>99.31</v>
      </c>
      <c r="H52" s="118">
        <f t="shared" si="5"/>
        <v>0.18461728999999999</v>
      </c>
      <c r="I52" s="13">
        <f>1.859/2*G52</f>
        <v>92.308644999999999</v>
      </c>
    </row>
    <row r="53" spans="1:9" ht="19.5" customHeight="1">
      <c r="A53" s="32">
        <v>17</v>
      </c>
      <c r="B53" s="114" t="s">
        <v>57</v>
      </c>
      <c r="C53" s="115" t="s">
        <v>90</v>
      </c>
      <c r="D53" s="114" t="s">
        <v>148</v>
      </c>
      <c r="E53" s="116">
        <v>1916.4</v>
      </c>
      <c r="F53" s="117">
        <f>SUM(E53*5/1000)</f>
        <v>9.5820000000000007</v>
      </c>
      <c r="G53" s="36">
        <v>1655.27</v>
      </c>
      <c r="H53" s="118">
        <f t="shared" si="5"/>
        <v>15.860797140000001</v>
      </c>
      <c r="I53" s="13">
        <f>9.582/5*G53</f>
        <v>3172.1594279999999</v>
      </c>
    </row>
    <row r="54" spans="1:9" ht="45.75" hidden="1" customHeight="1">
      <c r="A54" s="32">
        <v>13</v>
      </c>
      <c r="B54" s="114" t="s">
        <v>92</v>
      </c>
      <c r="C54" s="115" t="s">
        <v>90</v>
      </c>
      <c r="D54" s="114" t="s">
        <v>43</v>
      </c>
      <c r="E54" s="116">
        <v>3382.7</v>
      </c>
      <c r="F54" s="117">
        <f>SUM(E54*2/1000)</f>
        <v>6.7653999999999996</v>
      </c>
      <c r="G54" s="36">
        <v>1655.27</v>
      </c>
      <c r="H54" s="118">
        <f t="shared" si="5"/>
        <v>11.198563657999999</v>
      </c>
      <c r="I54" s="13">
        <f>6.7654/2*G54</f>
        <v>5599.2818289999996</v>
      </c>
    </row>
    <row r="55" spans="1:9" ht="38.25" hidden="1" customHeight="1">
      <c r="A55" s="32">
        <v>14</v>
      </c>
      <c r="B55" s="114" t="s">
        <v>93</v>
      </c>
      <c r="C55" s="115" t="s">
        <v>39</v>
      </c>
      <c r="D55" s="114" t="s">
        <v>43</v>
      </c>
      <c r="E55" s="116">
        <v>20</v>
      </c>
      <c r="F55" s="117">
        <f>SUM(E55*2/100)</f>
        <v>0.4</v>
      </c>
      <c r="G55" s="36">
        <v>3724.37</v>
      </c>
      <c r="H55" s="118">
        <f t="shared" si="5"/>
        <v>1.4897480000000001</v>
      </c>
      <c r="I55" s="13">
        <f>0.4/2*G55</f>
        <v>744.87400000000002</v>
      </c>
    </row>
    <row r="56" spans="1:9" ht="16.5" hidden="1" customHeight="1">
      <c r="A56" s="32">
        <v>15</v>
      </c>
      <c r="B56" s="114" t="s">
        <v>40</v>
      </c>
      <c r="C56" s="115" t="s">
        <v>41</v>
      </c>
      <c r="D56" s="114" t="s">
        <v>43</v>
      </c>
      <c r="E56" s="116">
        <v>1</v>
      </c>
      <c r="F56" s="117">
        <v>0.02</v>
      </c>
      <c r="G56" s="36">
        <v>7709.44</v>
      </c>
      <c r="H56" s="118">
        <f t="shared" si="5"/>
        <v>0.15418879999999999</v>
      </c>
      <c r="I56" s="13">
        <f>G56*0.01</f>
        <v>77.094399999999993</v>
      </c>
    </row>
    <row r="57" spans="1:9" hidden="1">
      <c r="A57" s="32">
        <v>11</v>
      </c>
      <c r="B57" s="114" t="s">
        <v>42</v>
      </c>
      <c r="C57" s="115" t="s">
        <v>109</v>
      </c>
      <c r="D57" s="114" t="s">
        <v>72</v>
      </c>
      <c r="E57" s="116">
        <v>118</v>
      </c>
      <c r="F57" s="117">
        <f>SUM(E57)*3</f>
        <v>354</v>
      </c>
      <c r="G57" s="133">
        <v>89.59</v>
      </c>
      <c r="H57" s="118">
        <f t="shared" si="5"/>
        <v>31.714860000000002</v>
      </c>
      <c r="I57" s="13">
        <f>G57*118</f>
        <v>10571.62</v>
      </c>
    </row>
    <row r="58" spans="1:9">
      <c r="A58" s="243" t="s">
        <v>138</v>
      </c>
      <c r="B58" s="244"/>
      <c r="C58" s="244"/>
      <c r="D58" s="244"/>
      <c r="E58" s="244"/>
      <c r="F58" s="244"/>
      <c r="G58" s="244"/>
      <c r="H58" s="244"/>
      <c r="I58" s="245"/>
    </row>
    <row r="59" spans="1:9" hidden="1">
      <c r="A59" s="32"/>
      <c r="B59" s="146" t="s">
        <v>44</v>
      </c>
      <c r="C59" s="115"/>
      <c r="D59" s="114"/>
      <c r="E59" s="116"/>
      <c r="F59" s="117"/>
      <c r="G59" s="117"/>
      <c r="H59" s="118"/>
      <c r="I59" s="13"/>
    </row>
    <row r="60" spans="1:9" ht="45" hidden="1">
      <c r="A60" s="32">
        <v>15</v>
      </c>
      <c r="B60" s="114" t="s">
        <v>124</v>
      </c>
      <c r="C60" s="115" t="s">
        <v>88</v>
      </c>
      <c r="D60" s="114" t="s">
        <v>110</v>
      </c>
      <c r="E60" s="116">
        <v>73.599999999999994</v>
      </c>
      <c r="F60" s="117">
        <f>SUM(E60*6/100)</f>
        <v>4.4159999999999995</v>
      </c>
      <c r="G60" s="36">
        <v>2110.4699999999998</v>
      </c>
      <c r="H60" s="118">
        <f>SUM(F60*G60/1000)</f>
        <v>9.319835519999998</v>
      </c>
      <c r="I60" s="13">
        <f t="shared" ref="I60" si="6">F60/6*G60</f>
        <v>1553.3059199999996</v>
      </c>
    </row>
    <row r="61" spans="1:9" ht="30" hidden="1">
      <c r="A61" s="32"/>
      <c r="B61" s="114" t="s">
        <v>182</v>
      </c>
      <c r="C61" s="115" t="s">
        <v>183</v>
      </c>
      <c r="D61" s="114" t="s">
        <v>68</v>
      </c>
      <c r="E61" s="116"/>
      <c r="F61" s="117">
        <v>4</v>
      </c>
      <c r="G61" s="36">
        <v>1645</v>
      </c>
      <c r="H61" s="118">
        <f>SUM(F61*G61/1000)</f>
        <v>6.58</v>
      </c>
      <c r="I61" s="13">
        <v>0</v>
      </c>
    </row>
    <row r="62" spans="1:9" ht="17.25" customHeight="1">
      <c r="A62" s="32"/>
      <c r="B62" s="147" t="s">
        <v>45</v>
      </c>
      <c r="C62" s="101"/>
      <c r="D62" s="52"/>
      <c r="E62" s="98"/>
      <c r="F62" s="117"/>
      <c r="G62" s="149"/>
      <c r="H62" s="135"/>
      <c r="I62" s="13"/>
    </row>
    <row r="63" spans="1:9" hidden="1">
      <c r="A63" s="32"/>
      <c r="B63" s="52" t="s">
        <v>184</v>
      </c>
      <c r="C63" s="101" t="s">
        <v>53</v>
      </c>
      <c r="D63" s="52" t="s">
        <v>54</v>
      </c>
      <c r="E63" s="98">
        <v>158.19999999999999</v>
      </c>
      <c r="F63" s="117">
        <f>SUM(E63/100)</f>
        <v>1.5819999999999999</v>
      </c>
      <c r="G63" s="117">
        <v>1082.47</v>
      </c>
      <c r="H63" s="135">
        <f>F63*G63/1000</f>
        <v>1.7124675399999998</v>
      </c>
      <c r="I63" s="13">
        <v>0</v>
      </c>
    </row>
    <row r="64" spans="1:9" ht="18.75" customHeight="1">
      <c r="A64" s="32">
        <v>18</v>
      </c>
      <c r="B64" s="52" t="s">
        <v>122</v>
      </c>
      <c r="C64" s="101" t="s">
        <v>25</v>
      </c>
      <c r="D64" s="52" t="s">
        <v>30</v>
      </c>
      <c r="E64" s="98">
        <v>160</v>
      </c>
      <c r="F64" s="99">
        <f>E64*12</f>
        <v>1920</v>
      </c>
      <c r="G64" s="117">
        <v>1.2</v>
      </c>
      <c r="H64" s="135">
        <f>F64*G64/1000</f>
        <v>2.3039999999999998</v>
      </c>
      <c r="I64" s="13">
        <f>F64/12*G64</f>
        <v>192</v>
      </c>
    </row>
    <row r="65" spans="1:9" ht="19.5" customHeight="1">
      <c r="A65" s="32"/>
      <c r="B65" s="148" t="s">
        <v>46</v>
      </c>
      <c r="C65" s="101"/>
      <c r="D65" s="52"/>
      <c r="E65" s="98"/>
      <c r="F65" s="99"/>
      <c r="G65" s="99"/>
      <c r="H65" s="100" t="s">
        <v>125</v>
      </c>
      <c r="I65" s="13"/>
    </row>
    <row r="66" spans="1:9" ht="18" customHeight="1">
      <c r="A66" s="32">
        <v>19</v>
      </c>
      <c r="B66" s="136" t="s">
        <v>47</v>
      </c>
      <c r="C66" s="137" t="s">
        <v>109</v>
      </c>
      <c r="D66" s="38" t="s">
        <v>68</v>
      </c>
      <c r="E66" s="17">
        <v>12</v>
      </c>
      <c r="F66" s="117">
        <f>SUM(E66)</f>
        <v>12</v>
      </c>
      <c r="G66" s="36">
        <v>303.35000000000002</v>
      </c>
      <c r="H66" s="138">
        <f t="shared" ref="H66:H83" si="7">SUM(F66*G66/1000)</f>
        <v>3.6402000000000001</v>
      </c>
      <c r="I66" s="13">
        <f>G66*4</f>
        <v>1213.4000000000001</v>
      </c>
    </row>
    <row r="67" spans="1:9" ht="17.25" hidden="1" customHeight="1">
      <c r="A67" s="32"/>
      <c r="B67" s="136" t="s">
        <v>48</v>
      </c>
      <c r="C67" s="137" t="s">
        <v>109</v>
      </c>
      <c r="D67" s="38" t="s">
        <v>68</v>
      </c>
      <c r="E67" s="17">
        <v>6</v>
      </c>
      <c r="F67" s="117">
        <f>SUM(E67)</f>
        <v>6</v>
      </c>
      <c r="G67" s="36">
        <v>104.01</v>
      </c>
      <c r="H67" s="138">
        <f t="shared" si="7"/>
        <v>0.62406000000000006</v>
      </c>
      <c r="I67" s="13">
        <v>0</v>
      </c>
    </row>
    <row r="68" spans="1:9" ht="15.75" hidden="1" customHeight="1">
      <c r="A68" s="32">
        <v>29</v>
      </c>
      <c r="B68" s="136" t="s">
        <v>49</v>
      </c>
      <c r="C68" s="139" t="s">
        <v>111</v>
      </c>
      <c r="D68" s="38" t="s">
        <v>54</v>
      </c>
      <c r="E68" s="116">
        <v>14220</v>
      </c>
      <c r="F68" s="133">
        <f>SUM(E68/100)</f>
        <v>142.19999999999999</v>
      </c>
      <c r="G68" s="36">
        <v>289.37</v>
      </c>
      <c r="H68" s="138">
        <f t="shared" si="7"/>
        <v>41.148413999999995</v>
      </c>
      <c r="I68" s="13">
        <f>142.2*G68</f>
        <v>41148.413999999997</v>
      </c>
    </row>
    <row r="69" spans="1:9" ht="21.75" hidden="1" customHeight="1">
      <c r="A69" s="32">
        <v>30</v>
      </c>
      <c r="B69" s="136" t="s">
        <v>50</v>
      </c>
      <c r="C69" s="137" t="s">
        <v>112</v>
      </c>
      <c r="D69" s="38"/>
      <c r="E69" s="116">
        <v>14220</v>
      </c>
      <c r="F69" s="36">
        <f>SUM(E69/1000)</f>
        <v>14.22</v>
      </c>
      <c r="G69" s="36">
        <v>225.35</v>
      </c>
      <c r="H69" s="138">
        <f t="shared" si="7"/>
        <v>3.2044769999999998</v>
      </c>
      <c r="I69" s="13">
        <f>14.22*G69</f>
        <v>3204.4769999999999</v>
      </c>
    </row>
    <row r="70" spans="1:9" ht="21.75" hidden="1" customHeight="1">
      <c r="A70" s="32">
        <v>31</v>
      </c>
      <c r="B70" s="136" t="s">
        <v>51</v>
      </c>
      <c r="C70" s="137" t="s">
        <v>78</v>
      </c>
      <c r="D70" s="38" t="s">
        <v>54</v>
      </c>
      <c r="E70" s="116">
        <v>2260</v>
      </c>
      <c r="F70" s="36">
        <f>SUM(E70/100)</f>
        <v>22.6</v>
      </c>
      <c r="G70" s="36">
        <v>2829.78</v>
      </c>
      <c r="H70" s="138">
        <f t="shared" si="7"/>
        <v>63.953028000000003</v>
      </c>
      <c r="I70" s="13">
        <f>22.6*G70</f>
        <v>63953.028000000006</v>
      </c>
    </row>
    <row r="71" spans="1:9" ht="19.5" hidden="1" customHeight="1">
      <c r="A71" s="32">
        <v>32</v>
      </c>
      <c r="B71" s="140" t="s">
        <v>113</v>
      </c>
      <c r="C71" s="137" t="s">
        <v>33</v>
      </c>
      <c r="D71" s="38"/>
      <c r="E71" s="116">
        <v>10.6</v>
      </c>
      <c r="F71" s="36">
        <f>SUM(E71)</f>
        <v>10.6</v>
      </c>
      <c r="G71" s="36">
        <v>44.31</v>
      </c>
      <c r="H71" s="138">
        <f t="shared" si="7"/>
        <v>0.46968600000000005</v>
      </c>
      <c r="I71" s="13">
        <f>10.6*G71</f>
        <v>469.68600000000004</v>
      </c>
    </row>
    <row r="72" spans="1:9" ht="19.5" hidden="1" customHeight="1">
      <c r="A72" s="32">
        <v>33</v>
      </c>
      <c r="B72" s="140" t="s">
        <v>114</v>
      </c>
      <c r="C72" s="137" t="s">
        <v>33</v>
      </c>
      <c r="D72" s="38"/>
      <c r="E72" s="116">
        <v>10.6</v>
      </c>
      <c r="F72" s="36">
        <f>SUM(E72)</f>
        <v>10.6</v>
      </c>
      <c r="G72" s="36">
        <v>47.79</v>
      </c>
      <c r="H72" s="138">
        <f t="shared" si="7"/>
        <v>0.50657399999999997</v>
      </c>
      <c r="I72" s="13">
        <f>10.6*G72</f>
        <v>506.57399999999996</v>
      </c>
    </row>
    <row r="73" spans="1:9" ht="18.75" customHeight="1">
      <c r="A73" s="32">
        <v>20</v>
      </c>
      <c r="B73" s="38" t="s">
        <v>58</v>
      </c>
      <c r="C73" s="137" t="s">
        <v>59</v>
      </c>
      <c r="D73" s="38" t="s">
        <v>54</v>
      </c>
      <c r="E73" s="17">
        <v>3</v>
      </c>
      <c r="F73" s="36">
        <f>SUM(E73)</f>
        <v>3</v>
      </c>
      <c r="G73" s="36">
        <v>68.040000000000006</v>
      </c>
      <c r="H73" s="138">
        <f t="shared" si="7"/>
        <v>0.20412</v>
      </c>
      <c r="I73" s="13">
        <f>G73*3</f>
        <v>204.12</v>
      </c>
    </row>
    <row r="74" spans="1:9" ht="15" customHeight="1">
      <c r="A74" s="32"/>
      <c r="B74" s="150" t="s">
        <v>73</v>
      </c>
      <c r="C74" s="137"/>
      <c r="D74" s="38"/>
      <c r="E74" s="17"/>
      <c r="F74" s="36"/>
      <c r="G74" s="36"/>
      <c r="H74" s="138" t="s">
        <v>125</v>
      </c>
      <c r="I74" s="75"/>
    </row>
    <row r="75" spans="1:9" ht="30" hidden="1">
      <c r="A75" s="32"/>
      <c r="B75" s="38" t="s">
        <v>185</v>
      </c>
      <c r="C75" s="137" t="s">
        <v>109</v>
      </c>
      <c r="D75" s="38" t="s">
        <v>142</v>
      </c>
      <c r="E75" s="17">
        <v>1</v>
      </c>
      <c r="F75" s="36">
        <v>1</v>
      </c>
      <c r="G75" s="36">
        <v>2112.2800000000002</v>
      </c>
      <c r="H75" s="138">
        <f t="shared" ref="H75:H77" si="8">SUM(F75*G75/1000)</f>
        <v>2.1122800000000002</v>
      </c>
      <c r="I75" s="75"/>
    </row>
    <row r="76" spans="1:9" ht="30" hidden="1">
      <c r="A76" s="32"/>
      <c r="B76" s="38" t="s">
        <v>74</v>
      </c>
      <c r="C76" s="137" t="s">
        <v>76</v>
      </c>
      <c r="D76" s="38" t="s">
        <v>142</v>
      </c>
      <c r="E76" s="17">
        <v>3</v>
      </c>
      <c r="F76" s="36">
        <f>E76/10</f>
        <v>0.3</v>
      </c>
      <c r="G76" s="36">
        <v>684.19</v>
      </c>
      <c r="H76" s="138">
        <f t="shared" si="8"/>
        <v>0.205257</v>
      </c>
      <c r="I76" s="75"/>
    </row>
    <row r="77" spans="1:9" ht="30" hidden="1">
      <c r="A77" s="32"/>
      <c r="B77" s="38" t="s">
        <v>186</v>
      </c>
      <c r="C77" s="137" t="s">
        <v>109</v>
      </c>
      <c r="D77" s="38" t="s">
        <v>142</v>
      </c>
      <c r="E77" s="17">
        <v>1</v>
      </c>
      <c r="F77" s="117">
        <f>SUM(E77)</f>
        <v>1</v>
      </c>
      <c r="G77" s="36">
        <v>1163.47</v>
      </c>
      <c r="H77" s="138">
        <f t="shared" si="8"/>
        <v>1.16347</v>
      </c>
      <c r="I77" s="75"/>
    </row>
    <row r="78" spans="1:9" ht="30" hidden="1">
      <c r="A78" s="32"/>
      <c r="B78" s="131" t="s">
        <v>187</v>
      </c>
      <c r="C78" s="132" t="s">
        <v>109</v>
      </c>
      <c r="D78" s="38" t="s">
        <v>142</v>
      </c>
      <c r="E78" s="17">
        <v>1</v>
      </c>
      <c r="F78" s="102">
        <v>1</v>
      </c>
      <c r="G78" s="36">
        <v>1670.07</v>
      </c>
      <c r="H78" s="138">
        <f>SUM(F78*G78/1000)</f>
        <v>1.6700699999999999</v>
      </c>
      <c r="I78" s="75"/>
    </row>
    <row r="79" spans="1:9" ht="30.75" customHeight="1">
      <c r="A79" s="32">
        <v>21</v>
      </c>
      <c r="B79" s="131" t="s">
        <v>188</v>
      </c>
      <c r="C79" s="132" t="s">
        <v>109</v>
      </c>
      <c r="D79" s="38" t="s">
        <v>30</v>
      </c>
      <c r="E79" s="141">
        <v>2</v>
      </c>
      <c r="F79" s="99">
        <f>E79*12</f>
        <v>24</v>
      </c>
      <c r="G79" s="142">
        <v>55.55</v>
      </c>
      <c r="H79" s="138">
        <f t="shared" ref="H79" si="9">SUM(F79*G79/1000)</f>
        <v>1.3331999999999997</v>
      </c>
      <c r="I79" s="13">
        <f>F79/12*G79</f>
        <v>111.1</v>
      </c>
    </row>
    <row r="80" spans="1:9" ht="18.75" customHeight="1">
      <c r="A80" s="32"/>
      <c r="B80" s="151" t="s">
        <v>189</v>
      </c>
      <c r="C80" s="132"/>
      <c r="D80" s="38"/>
      <c r="E80" s="17"/>
      <c r="F80" s="36"/>
      <c r="G80" s="36"/>
      <c r="H80" s="138"/>
      <c r="I80" s="75"/>
    </row>
    <row r="81" spans="1:9" ht="17.25" customHeight="1">
      <c r="A81" s="32">
        <v>22</v>
      </c>
      <c r="B81" s="38" t="s">
        <v>190</v>
      </c>
      <c r="C81" s="143" t="s">
        <v>191</v>
      </c>
      <c r="D81" s="38" t="s">
        <v>142</v>
      </c>
      <c r="E81" s="17">
        <v>3382.7</v>
      </c>
      <c r="F81" s="36">
        <f>SUM(E81*12)</f>
        <v>40592.399999999994</v>
      </c>
      <c r="G81" s="36">
        <v>2.37</v>
      </c>
      <c r="H81" s="138">
        <f t="shared" ref="H81" si="10">SUM(F81*G81/1000)</f>
        <v>96.203987999999995</v>
      </c>
      <c r="I81" s="13">
        <f>F81/12*G81</f>
        <v>8016.9989999999989</v>
      </c>
    </row>
    <row r="82" spans="1:9" hidden="1">
      <c r="A82" s="32"/>
      <c r="B82" s="152" t="s">
        <v>77</v>
      </c>
      <c r="C82" s="137"/>
      <c r="D82" s="38"/>
      <c r="E82" s="17"/>
      <c r="F82" s="36"/>
      <c r="G82" s="36" t="s">
        <v>125</v>
      </c>
      <c r="H82" s="138" t="s">
        <v>125</v>
      </c>
      <c r="I82" s="75"/>
    </row>
    <row r="83" spans="1:9" hidden="1">
      <c r="A83" s="32">
        <v>18</v>
      </c>
      <c r="B83" s="144" t="s">
        <v>123</v>
      </c>
      <c r="C83" s="139" t="s">
        <v>78</v>
      </c>
      <c r="D83" s="136"/>
      <c r="E83" s="145"/>
      <c r="F83" s="133">
        <v>0.1</v>
      </c>
      <c r="G83" s="133">
        <v>4144.28</v>
      </c>
      <c r="H83" s="138">
        <f t="shared" si="7"/>
        <v>0.41442800000000002</v>
      </c>
      <c r="I83" s="13">
        <f>G83</f>
        <v>4144.28</v>
      </c>
    </row>
    <row r="84" spans="1:9" ht="28.5" hidden="1">
      <c r="A84" s="32"/>
      <c r="B84" s="97" t="s">
        <v>94</v>
      </c>
      <c r="C84" s="139"/>
      <c r="D84" s="136"/>
      <c r="E84" s="145"/>
      <c r="F84" s="133"/>
      <c r="G84" s="133"/>
      <c r="H84" s="138"/>
      <c r="I84" s="13"/>
    </row>
    <row r="85" spans="1:9" hidden="1">
      <c r="A85" s="32"/>
      <c r="B85" s="114" t="s">
        <v>115</v>
      </c>
      <c r="C85" s="153"/>
      <c r="D85" s="154"/>
      <c r="E85" s="155"/>
      <c r="F85" s="37">
        <v>1</v>
      </c>
      <c r="G85" s="37">
        <v>12528</v>
      </c>
      <c r="H85" s="138">
        <f>G85*F85/1000</f>
        <v>12.528</v>
      </c>
      <c r="I85" s="13">
        <v>0</v>
      </c>
    </row>
    <row r="86" spans="1:9">
      <c r="A86" s="220" t="s">
        <v>139</v>
      </c>
      <c r="B86" s="221"/>
      <c r="C86" s="221"/>
      <c r="D86" s="221"/>
      <c r="E86" s="221"/>
      <c r="F86" s="221"/>
      <c r="G86" s="221"/>
      <c r="H86" s="221"/>
      <c r="I86" s="222"/>
    </row>
    <row r="87" spans="1:9" ht="18.75" customHeight="1">
      <c r="A87" s="32">
        <v>23</v>
      </c>
      <c r="B87" s="114" t="s">
        <v>117</v>
      </c>
      <c r="C87" s="137" t="s">
        <v>55</v>
      </c>
      <c r="D87" s="157"/>
      <c r="E87" s="36">
        <v>3382.7</v>
      </c>
      <c r="F87" s="36">
        <f>SUM(E87*12)</f>
        <v>40592.399999999994</v>
      </c>
      <c r="G87" s="36">
        <v>3.22</v>
      </c>
      <c r="H87" s="138">
        <f>SUM(F87*G87/1000)</f>
        <v>130.707528</v>
      </c>
      <c r="I87" s="13">
        <f>F87/12*G87</f>
        <v>10892.293999999998</v>
      </c>
    </row>
    <row r="88" spans="1:9" ht="36" customHeight="1">
      <c r="A88" s="32">
        <v>24</v>
      </c>
      <c r="B88" s="38" t="s">
        <v>79</v>
      </c>
      <c r="C88" s="137"/>
      <c r="D88" s="156"/>
      <c r="E88" s="116">
        <v>3382.7</v>
      </c>
      <c r="F88" s="36">
        <f>E88*12</f>
        <v>40592.399999999994</v>
      </c>
      <c r="G88" s="36">
        <v>3.64</v>
      </c>
      <c r="H88" s="138">
        <f>F88*G88/1000</f>
        <v>147.75633599999998</v>
      </c>
      <c r="I88" s="13">
        <f>F88/12*G88</f>
        <v>12313.027999999998</v>
      </c>
    </row>
    <row r="89" spans="1:9">
      <c r="A89" s="32"/>
      <c r="B89" s="39" t="s">
        <v>81</v>
      </c>
      <c r="C89" s="87"/>
      <c r="D89" s="86"/>
      <c r="E89" s="75"/>
      <c r="F89" s="75"/>
      <c r="G89" s="75"/>
      <c r="H89" s="88">
        <f>H88</f>
        <v>147.75633599999998</v>
      </c>
      <c r="I89" s="75">
        <f>I88+I87+I81+I79+I73+I66+I64+I53+I52+I51+I50+I49+I48+I35+I34+I32+I31+I28+I27+I21+I20+I18+I17+I16</f>
        <v>72072.333637888849</v>
      </c>
    </row>
    <row r="90" spans="1:9">
      <c r="A90" s="234" t="s">
        <v>61</v>
      </c>
      <c r="B90" s="235"/>
      <c r="C90" s="235"/>
      <c r="D90" s="235"/>
      <c r="E90" s="235"/>
      <c r="F90" s="235"/>
      <c r="G90" s="235"/>
      <c r="H90" s="235"/>
      <c r="I90" s="236"/>
    </row>
    <row r="91" spans="1:9" ht="34.5" customHeight="1">
      <c r="A91" s="32" t="s">
        <v>248</v>
      </c>
      <c r="B91" s="51" t="s">
        <v>128</v>
      </c>
      <c r="C91" s="164" t="s">
        <v>109</v>
      </c>
      <c r="D91" s="14"/>
      <c r="E91" s="165"/>
      <c r="F91" s="81">
        <v>732</v>
      </c>
      <c r="G91" s="89">
        <v>55.55</v>
      </c>
      <c r="H91" s="82">
        <f>SUM(F91*G91/1000)</f>
        <v>40.662599999999998</v>
      </c>
      <c r="I91" s="89">
        <f>G91*60</f>
        <v>3333</v>
      </c>
    </row>
    <row r="92" spans="1:9">
      <c r="A92" s="32">
        <v>26</v>
      </c>
      <c r="B92" s="174" t="s">
        <v>200</v>
      </c>
      <c r="C92" s="132" t="s">
        <v>109</v>
      </c>
      <c r="D92" s="14"/>
      <c r="E92" s="64"/>
      <c r="F92" s="63"/>
      <c r="G92" s="142">
        <v>197.26</v>
      </c>
      <c r="H92" s="63"/>
      <c r="I92" s="89">
        <f>G92*1</f>
        <v>197.26</v>
      </c>
    </row>
    <row r="93" spans="1:9" hidden="1">
      <c r="A93" s="173">
        <v>20</v>
      </c>
      <c r="B93" s="188"/>
      <c r="C93" s="143"/>
      <c r="D93" s="19"/>
      <c r="E93" s="64"/>
      <c r="F93" s="63"/>
      <c r="G93" s="142"/>
      <c r="H93" s="63"/>
      <c r="I93" s="89"/>
    </row>
    <row r="94" spans="1:9" hidden="1">
      <c r="A94" s="32">
        <v>21</v>
      </c>
      <c r="B94" s="114"/>
      <c r="C94" s="115"/>
      <c r="D94" s="14"/>
      <c r="E94" s="64"/>
      <c r="F94" s="63"/>
      <c r="G94" s="36"/>
      <c r="H94" s="63"/>
      <c r="I94" s="89"/>
    </row>
    <row r="95" spans="1:9" hidden="1">
      <c r="A95" s="32">
        <v>21</v>
      </c>
      <c r="B95" s="131"/>
      <c r="C95" s="132"/>
      <c r="D95" s="14"/>
      <c r="E95" s="64"/>
      <c r="F95" s="63"/>
      <c r="G95" s="142"/>
      <c r="H95" s="63"/>
      <c r="I95" s="89"/>
    </row>
    <row r="96" spans="1:9" hidden="1">
      <c r="A96" s="32">
        <v>22</v>
      </c>
      <c r="B96" s="131"/>
      <c r="C96" s="132"/>
      <c r="D96" s="14"/>
      <c r="E96" s="64"/>
      <c r="F96" s="63"/>
      <c r="G96" s="142"/>
      <c r="H96" s="63"/>
      <c r="I96" s="89"/>
    </row>
    <row r="97" spans="1:9" hidden="1">
      <c r="A97" s="32">
        <v>22</v>
      </c>
      <c r="B97" s="131"/>
      <c r="C97" s="132"/>
      <c r="D97" s="14"/>
      <c r="E97" s="64"/>
      <c r="F97" s="63"/>
      <c r="G97" s="189"/>
      <c r="H97" s="63"/>
      <c r="I97" s="89"/>
    </row>
    <row r="98" spans="1:9">
      <c r="A98" s="32">
        <v>27</v>
      </c>
      <c r="B98" s="131" t="s">
        <v>226</v>
      </c>
      <c r="C98" s="132" t="s">
        <v>84</v>
      </c>
      <c r="D98" s="14"/>
      <c r="E98" s="64"/>
      <c r="F98" s="63"/>
      <c r="G98" s="36">
        <v>203.68</v>
      </c>
      <c r="H98" s="63"/>
      <c r="I98" s="89">
        <f>G98*1</f>
        <v>203.68</v>
      </c>
    </row>
    <row r="99" spans="1:9" ht="15.75" customHeight="1">
      <c r="A99" s="32"/>
      <c r="B99" s="44" t="s">
        <v>52</v>
      </c>
      <c r="C99" s="40"/>
      <c r="D99" s="47"/>
      <c r="E99" s="40">
        <v>1</v>
      </c>
      <c r="F99" s="40"/>
      <c r="G99" s="40"/>
      <c r="H99" s="40"/>
      <c r="I99" s="34">
        <f>I98+I92</f>
        <v>400.94</v>
      </c>
    </row>
    <row r="100" spans="1:9">
      <c r="A100" s="32"/>
      <c r="B100" s="46" t="s">
        <v>80</v>
      </c>
      <c r="C100" s="15"/>
      <c r="D100" s="15"/>
      <c r="E100" s="41"/>
      <c r="F100" s="41"/>
      <c r="G100" s="42"/>
      <c r="H100" s="42"/>
      <c r="I100" s="17">
        <v>0</v>
      </c>
    </row>
    <row r="101" spans="1:9">
      <c r="A101" s="48"/>
      <c r="B101" s="45" t="s">
        <v>157</v>
      </c>
      <c r="C101" s="35"/>
      <c r="D101" s="35"/>
      <c r="E101" s="35"/>
      <c r="F101" s="35"/>
      <c r="G101" s="35"/>
      <c r="H101" s="35"/>
      <c r="I101" s="43">
        <f>I89+I99</f>
        <v>72473.273637888851</v>
      </c>
    </row>
    <row r="102" spans="1:9">
      <c r="A102" s="231" t="s">
        <v>249</v>
      </c>
      <c r="B102" s="232"/>
      <c r="C102" s="232"/>
      <c r="D102" s="232"/>
      <c r="E102" s="232"/>
      <c r="F102" s="232"/>
      <c r="G102" s="232"/>
      <c r="H102" s="232"/>
      <c r="I102" s="232"/>
    </row>
    <row r="103" spans="1:9" ht="15.75">
      <c r="A103" s="223" t="s">
        <v>250</v>
      </c>
      <c r="B103" s="223"/>
      <c r="C103" s="223"/>
      <c r="D103" s="223"/>
      <c r="E103" s="223"/>
      <c r="F103" s="223"/>
      <c r="G103" s="223"/>
      <c r="H103" s="223"/>
      <c r="I103" s="223"/>
    </row>
    <row r="104" spans="1:9" ht="15.75">
      <c r="A104" s="61"/>
      <c r="B104" s="224" t="s">
        <v>251</v>
      </c>
      <c r="C104" s="224"/>
      <c r="D104" s="224"/>
      <c r="E104" s="224"/>
      <c r="F104" s="224"/>
      <c r="G104" s="224"/>
      <c r="H104" s="67"/>
      <c r="I104" s="3"/>
    </row>
    <row r="105" spans="1:9">
      <c r="A105" s="195"/>
      <c r="B105" s="225" t="s">
        <v>6</v>
      </c>
      <c r="C105" s="225"/>
      <c r="D105" s="225"/>
      <c r="E105" s="225"/>
      <c r="F105" s="225"/>
      <c r="G105" s="225"/>
      <c r="H105" s="27"/>
      <c r="I105" s="50"/>
    </row>
    <row r="106" spans="1:9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 ht="15.75">
      <c r="A107" s="226" t="s">
        <v>7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226" t="s">
        <v>8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227" t="s">
        <v>62</v>
      </c>
      <c r="B109" s="227"/>
      <c r="C109" s="227"/>
      <c r="D109" s="227"/>
      <c r="E109" s="227"/>
      <c r="F109" s="227"/>
      <c r="G109" s="227"/>
      <c r="H109" s="227"/>
      <c r="I109" s="227"/>
    </row>
    <row r="110" spans="1:9" ht="15.75">
      <c r="A110" s="11"/>
    </row>
    <row r="111" spans="1:9" ht="15.75">
      <c r="A111" s="228" t="s">
        <v>9</v>
      </c>
      <c r="B111" s="228"/>
      <c r="C111" s="228"/>
      <c r="D111" s="228"/>
      <c r="E111" s="228"/>
      <c r="F111" s="228"/>
      <c r="G111" s="228"/>
      <c r="H111" s="228"/>
      <c r="I111" s="228"/>
    </row>
    <row r="112" spans="1:9" ht="15.75">
      <c r="A112" s="4"/>
    </row>
    <row r="113" spans="1:9" ht="15.75">
      <c r="B113" s="193" t="s">
        <v>10</v>
      </c>
      <c r="C113" s="229" t="s">
        <v>140</v>
      </c>
      <c r="D113" s="229"/>
      <c r="E113" s="229"/>
      <c r="F113" s="65"/>
      <c r="I113" s="194"/>
    </row>
    <row r="114" spans="1:9">
      <c r="A114" s="191"/>
      <c r="C114" s="225" t="s">
        <v>11</v>
      </c>
      <c r="D114" s="225"/>
      <c r="E114" s="225"/>
      <c r="F114" s="27"/>
      <c r="I114" s="192" t="s">
        <v>12</v>
      </c>
    </row>
    <row r="115" spans="1:9" ht="15.75">
      <c r="A115" s="28"/>
      <c r="C115" s="12"/>
      <c r="D115" s="12"/>
      <c r="G115" s="12"/>
      <c r="H115" s="12"/>
    </row>
    <row r="116" spans="1:9" ht="15.75">
      <c r="B116" s="193" t="s">
        <v>13</v>
      </c>
      <c r="C116" s="230"/>
      <c r="D116" s="230"/>
      <c r="E116" s="230"/>
      <c r="F116" s="66"/>
      <c r="I116" s="194"/>
    </row>
    <row r="117" spans="1:9">
      <c r="A117" s="191"/>
      <c r="C117" s="219" t="s">
        <v>11</v>
      </c>
      <c r="D117" s="219"/>
      <c r="E117" s="219"/>
      <c r="F117" s="191"/>
      <c r="I117" s="192" t="s">
        <v>12</v>
      </c>
    </row>
    <row r="118" spans="1:9" ht="15.75">
      <c r="A118" s="4" t="s">
        <v>14</v>
      </c>
    </row>
    <row r="119" spans="1:9">
      <c r="A119" s="217" t="s">
        <v>15</v>
      </c>
      <c r="B119" s="217"/>
      <c r="C119" s="217"/>
      <c r="D119" s="217"/>
      <c r="E119" s="217"/>
      <c r="F119" s="217"/>
      <c r="G119" s="217"/>
      <c r="H119" s="217"/>
      <c r="I119" s="217"/>
    </row>
    <row r="120" spans="1:9" ht="41.25" customHeight="1">
      <c r="A120" s="218" t="s">
        <v>16</v>
      </c>
      <c r="B120" s="218"/>
      <c r="C120" s="218"/>
      <c r="D120" s="218"/>
      <c r="E120" s="218"/>
      <c r="F120" s="218"/>
      <c r="G120" s="218"/>
      <c r="H120" s="218"/>
      <c r="I120" s="218"/>
    </row>
    <row r="121" spans="1:9" ht="39.75" customHeight="1">
      <c r="A121" s="218" t="s">
        <v>17</v>
      </c>
      <c r="B121" s="218"/>
      <c r="C121" s="218"/>
      <c r="D121" s="218"/>
      <c r="E121" s="218"/>
      <c r="F121" s="218"/>
      <c r="G121" s="218"/>
      <c r="H121" s="218"/>
      <c r="I121" s="218"/>
    </row>
    <row r="122" spans="1:9" ht="36.75" customHeight="1">
      <c r="A122" s="218" t="s">
        <v>21</v>
      </c>
      <c r="B122" s="218"/>
      <c r="C122" s="218"/>
      <c r="D122" s="218"/>
      <c r="E122" s="218"/>
      <c r="F122" s="218"/>
      <c r="G122" s="218"/>
      <c r="H122" s="218"/>
      <c r="I122" s="218"/>
    </row>
    <row r="123" spans="1:9" ht="15.75">
      <c r="A123" s="218" t="s">
        <v>20</v>
      </c>
      <c r="B123" s="218"/>
      <c r="C123" s="218"/>
      <c r="D123" s="218"/>
      <c r="E123" s="218"/>
      <c r="F123" s="218"/>
      <c r="G123" s="218"/>
      <c r="H123" s="218"/>
      <c r="I123" s="218"/>
    </row>
  </sheetData>
  <mergeCells count="29">
    <mergeCell ref="A119:I119"/>
    <mergeCell ref="A120:I120"/>
    <mergeCell ref="A121:I121"/>
    <mergeCell ref="A122:I122"/>
    <mergeCell ref="A123:I123"/>
    <mergeCell ref="C117:E117"/>
    <mergeCell ref="A102:I102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90:I90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  <mergeCell ref="A86:I8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2019-01-29T07:48:01Z</cp:lastPrinted>
  <dcterms:created xsi:type="dcterms:W3CDTF">2016-03-25T08:33:47Z</dcterms:created>
  <dcterms:modified xsi:type="dcterms:W3CDTF">2019-01-29T07:50:52Z</dcterms:modified>
</cp:coreProperties>
</file>